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7.xml" ContentType="application/vnd.openxmlformats-officedocument.spreadsheetml.worksheet+xml"/>
  <Override PartName="/xl/externalLinks/externalLink12.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6.xml" ContentType="application/vnd.openxmlformats-officedocument.spreadsheetml.externalLink+xml"/>
  <Override PartName="/xl/comments2.xml" ContentType="application/vnd.openxmlformats-officedocument.spreadsheetml.comment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1.xml" ContentType="application/vnd.openxmlformats-officedocument.spreadsheetml.comments+xml"/>
  <Override PartName="/xl/externalLinks/externalLink7.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S:\REGULATN\PA&amp;D\CASES\WA GRC 19\Testimony\Workpapers\Cost of Service\"/>
    </mc:Choice>
  </mc:AlternateContent>
  <bookViews>
    <workbookView xWindow="0" yWindow="0" windowWidth="28800" windowHeight="11685"/>
  </bookViews>
  <sheets>
    <sheet name="Table 1-Revenues" sheetId="12809" r:id="rId1"/>
    <sheet name="Table 1 - kWh" sheetId="12810" r:id="rId2"/>
    <sheet name="Table 2" sheetId="12811" r:id="rId3"/>
    <sheet name="Table 3" sheetId="12812" r:id="rId4"/>
    <sheet name="305 VS COGNOS Revenue" sheetId="12764" r:id="rId5"/>
    <sheet name="305 VS COGNOS kWh" sheetId="12763" r:id="rId6"/>
    <sheet name="305 Inputs" sheetId="12813" r:id="rId7"/>
    <sheet name="Temperature" sheetId="12822" r:id="rId8"/>
    <sheet name="Temp. Adjustments" sheetId="12840" r:id="rId9"/>
    <sheet name="Exhibit No.__(RMM-10)" sheetId="12783" r:id="rId10"/>
    <sheet name="Exhibit No.__(RMM-11) p1-8" sheetId="12843" r:id="rId11"/>
    <sheet name="Exhibit No.__(RMM-13) p1" sheetId="12833" r:id="rId12"/>
    <sheet name="Exhibit No.__(RMM-13) p2" sheetId="12769" r:id="rId13"/>
    <sheet name="Exhibit No.__(RMM-13) p3" sheetId="12770" r:id="rId14"/>
    <sheet name="Exhibit No.__(RMM-13) p4" sheetId="12771" r:id="rId15"/>
    <sheet name="Exhibit No.__(RMM-13) p5" sheetId="12772" r:id="rId16"/>
    <sheet name="Exhibit No.__(RMM-13) p6" sheetId="12773" r:id="rId17"/>
    <sheet name="Exhibit No.__(RMM-13) p7" sheetId="12791" r:id="rId18"/>
    <sheet name="Stop Here" sheetId="12832" r:id="rId19"/>
    <sheet name="Rate Spread targets" sheetId="12831" r:id="rId20"/>
    <sheet name="Rate Design Work-Res NM" sheetId="12859" state="hidden" r:id="rId21"/>
    <sheet name="Normalized Monthly kWh" sheetId="12775" r:id="rId22"/>
    <sheet name="Normalized Monthly revenue" sheetId="12774" r:id="rId23"/>
    <sheet name="Table A by class" sheetId="12837" state="hidden" r:id="rId24"/>
    <sheet name="SBC (Old)" sheetId="12761" state="hidden" r:id="rId25"/>
    <sheet name="Billing Determinants (2)" sheetId="12787" state="hidden" r:id="rId26"/>
    <sheet name="Blocking - detail" sheetId="12766"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0" localSheetId="10">[1]Jan!#REF!</definedName>
    <definedName name="\0" localSheetId="11">[1]Jan!#REF!</definedName>
    <definedName name="\0" localSheetId="20">[1]Jan!#REF!</definedName>
    <definedName name="\0" localSheetId="19">[1]Jan!#REF!</definedName>
    <definedName name="\0" localSheetId="23">[1]Jan!#REF!</definedName>
    <definedName name="\0">[1]Jan!#REF!</definedName>
    <definedName name="\A" localSheetId="10">#REF!</definedName>
    <definedName name="\A" localSheetId="11">#REF!</definedName>
    <definedName name="\A" localSheetId="20">#REF!</definedName>
    <definedName name="\A" localSheetId="19">#REF!</definedName>
    <definedName name="\A">#REF!</definedName>
    <definedName name="\B" localSheetId="10">#REF!</definedName>
    <definedName name="\B" localSheetId="11">#REF!</definedName>
    <definedName name="\B" localSheetId="20">#REF!</definedName>
    <definedName name="\B" localSheetId="19">#REF!</definedName>
    <definedName name="\B">#REF!</definedName>
    <definedName name="\BACK1" localSheetId="10">#REF!</definedName>
    <definedName name="\BACK1" localSheetId="11">#REF!</definedName>
    <definedName name="\BACK1" localSheetId="20">#REF!</definedName>
    <definedName name="\BACK1" localSheetId="19">#REF!</definedName>
    <definedName name="\BACK1" localSheetId="7">#REF!</definedName>
    <definedName name="\BACK1">#REF!</definedName>
    <definedName name="\BLOCK" localSheetId="10">#REF!</definedName>
    <definedName name="\BLOCK" localSheetId="11">#REF!</definedName>
    <definedName name="\BLOCK" localSheetId="20">#REF!</definedName>
    <definedName name="\BLOCK" localSheetId="19">#REF!</definedName>
    <definedName name="\BLOCK" localSheetId="7">#REF!</definedName>
    <definedName name="\BLOCK">#REF!</definedName>
    <definedName name="\BLOCKT" localSheetId="10">#REF!</definedName>
    <definedName name="\BLOCKT" localSheetId="11">#REF!</definedName>
    <definedName name="\BLOCKT" localSheetId="20">#REF!</definedName>
    <definedName name="\BLOCKT" localSheetId="19">#REF!</definedName>
    <definedName name="\BLOCKT" localSheetId="7">#REF!</definedName>
    <definedName name="\BLOCKT">#REF!</definedName>
    <definedName name="\C" localSheetId="10">#REF!</definedName>
    <definedName name="\C" localSheetId="11">#REF!</definedName>
    <definedName name="\C" localSheetId="20">#REF!</definedName>
    <definedName name="\C" localSheetId="19">#REF!</definedName>
    <definedName name="\C">#REF!</definedName>
    <definedName name="\COMP" localSheetId="10">#REF!</definedName>
    <definedName name="\COMP" localSheetId="11">#REF!</definedName>
    <definedName name="\COMP" localSheetId="20">#REF!</definedName>
    <definedName name="\COMP" localSheetId="19">#REF!</definedName>
    <definedName name="\COMP">#REF!</definedName>
    <definedName name="\COMPT" localSheetId="10">#REF!</definedName>
    <definedName name="\COMPT" localSheetId="11">#REF!</definedName>
    <definedName name="\COMPT" localSheetId="20">#REF!</definedName>
    <definedName name="\COMPT" localSheetId="19">#REF!</definedName>
    <definedName name="\COMPT">#REF!</definedName>
    <definedName name="\G" localSheetId="10">#REF!</definedName>
    <definedName name="\G" localSheetId="11">#REF!</definedName>
    <definedName name="\G" localSheetId="20">#REF!</definedName>
    <definedName name="\G" localSheetId="19">#REF!</definedName>
    <definedName name="\G">#REF!</definedName>
    <definedName name="\I" localSheetId="10">#REF!</definedName>
    <definedName name="\I" localSheetId="11">#REF!</definedName>
    <definedName name="\I" localSheetId="20">#REF!</definedName>
    <definedName name="\I" localSheetId="19">#REF!</definedName>
    <definedName name="\I">#REF!</definedName>
    <definedName name="\K" localSheetId="10">#REF!</definedName>
    <definedName name="\K" localSheetId="11">#REF!</definedName>
    <definedName name="\K" localSheetId="20">#REF!</definedName>
    <definedName name="\K" localSheetId="19">#REF!</definedName>
    <definedName name="\K">#REF!</definedName>
    <definedName name="\L" localSheetId="10">#REF!</definedName>
    <definedName name="\L" localSheetId="11">#REF!</definedName>
    <definedName name="\L" localSheetId="20">#REF!</definedName>
    <definedName name="\L" localSheetId="19">#REF!</definedName>
    <definedName name="\L">#REF!</definedName>
    <definedName name="\M" localSheetId="10">#REF!</definedName>
    <definedName name="\M" localSheetId="11">#REF!</definedName>
    <definedName name="\M" localSheetId="20">#REF!</definedName>
    <definedName name="\M" localSheetId="19">#REF!</definedName>
    <definedName name="\M">#REF!</definedName>
    <definedName name="\P" localSheetId="10">#REF!</definedName>
    <definedName name="\P" localSheetId="11">#REF!</definedName>
    <definedName name="\P" localSheetId="20">#REF!</definedName>
    <definedName name="\P" localSheetId="19">#REF!</definedName>
    <definedName name="\P">#REF!</definedName>
    <definedName name="\Q" localSheetId="10">[2]Actual!#REF!</definedName>
    <definedName name="\Q" localSheetId="11">[2]Actual!#REF!</definedName>
    <definedName name="\Q" localSheetId="20">[2]Actual!#REF!</definedName>
    <definedName name="\Q" localSheetId="19">[2]Actual!#REF!</definedName>
    <definedName name="\Q" localSheetId="23">[3]Actual!#REF!</definedName>
    <definedName name="\Q">[2]Actual!#REF!</definedName>
    <definedName name="\R" localSheetId="10">#REF!</definedName>
    <definedName name="\R" localSheetId="11">#REF!</definedName>
    <definedName name="\R" localSheetId="20">#REF!</definedName>
    <definedName name="\R" localSheetId="19">#REF!</definedName>
    <definedName name="\R">#REF!</definedName>
    <definedName name="\S" localSheetId="10">#REF!</definedName>
    <definedName name="\S" localSheetId="11">#REF!</definedName>
    <definedName name="\S" localSheetId="20">#REF!</definedName>
    <definedName name="\S" localSheetId="19">#REF!</definedName>
    <definedName name="\S">#REF!</definedName>
    <definedName name="\TABLE1" localSheetId="10">#REF!</definedName>
    <definedName name="\TABLE1" localSheetId="11">#REF!</definedName>
    <definedName name="\TABLE1" localSheetId="20">#REF!</definedName>
    <definedName name="\TABLE1" localSheetId="19">#REF!</definedName>
    <definedName name="\TABLE1">#REF!</definedName>
    <definedName name="\TABLE2" localSheetId="10">#REF!</definedName>
    <definedName name="\TABLE2" localSheetId="11">#REF!</definedName>
    <definedName name="\TABLE2" localSheetId="20">#REF!</definedName>
    <definedName name="\TABLE2" localSheetId="19">#REF!</definedName>
    <definedName name="\TABLE2">#REF!</definedName>
    <definedName name="\TABLEA" localSheetId="10">#REF!</definedName>
    <definedName name="\TABLEA" localSheetId="11">#REF!</definedName>
    <definedName name="\TABLEA" localSheetId="20">#REF!</definedName>
    <definedName name="\TABLEA" localSheetId="19">#REF!</definedName>
    <definedName name="\TABLEA">#REF!</definedName>
    <definedName name="\TBL2" localSheetId="10">#REF!</definedName>
    <definedName name="\TBL2" localSheetId="11">#REF!</definedName>
    <definedName name="\TBL2" localSheetId="20">#REF!</definedName>
    <definedName name="\TBL2" localSheetId="19">#REF!</definedName>
    <definedName name="\TBL2">#REF!</definedName>
    <definedName name="\TBL3" localSheetId="10">#REF!</definedName>
    <definedName name="\TBL3" localSheetId="11">#REF!</definedName>
    <definedName name="\TBL3" localSheetId="20">#REF!</definedName>
    <definedName name="\TBL3" localSheetId="19">#REF!</definedName>
    <definedName name="\TBL3">#REF!</definedName>
    <definedName name="\TBL4" localSheetId="10">#REF!</definedName>
    <definedName name="\TBL4" localSheetId="11">#REF!</definedName>
    <definedName name="\TBL4" localSheetId="20">#REF!</definedName>
    <definedName name="\TBL4" localSheetId="19">#REF!</definedName>
    <definedName name="\TBL4">#REF!</definedName>
    <definedName name="\TBL5" localSheetId="10">#REF!</definedName>
    <definedName name="\TBL5" localSheetId="11">#REF!</definedName>
    <definedName name="\TBL5" localSheetId="20">#REF!</definedName>
    <definedName name="\TBL5" localSheetId="19">#REF!</definedName>
    <definedName name="\TBL5">#REF!</definedName>
    <definedName name="\W" localSheetId="10">#REF!</definedName>
    <definedName name="\W" localSheetId="11">#REF!</definedName>
    <definedName name="\W" localSheetId="20">#REF!</definedName>
    <definedName name="\W" localSheetId="19">#REF!</definedName>
    <definedName name="\W">#REF!</definedName>
    <definedName name="\WORK1" localSheetId="10">#REF!</definedName>
    <definedName name="\WORK1" localSheetId="11">#REF!</definedName>
    <definedName name="\WORK1" localSheetId="20">#REF!</definedName>
    <definedName name="\WORK1" localSheetId="19">#REF!</definedName>
    <definedName name="\WORK1">#REF!</definedName>
    <definedName name="\X" localSheetId="10">#REF!</definedName>
    <definedName name="\X" localSheetId="11">#REF!</definedName>
    <definedName name="\X" localSheetId="20">#REF!</definedName>
    <definedName name="\X" localSheetId="19">#REF!</definedName>
    <definedName name="\X">#REF!</definedName>
    <definedName name="\Z" localSheetId="10">#REF!</definedName>
    <definedName name="\Z" localSheetId="11">#REF!</definedName>
    <definedName name="\Z" localSheetId="20">#REF!</definedName>
    <definedName name="\Z" localSheetId="19">#REF!</definedName>
    <definedName name="\Z" localSheetId="7">#REF!</definedName>
    <definedName name="\Z">#REF!</definedName>
    <definedName name="__123Graph_A" localSheetId="25" hidden="1">[4]Inputs!#REF!</definedName>
    <definedName name="__123Graph_A" localSheetId="26" hidden="1">[4]Inputs!#REF!</definedName>
    <definedName name="__123Graph_A" localSheetId="9" hidden="1">[5]Inputs!#REF!</definedName>
    <definedName name="__123Graph_A" localSheetId="10" hidden="1">[4]Inputs!#REF!</definedName>
    <definedName name="__123Graph_A" localSheetId="11" hidden="1">[6]Inputs!#REF!</definedName>
    <definedName name="__123Graph_A" localSheetId="12" hidden="1">[6]Inputs!#REF!</definedName>
    <definedName name="__123Graph_A" localSheetId="13" hidden="1">[6]Inputs!#REF!</definedName>
    <definedName name="__123Graph_A" localSheetId="14" hidden="1">[6]Inputs!#REF!</definedName>
    <definedName name="__123Graph_A" localSheetId="15" hidden="1">[6]Inputs!#REF!</definedName>
    <definedName name="__123Graph_A" localSheetId="16" hidden="1">[6]Inputs!#REF!</definedName>
    <definedName name="__123Graph_A" localSheetId="17" hidden="1">[6]Inputs!#REF!</definedName>
    <definedName name="__123Graph_A" localSheetId="21" hidden="1">[7]Inputs!#REF!</definedName>
    <definedName name="__123Graph_A" localSheetId="22" hidden="1">[7]Inputs!#REF!</definedName>
    <definedName name="__123Graph_A" localSheetId="20" hidden="1">[4]Inputs!#REF!</definedName>
    <definedName name="__123Graph_A" localSheetId="19" hidden="1">[5]Inputs!#REF!</definedName>
    <definedName name="__123Graph_A" localSheetId="23" hidden="1">[8]Inputs!#REF!</definedName>
    <definedName name="__123Graph_A" localSheetId="7" hidden="1">[7]Inputs!#REF!</definedName>
    <definedName name="__123Graph_A" hidden="1">[7]Inputs!#REF!</definedName>
    <definedName name="__123Graph_B" localSheetId="25" hidden="1">[4]Inputs!#REF!</definedName>
    <definedName name="__123Graph_B" localSheetId="26" hidden="1">[4]Inputs!#REF!</definedName>
    <definedName name="__123Graph_B" localSheetId="9" hidden="1">[5]Inputs!#REF!</definedName>
    <definedName name="__123Graph_B" localSheetId="10" hidden="1">[4]Inputs!#REF!</definedName>
    <definedName name="__123Graph_B" localSheetId="11" hidden="1">[6]Inputs!#REF!</definedName>
    <definedName name="__123Graph_B" localSheetId="12" hidden="1">[6]Inputs!#REF!</definedName>
    <definedName name="__123Graph_B" localSheetId="13" hidden="1">[6]Inputs!#REF!</definedName>
    <definedName name="__123Graph_B" localSheetId="14" hidden="1">[6]Inputs!#REF!</definedName>
    <definedName name="__123Graph_B" localSheetId="15" hidden="1">[6]Inputs!#REF!</definedName>
    <definedName name="__123Graph_B" localSheetId="16" hidden="1">[6]Inputs!#REF!</definedName>
    <definedName name="__123Graph_B" localSheetId="17" hidden="1">[6]Inputs!#REF!</definedName>
    <definedName name="__123Graph_B" localSheetId="21" hidden="1">[7]Inputs!#REF!</definedName>
    <definedName name="__123Graph_B" localSheetId="22" hidden="1">[7]Inputs!#REF!</definedName>
    <definedName name="__123Graph_B" localSheetId="20" hidden="1">[4]Inputs!#REF!</definedName>
    <definedName name="__123Graph_B" localSheetId="19" hidden="1">[5]Inputs!#REF!</definedName>
    <definedName name="__123Graph_B" localSheetId="23" hidden="1">[8]Inputs!#REF!</definedName>
    <definedName name="__123Graph_B" localSheetId="7" hidden="1">[7]Inputs!#REF!</definedName>
    <definedName name="__123Graph_B" hidden="1">[7]Inputs!#REF!</definedName>
    <definedName name="__123Graph_D" localSheetId="25" hidden="1">[4]Inputs!#REF!</definedName>
    <definedName name="__123Graph_D" localSheetId="26" hidden="1">[4]Inputs!#REF!</definedName>
    <definedName name="__123Graph_D" localSheetId="9" hidden="1">[5]Inputs!#REF!</definedName>
    <definedName name="__123Graph_D" localSheetId="10" hidden="1">[4]Inputs!#REF!</definedName>
    <definedName name="__123Graph_D" localSheetId="11" hidden="1">[6]Inputs!#REF!</definedName>
    <definedName name="__123Graph_D" localSheetId="12" hidden="1">[6]Inputs!#REF!</definedName>
    <definedName name="__123Graph_D" localSheetId="13" hidden="1">[6]Inputs!#REF!</definedName>
    <definedName name="__123Graph_D" localSheetId="14" hidden="1">[6]Inputs!#REF!</definedName>
    <definedName name="__123Graph_D" localSheetId="15" hidden="1">[6]Inputs!#REF!</definedName>
    <definedName name="__123Graph_D" localSheetId="16" hidden="1">[6]Inputs!#REF!</definedName>
    <definedName name="__123Graph_D" localSheetId="17" hidden="1">[6]Inputs!#REF!</definedName>
    <definedName name="__123Graph_D" localSheetId="21" hidden="1">[7]Inputs!#REF!</definedName>
    <definedName name="__123Graph_D" localSheetId="22" hidden="1">[7]Inputs!#REF!</definedName>
    <definedName name="__123Graph_D" localSheetId="20" hidden="1">[4]Inputs!#REF!</definedName>
    <definedName name="__123Graph_D" localSheetId="19" hidden="1">[5]Inputs!#REF!</definedName>
    <definedName name="__123Graph_D" localSheetId="23" hidden="1">[8]Inputs!#REF!</definedName>
    <definedName name="__123Graph_D" localSheetId="7" hidden="1">[7]Inputs!#REF!</definedName>
    <definedName name="__123Graph_D" hidden="1">[7]Inputs!#REF!</definedName>
    <definedName name="_1Price_Ta" localSheetId="10">#REF!</definedName>
    <definedName name="_1Price_Ta" localSheetId="11">#REF!</definedName>
    <definedName name="_1Price_Ta" localSheetId="20">#REF!</definedName>
    <definedName name="_1Price_Ta" localSheetId="19">#REF!</definedName>
    <definedName name="_1Price_Ta" localSheetId="7">#REF!</definedName>
    <definedName name="_1Price_Ta">#REF!</definedName>
    <definedName name="_2Price_Ta" localSheetId="10">#REF!</definedName>
    <definedName name="_2Price_Ta" localSheetId="11">#REF!</definedName>
    <definedName name="_2Price_Ta" localSheetId="20">#REF!</definedName>
    <definedName name="_2Price_Ta" localSheetId="19">#REF!</definedName>
    <definedName name="_2Price_Ta">#REF!</definedName>
    <definedName name="_B" localSheetId="10">'[9]Rate Design'!#REF!</definedName>
    <definedName name="_B" localSheetId="11">'[9]Rate Design'!#REF!</definedName>
    <definedName name="_B" localSheetId="20">'[9]Rate Design'!#REF!</definedName>
    <definedName name="_B" localSheetId="19">'[9]Rate Design'!#REF!</definedName>
    <definedName name="_B" localSheetId="7">'[9]Rate Design'!#REF!</definedName>
    <definedName name="_B">'[9]Rate Design'!#REF!</definedName>
    <definedName name="_Fill" localSheetId="10" hidden="1">#REF!</definedName>
    <definedName name="_Fill" localSheetId="11" hidden="1">#REF!</definedName>
    <definedName name="_Fill" localSheetId="21" hidden="1">#REF!</definedName>
    <definedName name="_Fill" localSheetId="22" hidden="1">#REF!</definedName>
    <definedName name="_Fill" localSheetId="20" hidden="1">#REF!</definedName>
    <definedName name="_Fill" localSheetId="19" hidden="1">#REF!</definedName>
    <definedName name="_Fill" hidden="1">#REF!</definedName>
    <definedName name="_xlnm._FilterDatabase" localSheetId="6" hidden="1">'305 Inputs'!$A$6:$J$156</definedName>
    <definedName name="_xlnm._FilterDatabase" localSheetId="4" hidden="1">'305 VS COGNOS Revenue'!$A$6:$AB$58</definedName>
    <definedName name="_xlnm._FilterDatabase" localSheetId="2" hidden="1">'Table 2'!#REF!</definedName>
    <definedName name="_xlnm._FilterDatabase" localSheetId="3" hidden="1">'Table 3'!#REF!</definedName>
    <definedName name="_Key1" localSheetId="10" hidden="1">#REF!</definedName>
    <definedName name="_Key1" localSheetId="11" hidden="1">#REF!</definedName>
    <definedName name="_Key1" localSheetId="20" hidden="1">#REF!</definedName>
    <definedName name="_Key1" localSheetId="19" hidden="1">#REF!</definedName>
    <definedName name="_Key1" localSheetId="7" hidden="1">#REF!</definedName>
    <definedName name="_Key1" hidden="1">#REF!</definedName>
    <definedName name="_Key2" localSheetId="10" hidden="1">#REF!</definedName>
    <definedName name="_Key2" localSheetId="11" hidden="1">#REF!</definedName>
    <definedName name="_Key2" localSheetId="20" hidden="1">#REF!</definedName>
    <definedName name="_Key2" localSheetId="19" hidden="1">#REF!</definedName>
    <definedName name="_Key2" localSheetId="7" hidden="1">#REF!</definedName>
    <definedName name="_Key2" hidden="1">#REF!</definedName>
    <definedName name="_MEN2" localSheetId="10">[1]Jan!#REF!</definedName>
    <definedName name="_MEN2" localSheetId="11">[1]Jan!#REF!</definedName>
    <definedName name="_MEN2" localSheetId="20">[1]Jan!#REF!</definedName>
    <definedName name="_MEN2" localSheetId="19">[1]Jan!#REF!</definedName>
    <definedName name="_MEN2" localSheetId="23">[1]Jan!#REF!</definedName>
    <definedName name="_MEN2">[1]Jan!#REF!</definedName>
    <definedName name="_MEN3" localSheetId="10">[1]Jan!#REF!</definedName>
    <definedName name="_MEN3" localSheetId="11">[1]Jan!#REF!</definedName>
    <definedName name="_MEN3" localSheetId="20">[1]Jan!#REF!</definedName>
    <definedName name="_MEN3" localSheetId="19">[1]Jan!#REF!</definedName>
    <definedName name="_MEN3">[1]Jan!#REF!</definedName>
    <definedName name="_Order1" localSheetId="23" hidden="1">255</definedName>
    <definedName name="_Order1" hidden="1">0</definedName>
    <definedName name="_Order2" hidden="1">0</definedName>
    <definedName name="_P" localSheetId="10">#REF!</definedName>
    <definedName name="_P" localSheetId="11">#REF!</definedName>
    <definedName name="_P" localSheetId="20">#REF!</definedName>
    <definedName name="_P" localSheetId="19">#REF!</definedName>
    <definedName name="_P" localSheetId="7">#REF!</definedName>
    <definedName name="_P">#REF!</definedName>
    <definedName name="_Sort" localSheetId="10" hidden="1">#REF!</definedName>
    <definedName name="_Sort" localSheetId="11" hidden="1">#REF!</definedName>
    <definedName name="_Sort" localSheetId="20" hidden="1">#REF!</definedName>
    <definedName name="_Sort" localSheetId="19" hidden="1">#REF!</definedName>
    <definedName name="_Sort" localSheetId="7" hidden="1">#REF!</definedName>
    <definedName name="_Sort" hidden="1">#REF!</definedName>
    <definedName name="_TOP1" localSheetId="10">[1]Jan!#REF!</definedName>
    <definedName name="_TOP1" localSheetId="11">[1]Jan!#REF!</definedName>
    <definedName name="_TOP1" localSheetId="20">[1]Jan!#REF!</definedName>
    <definedName name="_TOP1" localSheetId="19">[1]Jan!#REF!</definedName>
    <definedName name="_TOP1" localSheetId="23">[1]Jan!#REF!</definedName>
    <definedName name="_TOP1">[1]Jan!#REF!</definedName>
    <definedName name="a" localSheetId="25" hidden="1">#REF!</definedName>
    <definedName name="a" localSheetId="26" hidden="1">#REF!</definedName>
    <definedName name="a" localSheetId="9" hidden="1">#REF!</definedName>
    <definedName name="a" localSheetId="10"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21" hidden="1">'[7]DSM Output'!$J$21:$J$23</definedName>
    <definedName name="a" localSheetId="22" hidden="1">'[7]DSM Output'!$J$21:$J$23</definedName>
    <definedName name="a" localSheetId="20" hidden="1">#REF!</definedName>
    <definedName name="a" localSheetId="19" hidden="1">#REF!</definedName>
    <definedName name="a" localSheetId="23" hidden="1">'[8]DSM Output'!$J$21:$J$23</definedName>
    <definedName name="a" localSheetId="7" hidden="1">'[7]DSM Output'!$J$21:$J$23</definedName>
    <definedName name="a" hidden="1">'[7]DSM Output'!$J$21:$J$23</definedName>
    <definedName name="Acct108364" localSheetId="10">'[10]Func Study'!#REF!</definedName>
    <definedName name="Acct108364" localSheetId="11">'[10]Func Study'!#REF!</definedName>
    <definedName name="Acct108364" localSheetId="20">'[10]Func Study'!#REF!</definedName>
    <definedName name="Acct108364" localSheetId="19">'[10]Func Study'!#REF!</definedName>
    <definedName name="Acct108364" localSheetId="23">'[10]Func Study'!#REF!</definedName>
    <definedName name="Acct108364">'[10]Func Study'!#REF!</definedName>
    <definedName name="Acct108364S" localSheetId="10">'[10]Func Study'!#REF!</definedName>
    <definedName name="Acct108364S" localSheetId="11">'[10]Func Study'!#REF!</definedName>
    <definedName name="Acct108364S" localSheetId="20">'[10]Func Study'!#REF!</definedName>
    <definedName name="Acct108364S" localSheetId="19">'[10]Func Study'!#REF!</definedName>
    <definedName name="Acct108364S">'[10]Func Study'!#REF!</definedName>
    <definedName name="Acct228.42TROJD" localSheetId="10">'[11]Func Study'!#REF!</definedName>
    <definedName name="Acct228.42TROJD" localSheetId="11">'[11]Func Study'!#REF!</definedName>
    <definedName name="Acct228.42TROJD" localSheetId="20">'[11]Func Study'!#REF!</definedName>
    <definedName name="Acct228.42TROJD" localSheetId="19">'[11]Func Study'!#REF!</definedName>
    <definedName name="Acct228.42TROJD">'[11]Func Study'!#REF!</definedName>
    <definedName name="Acct2281SO">'[12]Func Study'!$H$2190</definedName>
    <definedName name="Acct2283SO">'[12]Func Study'!$H$2198</definedName>
    <definedName name="Acct22842TROJD" localSheetId="10">'[11]Func Study'!#REF!</definedName>
    <definedName name="Acct22842TROJD" localSheetId="11">'[11]Func Study'!#REF!</definedName>
    <definedName name="Acct22842TROJD" localSheetId="20">'[11]Func Study'!#REF!</definedName>
    <definedName name="Acct22842TROJD" localSheetId="19">'[11]Func Study'!#REF!</definedName>
    <definedName name="Acct22842TROJD" localSheetId="23">'[11]Func Study'!#REF!</definedName>
    <definedName name="Acct22842TROJD">'[11]Func Study'!#REF!</definedName>
    <definedName name="Acct228SO">'[12]Func Study'!$H$2194</definedName>
    <definedName name="Acct350">'[12]Func Study'!$H$1628</definedName>
    <definedName name="Acct352">'[12]Func Study'!$H$1635</definedName>
    <definedName name="Acct353">'[12]Func Study'!$H$1641</definedName>
    <definedName name="Acct354">'[12]Func Study'!$H$1647</definedName>
    <definedName name="Acct355">'[12]Func Study'!$H$1654</definedName>
    <definedName name="Acct356">'[12]Func Study'!$H$1660</definedName>
    <definedName name="Acct357">'[12]Func Study'!$H$1666</definedName>
    <definedName name="Acct358">'[12]Func Study'!$H$1672</definedName>
    <definedName name="Acct359">'[12]Func Study'!$H$1678</definedName>
    <definedName name="Acct360">'[12]Func Study'!$H$1698</definedName>
    <definedName name="Acct361">'[12]Func Study'!$H$1704</definedName>
    <definedName name="Acct362">'[12]Func Study'!$H$1710</definedName>
    <definedName name="Acct364">'[12]Func Study'!$H$1717</definedName>
    <definedName name="Acct365">'[12]Func Study'!$H$1724</definedName>
    <definedName name="Acct366">'[12]Func Study'!$H$1731</definedName>
    <definedName name="Acct367">'[12]Func Study'!$H$1738</definedName>
    <definedName name="Acct368">'[12]Func Study'!$H$1744</definedName>
    <definedName name="Acct369">'[12]Func Study'!$H$1751</definedName>
    <definedName name="Acct370">'[12]Func Study'!$H$1762</definedName>
    <definedName name="Acct371">'[12]Func Study'!$H$1769</definedName>
    <definedName name="Acct372">'[12]Func Study'!$H$1776</definedName>
    <definedName name="Acct372A">'[12]Func Study'!$H$1775</definedName>
    <definedName name="Acct372DP">'[12]Func Study'!$H$1773</definedName>
    <definedName name="Acct372DS">'[12]Func Study'!$H$1774</definedName>
    <definedName name="Acct373">'[12]Func Study'!$H$1782</definedName>
    <definedName name="Acct41011" localSheetId="10">'[13]Functional Study'!#REF!</definedName>
    <definedName name="Acct41011" localSheetId="11">'[13]Functional Study'!#REF!</definedName>
    <definedName name="Acct41011" localSheetId="20">'[13]Functional Study'!#REF!</definedName>
    <definedName name="Acct41011" localSheetId="19">'[13]Functional Study'!#REF!</definedName>
    <definedName name="Acct41011" localSheetId="23">'[14]Functional Study'!#REF!</definedName>
    <definedName name="Acct41011">'[13]Functional Study'!#REF!</definedName>
    <definedName name="Acct41011BADDEBT" localSheetId="10">'[13]Functional Study'!#REF!</definedName>
    <definedName name="Acct41011BADDEBT" localSheetId="11">'[13]Functional Study'!#REF!</definedName>
    <definedName name="Acct41011BADDEBT" localSheetId="20">'[13]Functional Study'!#REF!</definedName>
    <definedName name="Acct41011BADDEBT" localSheetId="19">'[13]Functional Study'!#REF!</definedName>
    <definedName name="Acct41011BADDEBT" localSheetId="23">'[14]Functional Study'!#REF!</definedName>
    <definedName name="Acct41011BADDEBT">'[13]Functional Study'!#REF!</definedName>
    <definedName name="Acct41011DITEXP" localSheetId="10">'[13]Functional Study'!#REF!</definedName>
    <definedName name="Acct41011DITEXP" localSheetId="11">'[13]Functional Study'!#REF!</definedName>
    <definedName name="Acct41011DITEXP" localSheetId="20">'[13]Functional Study'!#REF!</definedName>
    <definedName name="Acct41011DITEXP" localSheetId="19">'[13]Functional Study'!#REF!</definedName>
    <definedName name="Acct41011DITEXP" localSheetId="23">'[14]Functional Study'!#REF!</definedName>
    <definedName name="Acct41011DITEXP">'[13]Functional Study'!#REF!</definedName>
    <definedName name="Acct41011S" localSheetId="10">'[13]Functional Study'!#REF!</definedName>
    <definedName name="Acct41011S" localSheetId="11">'[13]Functional Study'!#REF!</definedName>
    <definedName name="Acct41011S" localSheetId="20">'[13]Functional Study'!#REF!</definedName>
    <definedName name="Acct41011S" localSheetId="19">'[13]Functional Study'!#REF!</definedName>
    <definedName name="Acct41011S" localSheetId="23">'[14]Functional Study'!#REF!</definedName>
    <definedName name="Acct41011S">'[13]Functional Study'!#REF!</definedName>
    <definedName name="Acct41011SE" localSheetId="10">'[13]Functional Study'!#REF!</definedName>
    <definedName name="Acct41011SE" localSheetId="11">'[13]Functional Study'!#REF!</definedName>
    <definedName name="Acct41011SE" localSheetId="20">'[13]Functional Study'!#REF!</definedName>
    <definedName name="Acct41011SE" localSheetId="19">'[13]Functional Study'!#REF!</definedName>
    <definedName name="Acct41011SE" localSheetId="23">'[14]Functional Study'!#REF!</definedName>
    <definedName name="Acct41011SE">'[13]Functional Study'!#REF!</definedName>
    <definedName name="Acct41011SG1" localSheetId="10">'[13]Functional Study'!#REF!</definedName>
    <definedName name="Acct41011SG1" localSheetId="11">'[13]Functional Study'!#REF!</definedName>
    <definedName name="Acct41011SG1" localSheetId="20">'[13]Functional Study'!#REF!</definedName>
    <definedName name="Acct41011SG1" localSheetId="19">'[13]Functional Study'!#REF!</definedName>
    <definedName name="Acct41011SG1" localSheetId="23">'[14]Functional Study'!#REF!</definedName>
    <definedName name="Acct41011SG1">'[13]Functional Study'!#REF!</definedName>
    <definedName name="Acct41011SG2" localSheetId="10">'[13]Functional Study'!#REF!</definedName>
    <definedName name="Acct41011SG2" localSheetId="11">'[13]Functional Study'!#REF!</definedName>
    <definedName name="Acct41011SG2" localSheetId="20">'[13]Functional Study'!#REF!</definedName>
    <definedName name="Acct41011SG2" localSheetId="19">'[13]Functional Study'!#REF!</definedName>
    <definedName name="Acct41011SG2" localSheetId="23">'[14]Functional Study'!#REF!</definedName>
    <definedName name="Acct41011SG2">'[13]Functional Study'!#REF!</definedName>
    <definedName name="ACCT41011SGCT" localSheetId="10">'[13]Functional Study'!#REF!</definedName>
    <definedName name="ACCT41011SGCT" localSheetId="11">'[13]Functional Study'!#REF!</definedName>
    <definedName name="ACCT41011SGCT" localSheetId="20">'[13]Functional Study'!#REF!</definedName>
    <definedName name="ACCT41011SGCT" localSheetId="19">'[13]Functional Study'!#REF!</definedName>
    <definedName name="ACCT41011SGCT" localSheetId="23">'[14]Functional Study'!#REF!</definedName>
    <definedName name="ACCT41011SGCT">'[13]Functional Study'!#REF!</definedName>
    <definedName name="Acct41011SGPP" localSheetId="10">'[13]Functional Study'!#REF!</definedName>
    <definedName name="Acct41011SGPP" localSheetId="11">'[13]Functional Study'!#REF!</definedName>
    <definedName name="Acct41011SGPP" localSheetId="20">'[13]Functional Study'!#REF!</definedName>
    <definedName name="Acct41011SGPP" localSheetId="19">'[13]Functional Study'!#REF!</definedName>
    <definedName name="Acct41011SGPP" localSheetId="23">'[14]Functional Study'!#REF!</definedName>
    <definedName name="Acct41011SGPP">'[13]Functional Study'!#REF!</definedName>
    <definedName name="Acct41011SNP" localSheetId="10">'[13]Functional Study'!#REF!</definedName>
    <definedName name="Acct41011SNP" localSheetId="11">'[13]Functional Study'!#REF!</definedName>
    <definedName name="Acct41011SNP" localSheetId="20">'[13]Functional Study'!#REF!</definedName>
    <definedName name="Acct41011SNP" localSheetId="19">'[13]Functional Study'!#REF!</definedName>
    <definedName name="Acct41011SNP" localSheetId="23">'[14]Functional Study'!#REF!</definedName>
    <definedName name="Acct41011SNP">'[13]Functional Study'!#REF!</definedName>
    <definedName name="ACCT41011SNPD" localSheetId="10">'[13]Functional Study'!#REF!</definedName>
    <definedName name="ACCT41011SNPD" localSheetId="11">'[13]Functional Study'!#REF!</definedName>
    <definedName name="ACCT41011SNPD" localSheetId="20">'[13]Functional Study'!#REF!</definedName>
    <definedName name="ACCT41011SNPD" localSheetId="19">'[13]Functional Study'!#REF!</definedName>
    <definedName name="ACCT41011SNPD" localSheetId="23">'[14]Functional Study'!#REF!</definedName>
    <definedName name="ACCT41011SNPD">'[13]Functional Study'!#REF!</definedName>
    <definedName name="Acct41011SO" localSheetId="10">'[13]Functional Study'!#REF!</definedName>
    <definedName name="Acct41011SO" localSheetId="11">'[13]Functional Study'!#REF!</definedName>
    <definedName name="Acct41011SO" localSheetId="20">'[13]Functional Study'!#REF!</definedName>
    <definedName name="Acct41011SO" localSheetId="19">'[13]Functional Study'!#REF!</definedName>
    <definedName name="Acct41011SO" localSheetId="23">'[14]Functional Study'!#REF!</definedName>
    <definedName name="Acct41011SO">'[13]Functional Study'!#REF!</definedName>
    <definedName name="Acct41011TROJP" localSheetId="10">'[13]Functional Study'!#REF!</definedName>
    <definedName name="Acct41011TROJP" localSheetId="11">'[13]Functional Study'!#REF!</definedName>
    <definedName name="Acct41011TROJP" localSheetId="20">'[13]Functional Study'!#REF!</definedName>
    <definedName name="Acct41011TROJP" localSheetId="19">'[13]Functional Study'!#REF!</definedName>
    <definedName name="Acct41011TROJP" localSheetId="23">'[14]Functional Study'!#REF!</definedName>
    <definedName name="Acct41011TROJP">'[13]Functional Study'!#REF!</definedName>
    <definedName name="Acct41111" localSheetId="10">'[13]Functional Study'!#REF!</definedName>
    <definedName name="Acct41111" localSheetId="11">'[13]Functional Study'!#REF!</definedName>
    <definedName name="Acct41111" localSheetId="20">'[13]Functional Study'!#REF!</definedName>
    <definedName name="Acct41111" localSheetId="19">'[13]Functional Study'!#REF!</definedName>
    <definedName name="Acct41111" localSheetId="23">'[14]Functional Study'!#REF!</definedName>
    <definedName name="Acct41111">'[13]Functional Study'!#REF!</definedName>
    <definedName name="Acct41111BADDEBT" localSheetId="10">'[13]Functional Study'!#REF!</definedName>
    <definedName name="Acct41111BADDEBT" localSheetId="11">'[13]Functional Study'!#REF!</definedName>
    <definedName name="Acct41111BADDEBT" localSheetId="20">'[13]Functional Study'!#REF!</definedName>
    <definedName name="Acct41111BADDEBT" localSheetId="19">'[13]Functional Study'!#REF!</definedName>
    <definedName name="Acct41111BADDEBT" localSheetId="23">'[14]Functional Study'!#REF!</definedName>
    <definedName name="Acct41111BADDEBT">'[13]Functional Study'!#REF!</definedName>
    <definedName name="Acct41111DITEXP" localSheetId="10">'[13]Functional Study'!#REF!</definedName>
    <definedName name="Acct41111DITEXP" localSheetId="11">'[13]Functional Study'!#REF!</definedName>
    <definedName name="Acct41111DITEXP" localSheetId="20">'[13]Functional Study'!#REF!</definedName>
    <definedName name="Acct41111DITEXP" localSheetId="19">'[13]Functional Study'!#REF!</definedName>
    <definedName name="Acct41111DITEXP" localSheetId="23">'[14]Functional Study'!#REF!</definedName>
    <definedName name="Acct41111DITEXP">'[13]Functional Study'!#REF!</definedName>
    <definedName name="Acct41111S" localSheetId="10">'[13]Functional Study'!#REF!</definedName>
    <definedName name="Acct41111S" localSheetId="11">'[13]Functional Study'!#REF!</definedName>
    <definedName name="Acct41111S" localSheetId="20">'[13]Functional Study'!#REF!</definedName>
    <definedName name="Acct41111S" localSheetId="19">'[13]Functional Study'!#REF!</definedName>
    <definedName name="Acct41111S" localSheetId="23">'[14]Functional Study'!#REF!</definedName>
    <definedName name="Acct41111S">'[13]Functional Study'!#REF!</definedName>
    <definedName name="Acct41111SE" localSheetId="10">'[13]Functional Study'!#REF!</definedName>
    <definedName name="Acct41111SE" localSheetId="11">'[13]Functional Study'!#REF!</definedName>
    <definedName name="Acct41111SE" localSheetId="20">'[13]Functional Study'!#REF!</definedName>
    <definedName name="Acct41111SE" localSheetId="19">'[13]Functional Study'!#REF!</definedName>
    <definedName name="Acct41111SE" localSheetId="23">'[14]Functional Study'!#REF!</definedName>
    <definedName name="Acct41111SE">'[13]Functional Study'!#REF!</definedName>
    <definedName name="Acct41111SG1" localSheetId="10">'[13]Functional Study'!#REF!</definedName>
    <definedName name="Acct41111SG1" localSheetId="11">'[13]Functional Study'!#REF!</definedName>
    <definedName name="Acct41111SG1" localSheetId="20">'[13]Functional Study'!#REF!</definedName>
    <definedName name="Acct41111SG1" localSheetId="19">'[13]Functional Study'!#REF!</definedName>
    <definedName name="Acct41111SG1" localSheetId="23">'[14]Functional Study'!#REF!</definedName>
    <definedName name="Acct41111SG1">'[13]Functional Study'!#REF!</definedName>
    <definedName name="Acct41111SG2" localSheetId="10">'[13]Functional Study'!#REF!</definedName>
    <definedName name="Acct41111SG2" localSheetId="11">'[13]Functional Study'!#REF!</definedName>
    <definedName name="Acct41111SG2" localSheetId="20">'[13]Functional Study'!#REF!</definedName>
    <definedName name="Acct41111SG2" localSheetId="19">'[13]Functional Study'!#REF!</definedName>
    <definedName name="Acct41111SG2" localSheetId="23">'[14]Functional Study'!#REF!</definedName>
    <definedName name="Acct41111SG2">'[13]Functional Study'!#REF!</definedName>
    <definedName name="Acct41111SG3" localSheetId="10">'[13]Functional Study'!#REF!</definedName>
    <definedName name="Acct41111SG3" localSheetId="11">'[13]Functional Study'!#REF!</definedName>
    <definedName name="Acct41111SG3" localSheetId="20">'[13]Functional Study'!#REF!</definedName>
    <definedName name="Acct41111SG3" localSheetId="19">'[13]Functional Study'!#REF!</definedName>
    <definedName name="Acct41111SG3" localSheetId="23">'[14]Functional Study'!#REF!</definedName>
    <definedName name="Acct41111SG3">'[13]Functional Study'!#REF!</definedName>
    <definedName name="Acct41111SGPP" localSheetId="10">'[13]Functional Study'!#REF!</definedName>
    <definedName name="Acct41111SGPP" localSheetId="11">'[13]Functional Study'!#REF!</definedName>
    <definedName name="Acct41111SGPP" localSheetId="20">'[13]Functional Study'!#REF!</definedName>
    <definedName name="Acct41111SGPP" localSheetId="19">'[13]Functional Study'!#REF!</definedName>
    <definedName name="Acct41111SGPP" localSheetId="23">'[14]Functional Study'!#REF!</definedName>
    <definedName name="Acct41111SGPP">'[13]Functional Study'!#REF!</definedName>
    <definedName name="Acct41111SNP" localSheetId="10">'[13]Functional Study'!#REF!</definedName>
    <definedName name="Acct41111SNP" localSheetId="11">'[13]Functional Study'!#REF!</definedName>
    <definedName name="Acct41111SNP" localSheetId="20">'[13]Functional Study'!#REF!</definedName>
    <definedName name="Acct41111SNP" localSheetId="19">'[13]Functional Study'!#REF!</definedName>
    <definedName name="Acct41111SNP" localSheetId="23">'[14]Functional Study'!#REF!</definedName>
    <definedName name="Acct41111SNP">'[13]Functional Study'!#REF!</definedName>
    <definedName name="Acct41111SNTP" localSheetId="10">'[13]Functional Study'!#REF!</definedName>
    <definedName name="Acct41111SNTP" localSheetId="11">'[13]Functional Study'!#REF!</definedName>
    <definedName name="Acct41111SNTP" localSheetId="20">'[13]Functional Study'!#REF!</definedName>
    <definedName name="Acct41111SNTP" localSheetId="19">'[13]Functional Study'!#REF!</definedName>
    <definedName name="Acct41111SNTP" localSheetId="23">'[14]Functional Study'!#REF!</definedName>
    <definedName name="Acct41111SNTP">'[13]Functional Study'!#REF!</definedName>
    <definedName name="Acct41111SO" localSheetId="10">'[13]Functional Study'!#REF!</definedName>
    <definedName name="Acct41111SO" localSheetId="11">'[13]Functional Study'!#REF!</definedName>
    <definedName name="Acct41111SO" localSheetId="20">'[13]Functional Study'!#REF!</definedName>
    <definedName name="Acct41111SO" localSheetId="19">'[13]Functional Study'!#REF!</definedName>
    <definedName name="Acct41111SO" localSheetId="23">'[14]Functional Study'!#REF!</definedName>
    <definedName name="Acct41111SO">'[13]Functional Study'!#REF!</definedName>
    <definedName name="Acct41111TROJP" localSheetId="10">'[13]Functional Study'!#REF!</definedName>
    <definedName name="Acct41111TROJP" localSheetId="11">'[13]Functional Study'!#REF!</definedName>
    <definedName name="Acct41111TROJP" localSheetId="20">'[13]Functional Study'!#REF!</definedName>
    <definedName name="Acct41111TROJP" localSheetId="19">'[13]Functional Study'!#REF!</definedName>
    <definedName name="Acct41111TROJP" localSheetId="23">'[14]Functional Study'!#REF!</definedName>
    <definedName name="Acct41111TROJP">'[13]Functional Study'!#REF!</definedName>
    <definedName name="Acct411BADDEBT" localSheetId="10">'[13]Functional Study'!#REF!</definedName>
    <definedName name="Acct411BADDEBT" localSheetId="11">'[13]Functional Study'!#REF!</definedName>
    <definedName name="Acct411BADDEBT" localSheetId="20">'[13]Functional Study'!#REF!</definedName>
    <definedName name="Acct411BADDEBT" localSheetId="19">'[13]Functional Study'!#REF!</definedName>
    <definedName name="Acct411BADDEBT" localSheetId="23">'[14]Functional Study'!#REF!</definedName>
    <definedName name="Acct411BADDEBT">'[13]Functional Study'!#REF!</definedName>
    <definedName name="Acct411DGP" localSheetId="10">'[13]Functional Study'!#REF!</definedName>
    <definedName name="Acct411DGP" localSheetId="11">'[13]Functional Study'!#REF!</definedName>
    <definedName name="Acct411DGP" localSheetId="20">'[13]Functional Study'!#REF!</definedName>
    <definedName name="Acct411DGP" localSheetId="19">'[13]Functional Study'!#REF!</definedName>
    <definedName name="Acct411DGP" localSheetId="23">'[14]Functional Study'!#REF!</definedName>
    <definedName name="Acct411DGP">'[13]Functional Study'!#REF!</definedName>
    <definedName name="Acct411DGU" localSheetId="10">'[13]Functional Study'!#REF!</definedName>
    <definedName name="Acct411DGU" localSheetId="11">'[13]Functional Study'!#REF!</definedName>
    <definedName name="Acct411DGU" localSheetId="20">'[13]Functional Study'!#REF!</definedName>
    <definedName name="Acct411DGU" localSheetId="19">'[13]Functional Study'!#REF!</definedName>
    <definedName name="Acct411DGU" localSheetId="23">'[14]Functional Study'!#REF!</definedName>
    <definedName name="Acct411DGU">'[13]Functional Study'!#REF!</definedName>
    <definedName name="Acct411DITEXP" localSheetId="10">'[13]Functional Study'!#REF!</definedName>
    <definedName name="Acct411DITEXP" localSheetId="11">'[13]Functional Study'!#REF!</definedName>
    <definedName name="Acct411DITEXP" localSheetId="20">'[13]Functional Study'!#REF!</definedName>
    <definedName name="Acct411DITEXP" localSheetId="19">'[13]Functional Study'!#REF!</definedName>
    <definedName name="Acct411DITEXP" localSheetId="23">'[14]Functional Study'!#REF!</definedName>
    <definedName name="Acct411DITEXP">'[13]Functional Study'!#REF!</definedName>
    <definedName name="Acct411DNPP" localSheetId="10">'[13]Functional Study'!#REF!</definedName>
    <definedName name="Acct411DNPP" localSheetId="11">'[13]Functional Study'!#REF!</definedName>
    <definedName name="Acct411DNPP" localSheetId="20">'[13]Functional Study'!#REF!</definedName>
    <definedName name="Acct411DNPP" localSheetId="19">'[13]Functional Study'!#REF!</definedName>
    <definedName name="Acct411DNPP" localSheetId="23">'[14]Functional Study'!#REF!</definedName>
    <definedName name="Acct411DNPP">'[13]Functional Study'!#REF!</definedName>
    <definedName name="Acct411DNPTP" localSheetId="10">'[13]Functional Study'!#REF!</definedName>
    <definedName name="Acct411DNPTP" localSheetId="11">'[13]Functional Study'!#REF!</definedName>
    <definedName name="Acct411DNPTP" localSheetId="20">'[13]Functional Study'!#REF!</definedName>
    <definedName name="Acct411DNPTP" localSheetId="19">'[13]Functional Study'!#REF!</definedName>
    <definedName name="Acct411DNPTP" localSheetId="23">'[14]Functional Study'!#REF!</definedName>
    <definedName name="Acct411DNPTP">'[13]Functional Study'!#REF!</definedName>
    <definedName name="Acct411S" localSheetId="10">'[13]Functional Study'!#REF!</definedName>
    <definedName name="Acct411S" localSheetId="11">'[13]Functional Study'!#REF!</definedName>
    <definedName name="Acct411S" localSheetId="20">'[13]Functional Study'!#REF!</definedName>
    <definedName name="Acct411S" localSheetId="19">'[13]Functional Study'!#REF!</definedName>
    <definedName name="Acct411S" localSheetId="23">'[14]Functional Study'!#REF!</definedName>
    <definedName name="Acct411S">'[13]Functional Study'!#REF!</definedName>
    <definedName name="Acct411SE" localSheetId="10">'[13]Functional Study'!#REF!</definedName>
    <definedName name="Acct411SE" localSheetId="11">'[13]Functional Study'!#REF!</definedName>
    <definedName name="Acct411SE" localSheetId="20">'[13]Functional Study'!#REF!</definedName>
    <definedName name="Acct411SE" localSheetId="19">'[13]Functional Study'!#REF!</definedName>
    <definedName name="Acct411SE" localSheetId="23">'[14]Functional Study'!#REF!</definedName>
    <definedName name="Acct411SE">'[13]Functional Study'!#REF!</definedName>
    <definedName name="Acct411SG" localSheetId="10">'[13]Functional Study'!#REF!</definedName>
    <definedName name="Acct411SG" localSheetId="11">'[13]Functional Study'!#REF!</definedName>
    <definedName name="Acct411SG" localSheetId="20">'[13]Functional Study'!#REF!</definedName>
    <definedName name="Acct411SG" localSheetId="19">'[13]Functional Study'!#REF!</definedName>
    <definedName name="Acct411SG" localSheetId="23">'[14]Functional Study'!#REF!</definedName>
    <definedName name="Acct411SG">'[13]Functional Study'!#REF!</definedName>
    <definedName name="Acct411SGPP" localSheetId="10">'[13]Functional Study'!#REF!</definedName>
    <definedName name="Acct411SGPP" localSheetId="11">'[13]Functional Study'!#REF!</definedName>
    <definedName name="Acct411SGPP" localSheetId="20">'[13]Functional Study'!#REF!</definedName>
    <definedName name="Acct411SGPP" localSheetId="19">'[13]Functional Study'!#REF!</definedName>
    <definedName name="Acct411SGPP" localSheetId="23">'[14]Functional Study'!#REF!</definedName>
    <definedName name="Acct411SGPP">'[13]Functional Study'!#REF!</definedName>
    <definedName name="Acct411SO" localSheetId="10">'[13]Functional Study'!#REF!</definedName>
    <definedName name="Acct411SO" localSheetId="11">'[13]Functional Study'!#REF!</definedName>
    <definedName name="Acct411SO" localSheetId="20">'[13]Functional Study'!#REF!</definedName>
    <definedName name="Acct411SO" localSheetId="19">'[13]Functional Study'!#REF!</definedName>
    <definedName name="Acct411SO" localSheetId="23">'[14]Functional Study'!#REF!</definedName>
    <definedName name="Acct411SO">'[13]Functional Study'!#REF!</definedName>
    <definedName name="Acct411TROJP" localSheetId="10">'[13]Functional Study'!#REF!</definedName>
    <definedName name="Acct411TROJP" localSheetId="11">'[13]Functional Study'!#REF!</definedName>
    <definedName name="Acct411TROJP" localSheetId="20">'[13]Functional Study'!#REF!</definedName>
    <definedName name="Acct411TROJP" localSheetId="19">'[13]Functional Study'!#REF!</definedName>
    <definedName name="Acct411TROJP" localSheetId="23">'[14]Functional Study'!#REF!</definedName>
    <definedName name="Acct411TROJP">'[13]Functional Study'!#REF!</definedName>
    <definedName name="Acct447DGU" localSheetId="10">'[11]Func Study'!#REF!</definedName>
    <definedName name="Acct447DGU" localSheetId="11">'[11]Func Study'!#REF!</definedName>
    <definedName name="Acct447DGU" localSheetId="20">'[11]Func Study'!#REF!</definedName>
    <definedName name="Acct447DGU" localSheetId="19">'[11]Func Study'!#REF!</definedName>
    <definedName name="Acct447DGU">'[11]Func Study'!#REF!</definedName>
    <definedName name="Acct448S">'[12]Func Study'!$H$274</definedName>
    <definedName name="Acct450S">'[12]Func Study'!$H$302</definedName>
    <definedName name="Acct451S">'[12]Func Study'!$H$307</definedName>
    <definedName name="Acct454S">'[12]Func Study'!$H$318</definedName>
    <definedName name="Acct456S">'[12]Func Study'!$H$325</definedName>
    <definedName name="Acct510" localSheetId="10">'[12]Func Study'!#REF!</definedName>
    <definedName name="Acct510" localSheetId="11">'[12]Func Study'!#REF!</definedName>
    <definedName name="Acct510" localSheetId="20">'[12]Func Study'!#REF!</definedName>
    <definedName name="Acct510">'[12]Func Study'!#REF!</definedName>
    <definedName name="Acct510DNPPSU" localSheetId="10">'[12]Func Study'!#REF!</definedName>
    <definedName name="Acct510DNPPSU" localSheetId="11">'[12]Func Study'!#REF!</definedName>
    <definedName name="Acct510DNPPSU" localSheetId="20">'[12]Func Study'!#REF!</definedName>
    <definedName name="Acct510DNPPSU">'[12]Func Study'!#REF!</definedName>
    <definedName name="ACCT510JBG" localSheetId="10">'[12]Func Study'!#REF!</definedName>
    <definedName name="ACCT510JBG" localSheetId="11">'[12]Func Study'!#REF!</definedName>
    <definedName name="ACCT510JBG" localSheetId="20">'[12]Func Study'!#REF!</definedName>
    <definedName name="ACCT510JBG">'[12]Func Study'!#REF!</definedName>
    <definedName name="ACCT510SSGCH" localSheetId="10">'[12]Func Study'!#REF!</definedName>
    <definedName name="ACCT510SSGCH" localSheetId="11">'[12]Func Study'!#REF!</definedName>
    <definedName name="ACCT510SSGCH" localSheetId="20">'[12]Func Study'!#REF!</definedName>
    <definedName name="ACCT510SSGCH">'[12]Func Study'!#REF!</definedName>
    <definedName name="ACCT557CAGE">'[12]Func Study'!$H$683</definedName>
    <definedName name="Acct557CT">'[12]Func Study'!$H$681</definedName>
    <definedName name="Acct580">'[12]Func Study'!$H$791</definedName>
    <definedName name="Acct581">'[12]Func Study'!$H$796</definedName>
    <definedName name="Acct582">'[12]Func Study'!$H$801</definedName>
    <definedName name="Acct583">'[12]Func Study'!$H$806</definedName>
    <definedName name="Acct584">'[12]Func Study'!$H$811</definedName>
    <definedName name="Acct585">'[12]Func Study'!$H$816</definedName>
    <definedName name="Acct586">'[12]Func Study'!$H$821</definedName>
    <definedName name="Acct587">'[12]Func Study'!$H$826</definedName>
    <definedName name="Acct588">'[12]Func Study'!$H$831</definedName>
    <definedName name="Acct589">'[12]Func Study'!$H$836</definedName>
    <definedName name="Acct590">'[12]Func Study'!$H$841</definedName>
    <definedName name="Acct591">'[12]Func Study'!$H$846</definedName>
    <definedName name="Acct592">'[12]Func Study'!$H$851</definedName>
    <definedName name="Acct593">'[12]Func Study'!$H$856</definedName>
    <definedName name="Acct594">'[12]Func Study'!$H$861</definedName>
    <definedName name="Acct595">'[12]Func Study'!$H$866</definedName>
    <definedName name="Acct596">'[12]Func Study'!$H$876</definedName>
    <definedName name="Acct597">'[12]Func Study'!$H$881</definedName>
    <definedName name="Acct598">'[12]Func Study'!$H$886</definedName>
    <definedName name="ACCT904SG" localSheetId="10">'[15]Functional Study'!#REF!</definedName>
    <definedName name="ACCT904SG" localSheetId="11">'[15]Functional Study'!#REF!</definedName>
    <definedName name="ACCT904SG" localSheetId="20">'[15]Functional Study'!#REF!</definedName>
    <definedName name="ACCT904SG" localSheetId="19">'[15]Functional Study'!#REF!</definedName>
    <definedName name="ACCT904SG" localSheetId="23">'[16]Functional Study'!#REF!</definedName>
    <definedName name="ACCT904SG">'[15]Functional Study'!#REF!</definedName>
    <definedName name="AcctAGA">'[12]Func Study'!$H$296</definedName>
    <definedName name="AcctDFAD" localSheetId="10">'[12]Func Study'!#REF!</definedName>
    <definedName name="AcctDFAD" localSheetId="11">'[12]Func Study'!#REF!</definedName>
    <definedName name="AcctDFAD" localSheetId="20">'[12]Func Study'!#REF!</definedName>
    <definedName name="AcctDFAD">'[12]Func Study'!#REF!</definedName>
    <definedName name="AcctDFAP" localSheetId="10">'[12]Func Study'!#REF!</definedName>
    <definedName name="AcctDFAP" localSheetId="11">'[12]Func Study'!#REF!</definedName>
    <definedName name="AcctDFAP" localSheetId="20">'[12]Func Study'!#REF!</definedName>
    <definedName name="AcctDFAP">'[12]Func Study'!#REF!</definedName>
    <definedName name="AcctDFAT" localSheetId="10">'[12]Func Study'!#REF!</definedName>
    <definedName name="AcctDFAT" localSheetId="11">'[12]Func Study'!#REF!</definedName>
    <definedName name="AcctDFAT" localSheetId="20">'[12]Func Study'!#REF!</definedName>
    <definedName name="AcctDFAT">'[12]Func Study'!#REF!</definedName>
    <definedName name="AcctTable">[17]Variables!$AK$42:$AK$396</definedName>
    <definedName name="AcctTS0">'[12]Func Study'!$H$1686</definedName>
    <definedName name="ActualROR">'[11]G+T+D+R+M'!$H$61</definedName>
    <definedName name="Adjs2avg" localSheetId="7">[18]Inputs!$L$255:'[18]Inputs'!$T$505</definedName>
    <definedName name="Adjs2avg">[18]Inputs!$L$255:'[18]Inputs'!$T$505</definedName>
    <definedName name="APR" localSheetId="5">#REF!</definedName>
    <definedName name="APR" localSheetId="4">#REF!</definedName>
    <definedName name="APR" localSheetId="25">#REF!</definedName>
    <definedName name="APR" localSheetId="26">#REF!</definedName>
    <definedName name="APR" localSheetId="10">#REF!</definedName>
    <definedName name="APR" localSheetId="11">[19]Backup!#REF!</definedName>
    <definedName name="APR" localSheetId="21">#REF!</definedName>
    <definedName name="APR" localSheetId="22">#REF!</definedName>
    <definedName name="APR" localSheetId="20">#REF!</definedName>
    <definedName name="APR" localSheetId="19">[19]Backup!#REF!</definedName>
    <definedName name="APR" localSheetId="23">[19]Backup!#REF!</definedName>
    <definedName name="APR" localSheetId="7">[19]Backup!#REF!</definedName>
    <definedName name="APR">[19]Backup!#REF!</definedName>
    <definedName name="APRT" localSheetId="10">#REF!</definedName>
    <definedName name="APRT" localSheetId="11">#REF!</definedName>
    <definedName name="APRT" localSheetId="20">#REF!</definedName>
    <definedName name="APRT" localSheetId="19">#REF!</definedName>
    <definedName name="APRT" localSheetId="7">#REF!</definedName>
    <definedName name="APRT">#REF!</definedName>
    <definedName name="AUG" localSheetId="5">#REF!</definedName>
    <definedName name="AUG" localSheetId="4">#REF!</definedName>
    <definedName name="AUG" localSheetId="25">#REF!</definedName>
    <definedName name="AUG" localSheetId="26">#REF!</definedName>
    <definedName name="AUG" localSheetId="10">#REF!</definedName>
    <definedName name="AUG" localSheetId="11">[19]Backup!#REF!</definedName>
    <definedName name="AUG" localSheetId="21">#REF!</definedName>
    <definedName name="AUG" localSheetId="22">#REF!</definedName>
    <definedName name="AUG" localSheetId="20">#REF!</definedName>
    <definedName name="AUG" localSheetId="19">[19]Backup!#REF!</definedName>
    <definedName name="AUG" localSheetId="23">[19]Backup!#REF!</definedName>
    <definedName name="AUG" localSheetId="7">[19]Backup!#REF!</definedName>
    <definedName name="AUG">[19]Backup!#REF!</definedName>
    <definedName name="AUGT" localSheetId="10">#REF!</definedName>
    <definedName name="AUGT" localSheetId="11">#REF!</definedName>
    <definedName name="AUGT" localSheetId="20">#REF!</definedName>
    <definedName name="AUGT" localSheetId="19">#REF!</definedName>
    <definedName name="AUGT" localSheetId="7">#REF!</definedName>
    <definedName name="AUGT">#REF!</definedName>
    <definedName name="AvgFactors">[17]Factors!$B$3:$P$99</definedName>
    <definedName name="BACK1" localSheetId="10">#REF!</definedName>
    <definedName name="BACK1" localSheetId="11">#REF!</definedName>
    <definedName name="BACK1" localSheetId="20">#REF!</definedName>
    <definedName name="BACK1" localSheetId="19">#REF!</definedName>
    <definedName name="BACK1" localSheetId="7">#REF!</definedName>
    <definedName name="BACK1">#REF!</definedName>
    <definedName name="BACK2" localSheetId="10">#REF!</definedName>
    <definedName name="BACK2" localSheetId="11">#REF!</definedName>
    <definedName name="BACK2" localSheetId="20">#REF!</definedName>
    <definedName name="BACK2" localSheetId="19">#REF!</definedName>
    <definedName name="BACK2" localSheetId="7">#REF!</definedName>
    <definedName name="BACK2">#REF!</definedName>
    <definedName name="BACK3" localSheetId="10">#REF!</definedName>
    <definedName name="BACK3" localSheetId="11">#REF!</definedName>
    <definedName name="BACK3" localSheetId="20">#REF!</definedName>
    <definedName name="BACK3" localSheetId="19">#REF!</definedName>
    <definedName name="BACK3" localSheetId="7">#REF!</definedName>
    <definedName name="BACK3">#REF!</definedName>
    <definedName name="BACKUP1" localSheetId="10">#REF!</definedName>
    <definedName name="BACKUP1" localSheetId="11">#REF!</definedName>
    <definedName name="BACKUP1" localSheetId="20">#REF!</definedName>
    <definedName name="BACKUP1" localSheetId="19">#REF!</definedName>
    <definedName name="BACKUP1">#REF!</definedName>
    <definedName name="BOOKADJ" localSheetId="10">#REF!</definedName>
    <definedName name="BOOKADJ" localSheetId="11">#REF!</definedName>
    <definedName name="BOOKADJ" localSheetId="20">#REF!</definedName>
    <definedName name="BOOKADJ" localSheetId="19">#REF!</definedName>
    <definedName name="BOOKADJ">#REF!</definedName>
    <definedName name="cap">[20]Readings!$B$2</definedName>
    <definedName name="Check" localSheetId="10">#REF!</definedName>
    <definedName name="Check" localSheetId="11">#REF!</definedName>
    <definedName name="Check" localSheetId="21">#REF!</definedName>
    <definedName name="Check" localSheetId="22">#REF!</definedName>
    <definedName name="Check" localSheetId="20">#REF!</definedName>
    <definedName name="Check" localSheetId="19">#REF!</definedName>
    <definedName name="Check">#REF!</definedName>
    <definedName name="Classification">'[12]Func Study'!$AB$251</definedName>
    <definedName name="COMADJ" localSheetId="10">#REF!</definedName>
    <definedName name="COMADJ" localSheetId="11">#REF!</definedName>
    <definedName name="COMADJ" localSheetId="20">#REF!</definedName>
    <definedName name="COMADJ" localSheetId="19">#REF!</definedName>
    <definedName name="COMADJ">#REF!</definedName>
    <definedName name="COMP" localSheetId="10">#REF!</definedName>
    <definedName name="COMP" localSheetId="11">#REF!</definedName>
    <definedName name="COMP" localSheetId="20">#REF!</definedName>
    <definedName name="COMP" localSheetId="19">#REF!</definedName>
    <definedName name="COMP" localSheetId="7">#REF!</definedName>
    <definedName name="COMP">#REF!</definedName>
    <definedName name="COMPACTUAL" localSheetId="10">#REF!</definedName>
    <definedName name="COMPACTUAL" localSheetId="11">#REF!</definedName>
    <definedName name="COMPACTUAL" localSheetId="20">#REF!</definedName>
    <definedName name="COMPACTUAL" localSheetId="19">#REF!</definedName>
    <definedName name="COMPACTUAL">#REF!</definedName>
    <definedName name="COMPT" localSheetId="10">#REF!</definedName>
    <definedName name="COMPT" localSheetId="11">#REF!</definedName>
    <definedName name="COMPT" localSheetId="20">#REF!</definedName>
    <definedName name="COMPT" localSheetId="19">#REF!</definedName>
    <definedName name="COMPT" localSheetId="7">#REF!</definedName>
    <definedName name="COMPT">#REF!</definedName>
    <definedName name="COMPWEATHER" localSheetId="10">#REF!</definedName>
    <definedName name="COMPWEATHER" localSheetId="11">#REF!</definedName>
    <definedName name="COMPWEATHER" localSheetId="20">#REF!</definedName>
    <definedName name="COMPWEATHER" localSheetId="19">#REF!</definedName>
    <definedName name="COMPWEATHER">#REF!</definedName>
    <definedName name="COSFacVal">[12]Inputs!$R$5</definedName>
    <definedName name="_xlnm.Database" localSheetId="10">[21]Invoice!#REF!</definedName>
    <definedName name="_xlnm.Database" localSheetId="11">[21]Invoice!#REF!</definedName>
    <definedName name="_xlnm.Database" localSheetId="21">[21]Invoice!#REF!</definedName>
    <definedName name="_xlnm.Database" localSheetId="22">[21]Invoice!#REF!</definedName>
    <definedName name="_xlnm.Database" localSheetId="20">[21]Invoice!#REF!</definedName>
    <definedName name="_xlnm.Database" localSheetId="19">[21]Invoice!#REF!</definedName>
    <definedName name="_xlnm.Database" localSheetId="7">[21]Invoice!#REF!</definedName>
    <definedName name="_xlnm.Database">[21]Invoice!#REF!</definedName>
    <definedName name="DATE" localSheetId="10">[22]Jan!#REF!</definedName>
    <definedName name="DATE" localSheetId="11">[22]Jan!#REF!</definedName>
    <definedName name="DATE" localSheetId="20">[22]Jan!#REF!</definedName>
    <definedName name="DATE" localSheetId="19">[22]Jan!#REF!</definedName>
    <definedName name="DATE">[22]Jan!#REF!</definedName>
    <definedName name="DEC" localSheetId="5">#REF!</definedName>
    <definedName name="DEC" localSheetId="4">#REF!</definedName>
    <definedName name="DEC" localSheetId="25">#REF!</definedName>
    <definedName name="DEC" localSheetId="26">#REF!</definedName>
    <definedName name="DEC" localSheetId="10">#REF!</definedName>
    <definedName name="DEC" localSheetId="11">[19]Backup!#REF!</definedName>
    <definedName name="DEC" localSheetId="21">#REF!</definedName>
    <definedName name="DEC" localSheetId="22">#REF!</definedName>
    <definedName name="DEC" localSheetId="20">#REF!</definedName>
    <definedName name="DEC" localSheetId="19">[19]Backup!#REF!</definedName>
    <definedName name="DEC" localSheetId="23">[19]Backup!#REF!</definedName>
    <definedName name="DEC" localSheetId="7">[19]Backup!#REF!</definedName>
    <definedName name="DEC">[19]Backup!#REF!</definedName>
    <definedName name="DECT" localSheetId="10">#REF!</definedName>
    <definedName name="DECT" localSheetId="11">#REF!</definedName>
    <definedName name="DECT" localSheetId="20">#REF!</definedName>
    <definedName name="DECT" localSheetId="19">#REF!</definedName>
    <definedName name="DECT" localSheetId="7">#REF!</definedName>
    <definedName name="DECT">#REF!</definedName>
    <definedName name="Demand">[11]Inputs!$D$8</definedName>
    <definedName name="Demand2">[23]Inputs!$D$11</definedName>
    <definedName name="Dis">'[12]Func Study'!$AB$250</definedName>
    <definedName name="DisFac">'[12]Func Dist Factor Table'!$A$11:$G$25</definedName>
    <definedName name="Dist_factor" localSheetId="10">#REF!</definedName>
    <definedName name="Dist_factor" localSheetId="11">#REF!</definedName>
    <definedName name="Dist_factor" localSheetId="20">#REF!</definedName>
    <definedName name="Dist_factor" localSheetId="19">#REF!</definedName>
    <definedName name="Dist_factor">#REF!</definedName>
    <definedName name="DistPeakMethod" localSheetId="10">[15]Inputs!#REF!</definedName>
    <definedName name="DistPeakMethod" localSheetId="11">[15]Inputs!#REF!</definedName>
    <definedName name="DistPeakMethod" localSheetId="20">[15]Inputs!#REF!</definedName>
    <definedName name="DistPeakMethod" localSheetId="19">[15]Inputs!#REF!</definedName>
    <definedName name="DistPeakMethod" localSheetId="23">[16]Inputs!#REF!</definedName>
    <definedName name="DistPeakMethod">[15]Inputs!#REF!</definedName>
    <definedName name="DUDE" localSheetId="10" hidden="1">#REF!</definedName>
    <definedName name="DUDE" localSheetId="11" hidden="1">#REF!</definedName>
    <definedName name="DUDE" localSheetId="20" hidden="1">#REF!</definedName>
    <definedName name="DUDE" localSheetId="19" hidden="1">#REF!</definedName>
    <definedName name="DUDE" localSheetId="7" hidden="1">#REF!</definedName>
    <definedName name="DUDE" hidden="1">#REF!</definedName>
    <definedName name="energy">[20]Readings!$B$3</definedName>
    <definedName name="Engy">[11]Inputs!$D$9</definedName>
    <definedName name="Engy2">[23]Inputs!$D$12</definedName>
    <definedName name="f101top" localSheetId="10">#REF!</definedName>
    <definedName name="f101top" localSheetId="11">#REF!</definedName>
    <definedName name="f101top" localSheetId="21">#REF!</definedName>
    <definedName name="f101top" localSheetId="22">#REF!</definedName>
    <definedName name="f101top" localSheetId="20">#REF!</definedName>
    <definedName name="f101top" localSheetId="19">#REF!</definedName>
    <definedName name="f101top">#REF!</definedName>
    <definedName name="f104top" localSheetId="10">#REF!</definedName>
    <definedName name="f104top" localSheetId="11">#REF!</definedName>
    <definedName name="f104top" localSheetId="21">#REF!</definedName>
    <definedName name="f104top" localSheetId="22">#REF!</definedName>
    <definedName name="f104top" localSheetId="20">#REF!</definedName>
    <definedName name="f104top" localSheetId="19">#REF!</definedName>
    <definedName name="f104top">#REF!</definedName>
    <definedName name="f138top" localSheetId="10">#REF!</definedName>
    <definedName name="f138top" localSheetId="11">#REF!</definedName>
    <definedName name="f138top" localSheetId="21">#REF!</definedName>
    <definedName name="f138top" localSheetId="22">#REF!</definedName>
    <definedName name="f138top" localSheetId="20">#REF!</definedName>
    <definedName name="f138top" localSheetId="19">#REF!</definedName>
    <definedName name="f138top">#REF!</definedName>
    <definedName name="f140top" localSheetId="10">#REF!</definedName>
    <definedName name="f140top" localSheetId="11">#REF!</definedName>
    <definedName name="f140top" localSheetId="21">#REF!</definedName>
    <definedName name="f140top" localSheetId="22">#REF!</definedName>
    <definedName name="f140top" localSheetId="20">#REF!</definedName>
    <definedName name="f140top" localSheetId="19">#REF!</definedName>
    <definedName name="f140top">#REF!</definedName>
    <definedName name="Factorck">'[12]COS Factor Table'!$O$15:$O$113</definedName>
    <definedName name="FactorType">[17]Variables!$AK$2:$AL$12</definedName>
    <definedName name="FACTP" localSheetId="10">#REF!</definedName>
    <definedName name="FACTP" localSheetId="11">#REF!</definedName>
    <definedName name="FACTP" localSheetId="21">#REF!</definedName>
    <definedName name="FACTP" localSheetId="22">#REF!</definedName>
    <definedName name="FACTP" localSheetId="20">#REF!</definedName>
    <definedName name="FACTP" localSheetId="19">#REF!</definedName>
    <definedName name="FACTP">#REF!</definedName>
    <definedName name="FactSum">'[12]COS Factor Table'!$A$14:$O$113</definedName>
    <definedName name="FEB" localSheetId="5">#REF!</definedName>
    <definedName name="FEB" localSheetId="4">#REF!</definedName>
    <definedName name="FEB" localSheetId="25">#REF!</definedName>
    <definedName name="FEB" localSheetId="26">#REF!</definedName>
    <definedName name="FEB" localSheetId="10">#REF!</definedName>
    <definedName name="FEB" localSheetId="11">[19]Backup!#REF!</definedName>
    <definedName name="FEB" localSheetId="21">#REF!</definedName>
    <definedName name="FEB" localSheetId="22">#REF!</definedName>
    <definedName name="FEB" localSheetId="20">#REF!</definedName>
    <definedName name="FEB" localSheetId="19">[19]Backup!#REF!</definedName>
    <definedName name="FEB" localSheetId="23">[19]Backup!#REF!</definedName>
    <definedName name="FEB" localSheetId="7">[19]Backup!#REF!</definedName>
    <definedName name="FEB">[19]Backup!#REF!</definedName>
    <definedName name="FEBT" localSheetId="10">#REF!</definedName>
    <definedName name="FEBT" localSheetId="11">#REF!</definedName>
    <definedName name="FEBT" localSheetId="20">#REF!</definedName>
    <definedName name="FEBT" localSheetId="19">#REF!</definedName>
    <definedName name="FEBT" localSheetId="7">#REF!</definedName>
    <definedName name="FEBT">#REF!</definedName>
    <definedName name="FranchiseTax" localSheetId="7">[18]Variables!$D$26</definedName>
    <definedName name="FranchiseTax">[18]Variables!$D$26</definedName>
    <definedName name="Func">'[12]Func Factor Table'!$A$10:$H$77</definedName>
    <definedName name="Func_Ftrs" localSheetId="10">#REF!</definedName>
    <definedName name="Func_Ftrs" localSheetId="11">#REF!</definedName>
    <definedName name="Func_Ftrs" localSheetId="20">#REF!</definedName>
    <definedName name="Func_Ftrs" localSheetId="19">#REF!</definedName>
    <definedName name="Func_Ftrs" localSheetId="7">#REF!</definedName>
    <definedName name="Func_Ftrs">#REF!</definedName>
    <definedName name="Func_GTD_Percents" localSheetId="10">#REF!</definedName>
    <definedName name="Func_GTD_Percents" localSheetId="11">#REF!</definedName>
    <definedName name="Func_GTD_Percents" localSheetId="20">#REF!</definedName>
    <definedName name="Func_GTD_Percents" localSheetId="19">#REF!</definedName>
    <definedName name="Func_GTD_Percents" localSheetId="7">#REF!</definedName>
    <definedName name="Func_GTD_Percents">#REF!</definedName>
    <definedName name="Func_MC" localSheetId="10">#REF!</definedName>
    <definedName name="Func_MC" localSheetId="11">#REF!</definedName>
    <definedName name="Func_MC" localSheetId="20">#REF!</definedName>
    <definedName name="Func_MC" localSheetId="19">#REF!</definedName>
    <definedName name="Func_MC" localSheetId="7">#REF!</definedName>
    <definedName name="Func_MC">#REF!</definedName>
    <definedName name="Func_Percents" localSheetId="10">#REF!</definedName>
    <definedName name="Func_Percents" localSheetId="11">#REF!</definedName>
    <definedName name="Func_Percents" localSheetId="20">#REF!</definedName>
    <definedName name="Func_Percents" localSheetId="19">#REF!</definedName>
    <definedName name="Func_Percents" localSheetId="7">#REF!</definedName>
    <definedName name="Func_Percents">#REF!</definedName>
    <definedName name="Func_Rev_Req1" localSheetId="10">#REF!</definedName>
    <definedName name="Func_Rev_Req1" localSheetId="11">#REF!</definedName>
    <definedName name="Func_Rev_Req1" localSheetId="20">#REF!</definedName>
    <definedName name="Func_Rev_Req1" localSheetId="19">#REF!</definedName>
    <definedName name="Func_Rev_Req1" localSheetId="7">#REF!</definedName>
    <definedName name="Func_Rev_Req1">#REF!</definedName>
    <definedName name="Func_Rev_Req2" localSheetId="10">#REF!</definedName>
    <definedName name="Func_Rev_Req2" localSheetId="11">#REF!</definedName>
    <definedName name="Func_Rev_Req2" localSheetId="20">#REF!</definedName>
    <definedName name="Func_Rev_Req2" localSheetId="19">#REF!</definedName>
    <definedName name="Func_Rev_Req2" localSheetId="7">#REF!</definedName>
    <definedName name="Func_Rev_Req2">#REF!</definedName>
    <definedName name="Func_Revenue" localSheetId="10">#REF!</definedName>
    <definedName name="Func_Revenue" localSheetId="11">#REF!</definedName>
    <definedName name="Func_Revenue" localSheetId="20">#REF!</definedName>
    <definedName name="Func_Revenue" localSheetId="19">#REF!</definedName>
    <definedName name="Func_Revenue" localSheetId="7">#REF!</definedName>
    <definedName name="Func_Revenue">#REF!</definedName>
    <definedName name="Function">'[12]Func Study'!$AB$250</definedName>
    <definedName name="GREATER10MW" localSheetId="10">#REF!</definedName>
    <definedName name="GREATER10MW" localSheetId="11">#REF!</definedName>
    <definedName name="GREATER10MW" localSheetId="20">#REF!</definedName>
    <definedName name="GREATER10MW" localSheetId="19">#REF!</definedName>
    <definedName name="GREATER10MW">#REF!</definedName>
    <definedName name="GTD_Percents" localSheetId="10">#REF!</definedName>
    <definedName name="GTD_Percents" localSheetId="11">#REF!</definedName>
    <definedName name="GTD_Percents" localSheetId="20">#REF!</definedName>
    <definedName name="GTD_Percents" localSheetId="19">#REF!</definedName>
    <definedName name="GTD_Percents" localSheetId="7">#REF!</definedName>
    <definedName name="GTD_Percents">#REF!</definedName>
    <definedName name="HEIGHT" localSheetId="10">#REF!</definedName>
    <definedName name="HEIGHT" localSheetId="11">#REF!</definedName>
    <definedName name="HEIGHT" localSheetId="20">#REF!</definedName>
    <definedName name="HEIGHT" localSheetId="19">#REF!</definedName>
    <definedName name="HEIGHT" localSheetId="7">#REF!</definedName>
    <definedName name="HEIGHT">#REF!</definedName>
    <definedName name="ID_0303_RVN_data" localSheetId="10">#REF!</definedName>
    <definedName name="ID_0303_RVN_data" localSheetId="11">#REF!</definedName>
    <definedName name="ID_0303_RVN_data" localSheetId="20">#REF!</definedName>
    <definedName name="ID_0303_RVN_data" localSheetId="19">#REF!</definedName>
    <definedName name="ID_0303_RVN_data" localSheetId="7">#REF!</definedName>
    <definedName name="ID_0303_RVN_data">#REF!</definedName>
    <definedName name="IDcontractsRVN" localSheetId="10">#REF!</definedName>
    <definedName name="IDcontractsRVN" localSheetId="11">#REF!</definedName>
    <definedName name="IDcontractsRVN" localSheetId="20">#REF!</definedName>
    <definedName name="IDcontractsRVN" localSheetId="19">#REF!</definedName>
    <definedName name="IDcontractsRVN" localSheetId="7">#REF!</definedName>
    <definedName name="IDcontractsRVN">#REF!</definedName>
    <definedName name="INDADJ" localSheetId="10">#REF!</definedName>
    <definedName name="INDADJ" localSheetId="11">#REF!</definedName>
    <definedName name="INDADJ" localSheetId="20">#REF!</definedName>
    <definedName name="INDADJ" localSheetId="19">#REF!</definedName>
    <definedName name="INDADJ">#REF!</definedName>
    <definedName name="INPUT" localSheetId="10">[24]Summary!#REF!</definedName>
    <definedName name="INPUT" localSheetId="11">[24]Summary!#REF!</definedName>
    <definedName name="INPUT" localSheetId="20">[24]Summary!#REF!</definedName>
    <definedName name="INPUT" localSheetId="19">[24]Summary!#REF!</definedName>
    <definedName name="INPUT" localSheetId="23">[25]Summary!#REF!</definedName>
    <definedName name="INPUT">[24]Summary!#REF!</definedName>
    <definedName name="Instructions" localSheetId="10">#REF!</definedName>
    <definedName name="Instructions" localSheetId="11">#REF!</definedName>
    <definedName name="Instructions" localSheetId="21">#REF!</definedName>
    <definedName name="Instructions" localSheetId="22">#REF!</definedName>
    <definedName name="Instructions" localSheetId="20">#REF!</definedName>
    <definedName name="Instructions" localSheetId="19">#REF!</definedName>
    <definedName name="Instructions">#REF!</definedName>
    <definedName name="JAN" localSheetId="5">#REF!</definedName>
    <definedName name="JAN" localSheetId="4">#REF!</definedName>
    <definedName name="JAN" localSheetId="25">#REF!</definedName>
    <definedName name="JAN" localSheetId="26">#REF!</definedName>
    <definedName name="JAN" localSheetId="10">#REF!</definedName>
    <definedName name="JAN" localSheetId="11">[19]Backup!#REF!</definedName>
    <definedName name="JAN" localSheetId="21">#REF!</definedName>
    <definedName name="JAN" localSheetId="22">#REF!</definedName>
    <definedName name="JAN" localSheetId="20">#REF!</definedName>
    <definedName name="JAN" localSheetId="19">[19]Backup!#REF!</definedName>
    <definedName name="JAN" localSheetId="23">[19]Backup!#REF!</definedName>
    <definedName name="JAN" localSheetId="7">[19]Backup!#REF!</definedName>
    <definedName name="JAN">[19]Backup!#REF!</definedName>
    <definedName name="JANT" localSheetId="10">#REF!</definedName>
    <definedName name="JANT" localSheetId="11">#REF!</definedName>
    <definedName name="JANT" localSheetId="20">#REF!</definedName>
    <definedName name="JANT" localSheetId="19">#REF!</definedName>
    <definedName name="JANT" localSheetId="7">#REF!</definedName>
    <definedName name="JANT">#REF!</definedName>
    <definedName name="jjj" localSheetId="23">[26]Inputs!$N$18</definedName>
    <definedName name="jjj">[27]Inputs!$N$18</definedName>
    <definedName name="JUL" localSheetId="5">#REF!</definedName>
    <definedName name="JUL" localSheetId="4">#REF!</definedName>
    <definedName name="JUL" localSheetId="25">#REF!</definedName>
    <definedName name="JUL" localSheetId="26">#REF!</definedName>
    <definedName name="JUL" localSheetId="10">#REF!</definedName>
    <definedName name="JUL" localSheetId="11">[19]Backup!#REF!</definedName>
    <definedName name="JUL" localSheetId="21">#REF!</definedName>
    <definedName name="JUL" localSheetId="22">#REF!</definedName>
    <definedName name="JUL" localSheetId="20">#REF!</definedName>
    <definedName name="JUL" localSheetId="19">[19]Backup!#REF!</definedName>
    <definedName name="JUL" localSheetId="23">[19]Backup!#REF!</definedName>
    <definedName name="JUL" localSheetId="7">[19]Backup!#REF!</definedName>
    <definedName name="JUL">[19]Backup!#REF!</definedName>
    <definedName name="JULT" localSheetId="10">#REF!</definedName>
    <definedName name="JULT" localSheetId="11">#REF!</definedName>
    <definedName name="JULT" localSheetId="20">#REF!</definedName>
    <definedName name="JULT" localSheetId="19">#REF!</definedName>
    <definedName name="JULT" localSheetId="7">#REF!</definedName>
    <definedName name="JULT">#REF!</definedName>
    <definedName name="JUN" localSheetId="5">#REF!</definedName>
    <definedName name="JUN" localSheetId="4">#REF!</definedName>
    <definedName name="JUN" localSheetId="25">#REF!</definedName>
    <definedName name="JUN" localSheetId="26">#REF!</definedName>
    <definedName name="JUN" localSheetId="10">#REF!</definedName>
    <definedName name="JUN" localSheetId="11">[19]Backup!#REF!</definedName>
    <definedName name="JUN" localSheetId="21">#REF!</definedName>
    <definedName name="JUN" localSheetId="22">#REF!</definedName>
    <definedName name="JUN" localSheetId="20">#REF!</definedName>
    <definedName name="JUN" localSheetId="19">[19]Backup!#REF!</definedName>
    <definedName name="JUN" localSheetId="23">[19]Backup!#REF!</definedName>
    <definedName name="JUN" localSheetId="7">[19]Backup!#REF!</definedName>
    <definedName name="JUN">[19]Backup!#REF!</definedName>
    <definedName name="JUNT" localSheetId="10">#REF!</definedName>
    <definedName name="JUNT" localSheetId="11">#REF!</definedName>
    <definedName name="JUNT" localSheetId="20">#REF!</definedName>
    <definedName name="JUNT" localSheetId="19">#REF!</definedName>
    <definedName name="JUNT" localSheetId="7">#REF!</definedName>
    <definedName name="JUNT">#REF!</definedName>
    <definedName name="Jurisdiction">[17]Variables!$AK$15</definedName>
    <definedName name="JurisNumber">[17]Variables!$AL$15</definedName>
    <definedName name="LABORMOD" localSheetId="10">#REF!</definedName>
    <definedName name="LABORMOD" localSheetId="11">#REF!</definedName>
    <definedName name="LABORMOD" localSheetId="20">#REF!</definedName>
    <definedName name="LABORMOD" localSheetId="19">#REF!</definedName>
    <definedName name="LABORMOD" localSheetId="7">#REF!</definedName>
    <definedName name="LABORMOD">#REF!</definedName>
    <definedName name="LABORROLL" localSheetId="10">#REF!</definedName>
    <definedName name="LABORROLL" localSheetId="11">#REF!</definedName>
    <definedName name="LABORROLL" localSheetId="20">#REF!</definedName>
    <definedName name="LABORROLL" localSheetId="19">#REF!</definedName>
    <definedName name="LABORROLL" localSheetId="7">#REF!</definedName>
    <definedName name="LABORROLL">#REF!</definedName>
    <definedName name="limcount" hidden="1">1</definedName>
    <definedName name="Line_Ext_Credit" localSheetId="10">#REF!</definedName>
    <definedName name="Line_Ext_Credit" localSheetId="11">#REF!</definedName>
    <definedName name="Line_Ext_Credit" localSheetId="20">#REF!</definedName>
    <definedName name="Line_Ext_Credit" localSheetId="19">#REF!</definedName>
    <definedName name="Line_Ext_Credit" localSheetId="7">#REF!</definedName>
    <definedName name="Line_Ext_Credit">#REF!</definedName>
    <definedName name="LinkCos">'[12]JAM Download'!$K$4</definedName>
    <definedName name="LOG" localSheetId="10">[19]Backup!#REF!</definedName>
    <definedName name="LOG" localSheetId="11">[19]Backup!#REF!</definedName>
    <definedName name="LOG" localSheetId="20">[19]Backup!#REF!</definedName>
    <definedName name="LOG" localSheetId="19">[19]Backup!#REF!</definedName>
    <definedName name="LOG" localSheetId="23">[19]Backup!#REF!</definedName>
    <definedName name="LOG">[19]Backup!#REF!</definedName>
    <definedName name="LOSS" localSheetId="10">[19]Backup!#REF!</definedName>
    <definedName name="LOSS" localSheetId="11">[19]Backup!#REF!</definedName>
    <definedName name="LOSS" localSheetId="20">[19]Backup!#REF!</definedName>
    <definedName name="LOSS" localSheetId="19">[19]Backup!#REF!</definedName>
    <definedName name="LOSS">[19]Backup!#REF!</definedName>
    <definedName name="MACTIT" localSheetId="10">#REF!</definedName>
    <definedName name="MACTIT" localSheetId="11">#REF!</definedName>
    <definedName name="MACTIT" localSheetId="21">#REF!</definedName>
    <definedName name="MACTIT" localSheetId="22">#REF!</definedName>
    <definedName name="MACTIT" localSheetId="20">#REF!</definedName>
    <definedName name="MACTIT" localSheetId="19">#REF!</definedName>
    <definedName name="MACTIT">#REF!</definedName>
    <definedName name="MAR" localSheetId="5">#REF!</definedName>
    <definedName name="MAR" localSheetId="4">#REF!</definedName>
    <definedName name="MAR" localSheetId="25">#REF!</definedName>
    <definedName name="MAR" localSheetId="26">#REF!</definedName>
    <definedName name="MAR" localSheetId="10">#REF!</definedName>
    <definedName name="MAR" localSheetId="11">[19]Backup!#REF!</definedName>
    <definedName name="MAR" localSheetId="21">#REF!</definedName>
    <definedName name="MAR" localSheetId="22">#REF!</definedName>
    <definedName name="MAR" localSheetId="20">#REF!</definedName>
    <definedName name="MAR" localSheetId="19">[19]Backup!#REF!</definedName>
    <definedName name="MAR" localSheetId="23">[19]Backup!#REF!</definedName>
    <definedName name="MAR" localSheetId="7">[19]Backup!#REF!</definedName>
    <definedName name="MAR">[19]Backup!#REF!</definedName>
    <definedName name="MART" localSheetId="10">#REF!</definedName>
    <definedName name="MART" localSheetId="11">#REF!</definedName>
    <definedName name="MART" localSheetId="20">#REF!</definedName>
    <definedName name="MART" localSheetId="19">#REF!</definedName>
    <definedName name="MART" localSheetId="7">#REF!</definedName>
    <definedName name="MART">#REF!</definedName>
    <definedName name="MAY" localSheetId="5">#REF!</definedName>
    <definedName name="MAY" localSheetId="4">#REF!</definedName>
    <definedName name="MAY" localSheetId="25">#REF!</definedName>
    <definedName name="MAY" localSheetId="26">#REF!</definedName>
    <definedName name="MAY" localSheetId="10">#REF!</definedName>
    <definedName name="MAY" localSheetId="11">[19]Backup!#REF!</definedName>
    <definedName name="MAY" localSheetId="21">#REF!</definedName>
    <definedName name="MAY" localSheetId="22">#REF!</definedName>
    <definedName name="MAY" localSheetId="20">#REF!</definedName>
    <definedName name="MAY" localSheetId="19">[19]Backup!#REF!</definedName>
    <definedName name="MAY" localSheetId="23">[19]Backup!#REF!</definedName>
    <definedName name="MAY" localSheetId="7">[19]Backup!#REF!</definedName>
    <definedName name="MAY">[19]Backup!#REF!</definedName>
    <definedName name="MAYT" localSheetId="10">#REF!</definedName>
    <definedName name="MAYT" localSheetId="11">#REF!</definedName>
    <definedName name="MAYT" localSheetId="20">#REF!</definedName>
    <definedName name="MAYT" localSheetId="19">#REF!</definedName>
    <definedName name="MAYT" localSheetId="7">#REF!</definedName>
    <definedName name="MAYT">#REF!</definedName>
    <definedName name="MCtoREV" localSheetId="10">#REF!</definedName>
    <definedName name="MCtoREV" localSheetId="11">#REF!</definedName>
    <definedName name="MCtoREV" localSheetId="20">#REF!</definedName>
    <definedName name="MCtoREV" localSheetId="19">#REF!</definedName>
    <definedName name="MCtoREV" localSheetId="7">#REF!</definedName>
    <definedName name="MCtoREV">#REF!</definedName>
    <definedName name="MEN" localSheetId="10">[1]Jan!#REF!</definedName>
    <definedName name="MEN" localSheetId="11">[1]Jan!#REF!</definedName>
    <definedName name="MEN" localSheetId="20">[1]Jan!#REF!</definedName>
    <definedName name="MEN" localSheetId="19">[1]Jan!#REF!</definedName>
    <definedName name="MEN" localSheetId="23">[1]Jan!#REF!</definedName>
    <definedName name="MEN">[1]Jan!#REF!</definedName>
    <definedName name="Menu_Begin" localSheetId="10">#REF!</definedName>
    <definedName name="Menu_Begin" localSheetId="11">#REF!</definedName>
    <definedName name="Menu_Begin" localSheetId="21">#REF!</definedName>
    <definedName name="Menu_Begin" localSheetId="22">#REF!</definedName>
    <definedName name="Menu_Begin" localSheetId="20">#REF!</definedName>
    <definedName name="Menu_Begin" localSheetId="19">#REF!</definedName>
    <definedName name="Menu_Begin">#REF!</definedName>
    <definedName name="Menu_Caption" localSheetId="10">#REF!</definedName>
    <definedName name="Menu_Caption" localSheetId="11">#REF!</definedName>
    <definedName name="Menu_Caption" localSheetId="21">#REF!</definedName>
    <definedName name="Menu_Caption" localSheetId="22">#REF!</definedName>
    <definedName name="Menu_Caption" localSheetId="20">#REF!</definedName>
    <definedName name="Menu_Caption" localSheetId="19">#REF!</definedName>
    <definedName name="Menu_Caption">#REF!</definedName>
    <definedName name="Menu_Large" localSheetId="10">#REF!</definedName>
    <definedName name="Menu_Large" localSheetId="11">#REF!</definedName>
    <definedName name="Menu_Large" localSheetId="21">#REF!</definedName>
    <definedName name="Menu_Large" localSheetId="22">#REF!</definedName>
    <definedName name="Menu_Large" localSheetId="20">#REF!</definedName>
    <definedName name="Menu_Large" localSheetId="19">#REF!</definedName>
    <definedName name="Menu_Large">#REF!</definedName>
    <definedName name="Menu_Name" localSheetId="10">#REF!</definedName>
    <definedName name="Menu_Name" localSheetId="11">#REF!</definedName>
    <definedName name="Menu_Name" localSheetId="21">#REF!</definedName>
    <definedName name="Menu_Name" localSheetId="22">#REF!</definedName>
    <definedName name="Menu_Name" localSheetId="20">#REF!</definedName>
    <definedName name="Menu_Name" localSheetId="19">#REF!</definedName>
    <definedName name="Menu_Name">#REF!</definedName>
    <definedName name="Menu_OnAction" localSheetId="10">#REF!</definedName>
    <definedName name="Menu_OnAction" localSheetId="11">#REF!</definedName>
    <definedName name="Menu_OnAction" localSheetId="21">#REF!</definedName>
    <definedName name="Menu_OnAction" localSheetId="22">#REF!</definedName>
    <definedName name="Menu_OnAction" localSheetId="20">#REF!</definedName>
    <definedName name="Menu_OnAction" localSheetId="19">#REF!</definedName>
    <definedName name="Menu_OnAction">#REF!</definedName>
    <definedName name="Menu_Parent" localSheetId="10">#REF!</definedName>
    <definedName name="Menu_Parent" localSheetId="11">#REF!</definedName>
    <definedName name="Menu_Parent" localSheetId="21">#REF!</definedName>
    <definedName name="Menu_Parent" localSheetId="22">#REF!</definedName>
    <definedName name="Menu_Parent" localSheetId="20">#REF!</definedName>
    <definedName name="Menu_Parent" localSheetId="19">#REF!</definedName>
    <definedName name="Menu_Parent">#REF!</definedName>
    <definedName name="Menu_Small" localSheetId="10">#REF!</definedName>
    <definedName name="Menu_Small" localSheetId="11">#REF!</definedName>
    <definedName name="Menu_Small" localSheetId="21">#REF!</definedName>
    <definedName name="Menu_Small" localSheetId="22">#REF!</definedName>
    <definedName name="Menu_Small" localSheetId="20">#REF!</definedName>
    <definedName name="Menu_Small" localSheetId="19">#REF!</definedName>
    <definedName name="Menu_Small">#REF!</definedName>
    <definedName name="Method">[11]Inputs!$C$6</definedName>
    <definedName name="MONTH" localSheetId="10">[19]Backup!#REF!</definedName>
    <definedName name="MONTH" localSheetId="11">[19]Backup!#REF!</definedName>
    <definedName name="MONTH" localSheetId="20">[19]Backup!#REF!</definedName>
    <definedName name="MONTH" localSheetId="19">[19]Backup!#REF!</definedName>
    <definedName name="MONTH" localSheetId="7">[19]Backup!#REF!</definedName>
    <definedName name="MONTH">[19]Backup!#REF!</definedName>
    <definedName name="monthlist" localSheetId="7">[28]Table!$R$2:$S$13</definedName>
    <definedName name="monthlist">[28]Table!$R$2:$S$13</definedName>
    <definedName name="monthtotals" localSheetId="7">'[28]WA SBC'!$D$40:$O$40</definedName>
    <definedName name="monthtotals">'[28]WA SBC'!$D$40:$O$40</definedName>
    <definedName name="MTKWH" localSheetId="10">#REF!</definedName>
    <definedName name="MTKWH" localSheetId="11">#REF!</definedName>
    <definedName name="MTKWH" localSheetId="20">#REF!</definedName>
    <definedName name="MTKWH" localSheetId="19">#REF!</definedName>
    <definedName name="MTKWH">#REF!</definedName>
    <definedName name="MTR_YR3">[29]Variables!$E$14</definedName>
    <definedName name="MTREV" localSheetId="10">#REF!</definedName>
    <definedName name="MTREV" localSheetId="11">#REF!</definedName>
    <definedName name="MTREV" localSheetId="20">#REF!</definedName>
    <definedName name="MTREV" localSheetId="19">#REF!</definedName>
    <definedName name="MTREV">#REF!</definedName>
    <definedName name="MULT" localSheetId="10">#REF!</definedName>
    <definedName name="MULT" localSheetId="11">#REF!</definedName>
    <definedName name="MULT" localSheetId="20">#REF!</definedName>
    <definedName name="MULT" localSheetId="19">#REF!</definedName>
    <definedName name="MULT" localSheetId="7">#REF!</definedName>
    <definedName name="MULT">#REF!</definedName>
    <definedName name="Net_to_Gross_Factor">[12]Inputs!$G$8</definedName>
    <definedName name="NetToGross" localSheetId="7">[18]Variables!$D$23</definedName>
    <definedName name="NetToGross">[18]Variables!$D$23</definedName>
    <definedName name="NEWMO1" localSheetId="10">[1]Jan!#REF!</definedName>
    <definedName name="NEWMO1" localSheetId="11">[1]Jan!#REF!</definedName>
    <definedName name="NEWMO1" localSheetId="20">[1]Jan!#REF!</definedName>
    <definedName name="NEWMO1" localSheetId="19">[1]Jan!#REF!</definedName>
    <definedName name="NEWMO1" localSheetId="23">[1]Jan!#REF!</definedName>
    <definedName name="NEWMO1">[1]Jan!#REF!</definedName>
    <definedName name="NEWMO2" localSheetId="10">[1]Jan!#REF!</definedName>
    <definedName name="NEWMO2" localSheetId="11">[1]Jan!#REF!</definedName>
    <definedName name="NEWMO2" localSheetId="20">[1]Jan!#REF!</definedName>
    <definedName name="NEWMO2" localSheetId="19">[1]Jan!#REF!</definedName>
    <definedName name="NEWMO2">[1]Jan!#REF!</definedName>
    <definedName name="NEWMONTH" localSheetId="10">[1]Jan!#REF!</definedName>
    <definedName name="NEWMONTH" localSheetId="11">[1]Jan!#REF!</definedName>
    <definedName name="NEWMONTH" localSheetId="20">[1]Jan!#REF!</definedName>
    <definedName name="NEWMONTH" localSheetId="19">[1]Jan!#REF!</definedName>
    <definedName name="NEWMONTH">[1]Jan!#REF!</definedName>
    <definedName name="NORMALIZE" localSheetId="10">#REF!</definedName>
    <definedName name="NORMALIZE" localSheetId="11">#REF!</definedName>
    <definedName name="NORMALIZE" localSheetId="20">#REF!</definedName>
    <definedName name="NORMALIZE" localSheetId="19">#REF!</definedName>
    <definedName name="NORMALIZE" localSheetId="7">#REF!</definedName>
    <definedName name="NORMALIZE">#REF!</definedName>
    <definedName name="NOV" localSheetId="5">#REF!</definedName>
    <definedName name="NOV" localSheetId="4">#REF!</definedName>
    <definedName name="NOV" localSheetId="25">#REF!</definedName>
    <definedName name="NOV" localSheetId="26">#REF!</definedName>
    <definedName name="NOV" localSheetId="10">#REF!</definedName>
    <definedName name="NOV" localSheetId="11">[19]Backup!#REF!</definedName>
    <definedName name="NOV" localSheetId="21">#REF!</definedName>
    <definedName name="NOV" localSheetId="22">#REF!</definedName>
    <definedName name="NOV" localSheetId="20">#REF!</definedName>
    <definedName name="NOV" localSheetId="19">[19]Backup!#REF!</definedName>
    <definedName name="NOV" localSheetId="23">[19]Backup!#REF!</definedName>
    <definedName name="NOV" localSheetId="7">[19]Backup!#REF!</definedName>
    <definedName name="NOV">[19]Backup!#REF!</definedName>
    <definedName name="NOVT" localSheetId="10">#REF!</definedName>
    <definedName name="NOVT" localSheetId="11">#REF!</definedName>
    <definedName name="NOVT" localSheetId="20">#REF!</definedName>
    <definedName name="NOVT" localSheetId="19">#REF!</definedName>
    <definedName name="NOVT" localSheetId="7">#REF!</definedName>
    <definedName name="NOVT">#REF!</definedName>
    <definedName name="NPC" localSheetId="23">[16]Inputs!$N$18</definedName>
    <definedName name="NPC">[15]Inputs!$N$18</definedName>
    <definedName name="NUM" localSheetId="10">#REF!</definedName>
    <definedName name="NUM" localSheetId="11">#REF!</definedName>
    <definedName name="NUM" localSheetId="21">#REF!</definedName>
    <definedName name="NUM" localSheetId="22">#REF!</definedName>
    <definedName name="NUM" localSheetId="20">#REF!</definedName>
    <definedName name="NUM" localSheetId="19">#REF!</definedName>
    <definedName name="NUM">#REF!</definedName>
    <definedName name="OCT" localSheetId="5">#REF!</definedName>
    <definedName name="OCT" localSheetId="4">#REF!</definedName>
    <definedName name="OCT" localSheetId="25">#REF!</definedName>
    <definedName name="OCT" localSheetId="26">#REF!</definedName>
    <definedName name="OCT" localSheetId="10">#REF!</definedName>
    <definedName name="OCT" localSheetId="11">[19]Backup!#REF!</definedName>
    <definedName name="OCT" localSheetId="21">#REF!</definedName>
    <definedName name="OCT" localSheetId="22">#REF!</definedName>
    <definedName name="OCT" localSheetId="20">#REF!</definedName>
    <definedName name="OCT" localSheetId="19">[19]Backup!#REF!</definedName>
    <definedName name="OCT" localSheetId="23">[19]Backup!#REF!</definedName>
    <definedName name="OCT" localSheetId="7">[19]Backup!#REF!</definedName>
    <definedName name="OCT">[19]Backup!#REF!</definedName>
    <definedName name="OCTT" localSheetId="10">#REF!</definedName>
    <definedName name="OCTT" localSheetId="11">#REF!</definedName>
    <definedName name="OCTT" localSheetId="20">#REF!</definedName>
    <definedName name="OCTT" localSheetId="19">#REF!</definedName>
    <definedName name="OCTT" localSheetId="7">#REF!</definedName>
    <definedName name="OCTT">#REF!</definedName>
    <definedName name="ONE" localSheetId="10">[1]Jan!#REF!</definedName>
    <definedName name="ONE" localSheetId="11">[1]Jan!#REF!</definedName>
    <definedName name="ONE" localSheetId="20">[1]Jan!#REF!</definedName>
    <definedName name="ONE" localSheetId="19">[1]Jan!#REF!</definedName>
    <definedName name="ONE" localSheetId="23">[1]Jan!#REF!</definedName>
    <definedName name="ONE">[1]Jan!#REF!</definedName>
    <definedName name="option">'[30]Dist Misc'!$F$120</definedName>
    <definedName name="Page1" localSheetId="10">#REF!</definedName>
    <definedName name="Page1" localSheetId="11">#REF!</definedName>
    <definedName name="Page1" localSheetId="21">#REF!</definedName>
    <definedName name="Page1" localSheetId="22">#REF!</definedName>
    <definedName name="Page1" localSheetId="20">#REF!</definedName>
    <definedName name="Page1" localSheetId="19">#REF!</definedName>
    <definedName name="Page1">#REF!</definedName>
    <definedName name="Page110" localSheetId="10">#REF!</definedName>
    <definedName name="Page110" localSheetId="11">#REF!</definedName>
    <definedName name="Page110" localSheetId="20">#REF!</definedName>
    <definedName name="Page110" localSheetId="19">#REF!</definedName>
    <definedName name="Page110">#REF!</definedName>
    <definedName name="Page120" localSheetId="10">#REF!</definedName>
    <definedName name="Page120" localSheetId="11">#REF!</definedName>
    <definedName name="Page120" localSheetId="20">#REF!</definedName>
    <definedName name="Page120" localSheetId="19">#REF!</definedName>
    <definedName name="Page120">#REF!</definedName>
    <definedName name="Page2" localSheetId="10">#REF!</definedName>
    <definedName name="Page2" localSheetId="11">#REF!</definedName>
    <definedName name="Page2" localSheetId="21">#REF!</definedName>
    <definedName name="Page2" localSheetId="22">#REF!</definedName>
    <definedName name="Page2" localSheetId="20">#REF!</definedName>
    <definedName name="Page2" localSheetId="19">#REF!</definedName>
    <definedName name="Page2">#REF!</definedName>
    <definedName name="PAGE3" localSheetId="10">#REF!</definedName>
    <definedName name="PAGE3" localSheetId="11">#REF!</definedName>
    <definedName name="PAGE3" localSheetId="20">#REF!</definedName>
    <definedName name="PAGE3" localSheetId="19">#REF!</definedName>
    <definedName name="PAGE3" localSheetId="7">#REF!</definedName>
    <definedName name="PAGE3">#REF!</definedName>
    <definedName name="Page4" localSheetId="10">#REF!</definedName>
    <definedName name="Page4" localSheetId="11">#REF!</definedName>
    <definedName name="Page4" localSheetId="21">#REF!</definedName>
    <definedName name="Page4" localSheetId="22">#REF!</definedName>
    <definedName name="Page4" localSheetId="20">#REF!</definedName>
    <definedName name="Page4" localSheetId="19">#REF!</definedName>
    <definedName name="Page4">#REF!</definedName>
    <definedName name="Page5" localSheetId="10">#REF!</definedName>
    <definedName name="Page5" localSheetId="11">#REF!</definedName>
    <definedName name="Page5" localSheetId="21">#REF!</definedName>
    <definedName name="Page5" localSheetId="22">#REF!</definedName>
    <definedName name="Page5" localSheetId="20">#REF!</definedName>
    <definedName name="Page5" localSheetId="19">#REF!</definedName>
    <definedName name="Page5">#REF!</definedName>
    <definedName name="Page6" localSheetId="10">#REF!</definedName>
    <definedName name="Page6" localSheetId="11">#REF!</definedName>
    <definedName name="Page6" localSheetId="20">#REF!</definedName>
    <definedName name="Page6" localSheetId="19">#REF!</definedName>
    <definedName name="Page6">#REF!</definedName>
    <definedName name="Page62" localSheetId="10">[31]TransInvest!#REF!</definedName>
    <definedName name="Page62" localSheetId="11">[31]TransInvest!#REF!</definedName>
    <definedName name="Page62" localSheetId="20">[31]TransInvest!#REF!</definedName>
    <definedName name="Page62" localSheetId="19">[31]TransInvest!#REF!</definedName>
    <definedName name="Page62" localSheetId="23">[31]TransInvest!#REF!</definedName>
    <definedName name="Page62">[31]TransInvest!#REF!</definedName>
    <definedName name="page65" localSheetId="10">#REF!</definedName>
    <definedName name="page65" localSheetId="11">#REF!</definedName>
    <definedName name="page65" localSheetId="20">#REF!</definedName>
    <definedName name="page65" localSheetId="19">#REF!</definedName>
    <definedName name="page65">#REF!</definedName>
    <definedName name="page66" localSheetId="10">#REF!</definedName>
    <definedName name="page66" localSheetId="11">#REF!</definedName>
    <definedName name="page66" localSheetId="20">#REF!</definedName>
    <definedName name="page66" localSheetId="19">#REF!</definedName>
    <definedName name="page66">#REF!</definedName>
    <definedName name="page67" localSheetId="10">#REF!</definedName>
    <definedName name="page67" localSheetId="11">#REF!</definedName>
    <definedName name="page67" localSheetId="20">#REF!</definedName>
    <definedName name="page67" localSheetId="19">#REF!</definedName>
    <definedName name="page67">#REF!</definedName>
    <definedName name="page68" localSheetId="10">#REF!</definedName>
    <definedName name="page68" localSheetId="11">#REF!</definedName>
    <definedName name="page68" localSheetId="20">#REF!</definedName>
    <definedName name="page68" localSheetId="19">#REF!</definedName>
    <definedName name="page68">#REF!</definedName>
    <definedName name="page69" localSheetId="10">#REF!</definedName>
    <definedName name="page69" localSheetId="11">#REF!</definedName>
    <definedName name="page69" localSheetId="20">#REF!</definedName>
    <definedName name="page69" localSheetId="19">#REF!</definedName>
    <definedName name="page69">#REF!</definedName>
    <definedName name="Page7" localSheetId="10">#REF!</definedName>
    <definedName name="Page7" localSheetId="11">#REF!</definedName>
    <definedName name="Page7" localSheetId="21">#REF!</definedName>
    <definedName name="Page7" localSheetId="22">#REF!</definedName>
    <definedName name="Page7" localSheetId="20">#REF!</definedName>
    <definedName name="Page7" localSheetId="19">#REF!</definedName>
    <definedName name="Page7">#REF!</definedName>
    <definedName name="page8" localSheetId="10">#REF!</definedName>
    <definedName name="page8" localSheetId="11">#REF!</definedName>
    <definedName name="page8" localSheetId="21">#REF!</definedName>
    <definedName name="page8" localSheetId="22">#REF!</definedName>
    <definedName name="page8" localSheetId="20">#REF!</definedName>
    <definedName name="page8" localSheetId="19">#REF!</definedName>
    <definedName name="page8">#REF!</definedName>
    <definedName name="PALL" localSheetId="10">#REF!</definedName>
    <definedName name="PALL" localSheetId="11">#REF!</definedName>
    <definedName name="PALL" localSheetId="20">#REF!</definedName>
    <definedName name="PALL" localSheetId="19">#REF!</definedName>
    <definedName name="PALL">#REF!</definedName>
    <definedName name="PBLOCK" localSheetId="10">#REF!</definedName>
    <definedName name="PBLOCK" localSheetId="11">#REF!</definedName>
    <definedName name="PBLOCK" localSheetId="20">#REF!</definedName>
    <definedName name="PBLOCK" localSheetId="19">#REF!</definedName>
    <definedName name="PBLOCK">#REF!</definedName>
    <definedName name="PBLOCKWZ" localSheetId="10">#REF!</definedName>
    <definedName name="PBLOCKWZ" localSheetId="11">#REF!</definedName>
    <definedName name="PBLOCKWZ" localSheetId="20">#REF!</definedName>
    <definedName name="PBLOCKWZ" localSheetId="19">#REF!</definedName>
    <definedName name="PBLOCKWZ">#REF!</definedName>
    <definedName name="PCOMP" localSheetId="10">#REF!</definedName>
    <definedName name="PCOMP" localSheetId="11">#REF!</definedName>
    <definedName name="PCOMP" localSheetId="20">#REF!</definedName>
    <definedName name="PCOMP" localSheetId="19">#REF!</definedName>
    <definedName name="PCOMP">#REF!</definedName>
    <definedName name="PCOMPOSITES" localSheetId="10">#REF!</definedName>
    <definedName name="PCOMPOSITES" localSheetId="11">#REF!</definedName>
    <definedName name="PCOMPOSITES" localSheetId="20">#REF!</definedName>
    <definedName name="PCOMPOSITES" localSheetId="19">#REF!</definedName>
    <definedName name="PCOMPOSITES">#REF!</definedName>
    <definedName name="PCOMPWZ" localSheetId="10">#REF!</definedName>
    <definedName name="PCOMPWZ" localSheetId="11">#REF!</definedName>
    <definedName name="PCOMPWZ" localSheetId="20">#REF!</definedName>
    <definedName name="PCOMPWZ" localSheetId="19">#REF!</definedName>
    <definedName name="PCOMPWZ">#REF!</definedName>
    <definedName name="PeakMethod">[11]Inputs!$T$5</definedName>
    <definedName name="PMAC" localSheetId="10">[19]Backup!#REF!</definedName>
    <definedName name="PMAC" localSheetId="11">[19]Backup!#REF!</definedName>
    <definedName name="PMAC" localSheetId="20">[19]Backup!#REF!</definedName>
    <definedName name="PMAC" localSheetId="19">[19]Backup!#REF!</definedName>
    <definedName name="PMAC" localSheetId="7">[19]Backup!#REF!</definedName>
    <definedName name="PMAC">[19]Backup!#REF!</definedName>
    <definedName name="PRESENT" localSheetId="10">#REF!</definedName>
    <definedName name="PRESENT" localSheetId="11">#REF!</definedName>
    <definedName name="PRESENT" localSheetId="20">#REF!</definedName>
    <definedName name="PRESENT" localSheetId="19">#REF!</definedName>
    <definedName name="PRESENT" localSheetId="7">#REF!</definedName>
    <definedName name="PRESENT">#REF!</definedName>
    <definedName name="PRICCHNG" localSheetId="10">#REF!</definedName>
    <definedName name="PRICCHNG" localSheetId="11">#REF!</definedName>
    <definedName name="PRICCHNG" localSheetId="20">#REF!</definedName>
    <definedName name="PRICCHNG" localSheetId="19">#REF!</definedName>
    <definedName name="PRICCHNG">#REF!</definedName>
    <definedName name="_xlnm.Print_Area" localSheetId="5">'305 VS COGNOS kWh'!$A$1:$K$114</definedName>
    <definedName name="_xlnm.Print_Area" localSheetId="4">'305 VS COGNOS Revenue'!$A$1:$AE$116</definedName>
    <definedName name="_xlnm.Print_Area" localSheetId="25">'Billing Determinants (2)'!$A$1:$K$1038</definedName>
    <definedName name="_xlnm.Print_Area" localSheetId="26">'Blocking - detail'!$A$1:$K$1009</definedName>
    <definedName name="_xlnm.Print_Area" localSheetId="9">'Exhibit No.__(RMM-10)'!$B$1:$R$50</definedName>
    <definedName name="_xlnm.Print_Area" localSheetId="10">'Exhibit No.__(RMM-11) p1-8'!$A$1:$I$1304</definedName>
    <definedName name="_xlnm.Print_Area" localSheetId="11">'Exhibit No.__(RMM-13) p1'!$B$1:$T$38</definedName>
    <definedName name="_xlnm.Print_Area" localSheetId="12">'Exhibit No.__(RMM-13) p2'!$B$3:$U$35</definedName>
    <definedName name="_xlnm.Print_Area" localSheetId="13">'Exhibit No.__(RMM-13) p3'!$B$3:$K$44</definedName>
    <definedName name="_xlnm.Print_Area" localSheetId="14">'Exhibit No.__(RMM-13) p4'!$B$2:$Q$39</definedName>
    <definedName name="_xlnm.Print_Area" localSheetId="15">'Exhibit No.__(RMM-13) p5'!$B$2:$K$34</definedName>
    <definedName name="_xlnm.Print_Area" localSheetId="16">'Exhibit No.__(RMM-13) p6'!$B$2:$K$34</definedName>
    <definedName name="_xlnm.Print_Area" localSheetId="17">'Exhibit No.__(RMM-13) p7'!$B$2:$K$34</definedName>
    <definedName name="_xlnm.Print_Area" localSheetId="21">'Normalized Monthly kWh'!$A$1:$P$107</definedName>
    <definedName name="_xlnm.Print_Area" localSheetId="22">'Normalized Monthly revenue'!$A$1:$AF$91</definedName>
    <definedName name="_xlnm.Print_Area" localSheetId="20">'Rate Design Work-Res NM'!$A$1:$V$107</definedName>
    <definedName name="_xlnm.Print_Area" localSheetId="19">'Rate Spread targets'!$B$1:$W$50</definedName>
    <definedName name="_xlnm.Print_Area" localSheetId="1">'Table 1 - kWh'!$A$1:$G$34</definedName>
    <definedName name="_xlnm.Print_Area" localSheetId="0">'Table 1-Revenues'!$A$1:$J$33</definedName>
    <definedName name="_xlnm.Print_Area" localSheetId="2">'Table 2'!$A$1:$Q$150</definedName>
    <definedName name="_xlnm.Print_Area" localSheetId="3">'Table 3'!$A$1:$Q$149</definedName>
    <definedName name="_xlnm.Print_Area" localSheetId="23">'Table A by class'!$B$1:$W$61</definedName>
    <definedName name="_xlnm.Print_Titles" localSheetId="25">'Billing Determinants (2)'!$1:$6</definedName>
    <definedName name="_xlnm.Print_Titles" localSheetId="26">'Blocking - detail'!$1:$6</definedName>
    <definedName name="_xlnm.Print_Titles" localSheetId="10">'Exhibit No.__(RMM-11) p1-8'!$1:$10</definedName>
    <definedName name="_xlnm.Print_Titles" localSheetId="20">'Rate Design Work-Res NM'!$1:$10</definedName>
    <definedName name="_xlnm.Print_Titles" localSheetId="2">'Table 2'!$A:$C,'Table 2'!$9:$11</definedName>
    <definedName name="_xlnm.Print_Titles" localSheetId="3">'Table 3'!$A:$C,'Table 3'!$9:$11</definedName>
    <definedName name="_xlnm.Print_Titles" localSheetId="23">'Table A by class'!$B:$F</definedName>
    <definedName name="PTABLES" localSheetId="10">#REF!</definedName>
    <definedName name="PTABLES" localSheetId="11">#REF!</definedName>
    <definedName name="PTABLES" localSheetId="20">#REF!</definedName>
    <definedName name="PTABLES" localSheetId="19">#REF!</definedName>
    <definedName name="PTABLES">#REF!</definedName>
    <definedName name="PTDMOD" localSheetId="10">#REF!</definedName>
    <definedName name="PTDMOD" localSheetId="11">#REF!</definedName>
    <definedName name="PTDMOD" localSheetId="20">#REF!</definedName>
    <definedName name="PTDMOD" localSheetId="19">#REF!</definedName>
    <definedName name="PTDMOD" localSheetId="7">#REF!</definedName>
    <definedName name="PTDMOD">#REF!</definedName>
    <definedName name="PTDROLL" localSheetId="10">#REF!</definedName>
    <definedName name="PTDROLL" localSheetId="11">#REF!</definedName>
    <definedName name="PTDROLL" localSheetId="20">#REF!</definedName>
    <definedName name="PTDROLL" localSheetId="19">#REF!</definedName>
    <definedName name="PTDROLL" localSheetId="7">#REF!</definedName>
    <definedName name="PTDROLL">#REF!</definedName>
    <definedName name="PTMOD" localSheetId="10">#REF!</definedName>
    <definedName name="PTMOD" localSheetId="11">#REF!</definedName>
    <definedName name="PTMOD" localSheetId="20">#REF!</definedName>
    <definedName name="PTMOD" localSheetId="19">#REF!</definedName>
    <definedName name="PTMOD" localSheetId="7">#REF!</definedName>
    <definedName name="PTMOD">#REF!</definedName>
    <definedName name="PTROLL" localSheetId="10">#REF!</definedName>
    <definedName name="PTROLL" localSheetId="11">#REF!</definedName>
    <definedName name="PTROLL" localSheetId="20">#REF!</definedName>
    <definedName name="PTROLL" localSheetId="19">#REF!</definedName>
    <definedName name="PTROLL" localSheetId="7">#REF!</definedName>
    <definedName name="PTROLL">#REF!</definedName>
    <definedName name="PWORKBACK" localSheetId="10">#REF!</definedName>
    <definedName name="PWORKBACK" localSheetId="11">#REF!</definedName>
    <definedName name="PWORKBACK" localSheetId="20">#REF!</definedName>
    <definedName name="PWORKBACK" localSheetId="19">#REF!</definedName>
    <definedName name="PWORKBACK">#REF!</definedName>
    <definedName name="Query1" localSheetId="10">#REF!</definedName>
    <definedName name="Query1" localSheetId="11">#REF!</definedName>
    <definedName name="Query1" localSheetId="20">#REF!</definedName>
    <definedName name="Query1" localSheetId="19">#REF!</definedName>
    <definedName name="Query1" localSheetId="7">#REF!</definedName>
    <definedName name="Query1">#REF!</definedName>
    <definedName name="Rates">[32]Codes!$A$1:$C$500</definedName>
    <definedName name="RC_ADJ" localSheetId="10">#REF!</definedName>
    <definedName name="RC_ADJ" localSheetId="11">#REF!</definedName>
    <definedName name="RC_ADJ" localSheetId="20">#REF!</definedName>
    <definedName name="RC_ADJ" localSheetId="19">#REF!</definedName>
    <definedName name="RC_ADJ">#REF!</definedName>
    <definedName name="RESADJ" localSheetId="10">#REF!</definedName>
    <definedName name="RESADJ" localSheetId="11">#REF!</definedName>
    <definedName name="RESADJ" localSheetId="20">#REF!</definedName>
    <definedName name="RESADJ" localSheetId="19">#REF!</definedName>
    <definedName name="RESADJ">#REF!</definedName>
    <definedName name="ResourceSupplier" localSheetId="7">[18]Variables!$D$28</definedName>
    <definedName name="ResourceSupplier">[18]Variables!$D$28</definedName>
    <definedName name="retail_CC" localSheetId="17"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10">#REF!</definedName>
    <definedName name="REV_SCHD" localSheetId="11">#REF!</definedName>
    <definedName name="REV_SCHD" localSheetId="20">#REF!</definedName>
    <definedName name="REV_SCHD" localSheetId="19">#REF!</definedName>
    <definedName name="REV_SCHD">#REF!</definedName>
    <definedName name="RevClass">[32]Codes!$F$2:$G$10</definedName>
    <definedName name="Revenue_by_month_take_2" localSheetId="10">#REF!</definedName>
    <definedName name="Revenue_by_month_take_2" localSheetId="11">#REF!</definedName>
    <definedName name="Revenue_by_month_take_2" localSheetId="20">#REF!</definedName>
    <definedName name="Revenue_by_month_take_2" localSheetId="19">#REF!</definedName>
    <definedName name="Revenue_by_month_take_2" localSheetId="7">#REF!</definedName>
    <definedName name="Revenue_by_month_take_2">#REF!</definedName>
    <definedName name="RevenueCheck" localSheetId="10">#REF!</definedName>
    <definedName name="RevenueCheck" localSheetId="11">#REF!</definedName>
    <definedName name="RevenueCheck" localSheetId="20">#REF!</definedName>
    <definedName name="RevenueCheck" localSheetId="19">#REF!</definedName>
    <definedName name="RevenueCheck" localSheetId="7">#REF!</definedName>
    <definedName name="RevenueCheck">#REF!</definedName>
    <definedName name="RevReqSettle" localSheetId="10">#REF!</definedName>
    <definedName name="RevReqSettle" localSheetId="11">#REF!</definedName>
    <definedName name="RevReqSettle" localSheetId="20">#REF!</definedName>
    <definedName name="RevReqSettle" localSheetId="19">#REF!</definedName>
    <definedName name="RevReqSettle">#REF!</definedName>
    <definedName name="REVVSTRS" localSheetId="10">#REF!</definedName>
    <definedName name="REVVSTRS" localSheetId="11">#REF!</definedName>
    <definedName name="REVVSTRS" localSheetId="20">#REF!</definedName>
    <definedName name="REVVSTRS" localSheetId="19">#REF!</definedName>
    <definedName name="REVVSTRS">#REF!</definedName>
    <definedName name="RISFORM" localSheetId="10">#REF!</definedName>
    <definedName name="RISFORM" localSheetId="11">#REF!</definedName>
    <definedName name="RISFORM" localSheetId="20">#REF!</definedName>
    <definedName name="RISFORM" localSheetId="19">#REF!</definedName>
    <definedName name="RISFORM" localSheetId="7">#REF!</definedName>
    <definedName name="RISFORM">#REF!</definedName>
    <definedName name="SCH33CUSTS" localSheetId="10">#REF!</definedName>
    <definedName name="SCH33CUSTS" localSheetId="11">#REF!</definedName>
    <definedName name="SCH33CUSTS" localSheetId="20">#REF!</definedName>
    <definedName name="SCH33CUSTS" localSheetId="19">#REF!</definedName>
    <definedName name="SCH33CUSTS">#REF!</definedName>
    <definedName name="SCH48ADJ" localSheetId="10">#REF!</definedName>
    <definedName name="SCH48ADJ" localSheetId="11">#REF!</definedName>
    <definedName name="SCH48ADJ" localSheetId="20">#REF!</definedName>
    <definedName name="SCH48ADJ" localSheetId="19">#REF!</definedName>
    <definedName name="SCH48ADJ">#REF!</definedName>
    <definedName name="SCH98NOR" localSheetId="10">#REF!</definedName>
    <definedName name="SCH98NOR" localSheetId="11">#REF!</definedName>
    <definedName name="SCH98NOR" localSheetId="20">#REF!</definedName>
    <definedName name="SCH98NOR" localSheetId="19">#REF!</definedName>
    <definedName name="SCH98NOR">#REF!</definedName>
    <definedName name="SCHED47" localSheetId="10">#REF!</definedName>
    <definedName name="SCHED47" localSheetId="11">#REF!</definedName>
    <definedName name="SCHED47" localSheetId="20">#REF!</definedName>
    <definedName name="SCHED47" localSheetId="19">#REF!</definedName>
    <definedName name="SCHED47">#REF!</definedName>
    <definedName name="Schedule" localSheetId="23">[16]Inputs!$N$14</definedName>
    <definedName name="Schedule">[15]Inputs!$N$14</definedName>
    <definedName name="se" localSheetId="10">#REF!</definedName>
    <definedName name="se" localSheetId="11">#REF!</definedName>
    <definedName name="se" localSheetId="20">#REF!</definedName>
    <definedName name="se" localSheetId="19">#REF!</definedName>
    <definedName name="se" localSheetId="7">#REF!</definedName>
    <definedName name="se">#REF!</definedName>
    <definedName name="SECOND" localSheetId="10">[1]Jan!#REF!</definedName>
    <definedName name="SECOND" localSheetId="11">[1]Jan!#REF!</definedName>
    <definedName name="SECOND" localSheetId="20">[1]Jan!#REF!</definedName>
    <definedName name="SECOND" localSheetId="19">[1]Jan!#REF!</definedName>
    <definedName name="SECOND" localSheetId="23">[1]Jan!#REF!</definedName>
    <definedName name="SECOND">[1]Jan!#REF!</definedName>
    <definedName name="SEP" localSheetId="5">#REF!</definedName>
    <definedName name="SEP" localSheetId="4">#REF!</definedName>
    <definedName name="SEP" localSheetId="25">#REF!</definedName>
    <definedName name="SEP" localSheetId="26">#REF!</definedName>
    <definedName name="SEP" localSheetId="10">#REF!</definedName>
    <definedName name="SEP" localSheetId="11">[19]Backup!#REF!</definedName>
    <definedName name="SEP" localSheetId="21">#REF!</definedName>
    <definedName name="SEP" localSheetId="22">#REF!</definedName>
    <definedName name="SEP" localSheetId="20">#REF!</definedName>
    <definedName name="SEP" localSheetId="19">[19]Backup!#REF!</definedName>
    <definedName name="SEP" localSheetId="23">[19]Backup!#REF!</definedName>
    <definedName name="SEP" localSheetId="7">[19]Backup!#REF!</definedName>
    <definedName name="SEP">[19]Backup!#REF!</definedName>
    <definedName name="SEPT" localSheetId="10">#REF!</definedName>
    <definedName name="SEPT" localSheetId="11">#REF!</definedName>
    <definedName name="SEPT" localSheetId="20">#REF!</definedName>
    <definedName name="SEPT" localSheetId="19">#REF!</definedName>
    <definedName name="SEPT" localSheetId="7">#REF!</definedName>
    <definedName name="SEPT">#REF!</definedName>
    <definedName name="SERVICES_3" localSheetId="10">#REF!</definedName>
    <definedName name="SERVICES_3" localSheetId="11">#REF!</definedName>
    <definedName name="SERVICES_3" localSheetId="20">#REF!</definedName>
    <definedName name="SERVICES_3" localSheetId="19">#REF!</definedName>
    <definedName name="SERVICES_3" localSheetId="7">#REF!</definedName>
    <definedName name="SERVICES_3">#REF!</definedName>
    <definedName name="sg" localSheetId="10">#REF!</definedName>
    <definedName name="sg" localSheetId="11">#REF!</definedName>
    <definedName name="sg" localSheetId="20">#REF!</definedName>
    <definedName name="sg" localSheetId="19">#REF!</definedName>
    <definedName name="sg" localSheetId="7">#REF!</definedName>
    <definedName name="sg">#REF!</definedName>
    <definedName name="START" localSheetId="10">[1]Jan!#REF!</definedName>
    <definedName name="START" localSheetId="11">[1]Jan!#REF!</definedName>
    <definedName name="START" localSheetId="20">[1]Jan!#REF!</definedName>
    <definedName name="START" localSheetId="19">[1]Jan!#REF!</definedName>
    <definedName name="START" localSheetId="23">[1]Jan!#REF!</definedName>
    <definedName name="START">[1]Jan!#REF!</definedName>
    <definedName name="SUM_TAB1" localSheetId="10">#REF!</definedName>
    <definedName name="SUM_TAB1" localSheetId="11">#REF!</definedName>
    <definedName name="SUM_TAB1" localSheetId="20">#REF!</definedName>
    <definedName name="SUM_TAB1" localSheetId="19">#REF!</definedName>
    <definedName name="SUM_TAB1">#REF!</definedName>
    <definedName name="SUM_TAB2" localSheetId="10">#REF!</definedName>
    <definedName name="SUM_TAB2" localSheetId="11">#REF!</definedName>
    <definedName name="SUM_TAB2" localSheetId="20">#REF!</definedName>
    <definedName name="SUM_TAB2" localSheetId="19">#REF!</definedName>
    <definedName name="SUM_TAB2">#REF!</definedName>
    <definedName name="SUM_TAB3" localSheetId="10">#REF!</definedName>
    <definedName name="SUM_TAB3" localSheetId="11">#REF!</definedName>
    <definedName name="SUM_TAB3" localSheetId="20">#REF!</definedName>
    <definedName name="SUM_TAB3" localSheetId="19">#REF!</definedName>
    <definedName name="SUM_TAB3">#REF!</definedName>
    <definedName name="TABLE_1" localSheetId="5">#REF!</definedName>
    <definedName name="TABLE_1" localSheetId="4">#REF!</definedName>
    <definedName name="TABLE_1" localSheetId="25">#REF!</definedName>
    <definedName name="TABLE_1" localSheetId="26">#REF!</definedName>
    <definedName name="TABLE_1" localSheetId="10">#REF!</definedName>
    <definedName name="TABLE_1" localSheetId="11">#REF!</definedName>
    <definedName name="TABLE_1" localSheetId="21">#REF!</definedName>
    <definedName name="TABLE_1" localSheetId="22">#REF!</definedName>
    <definedName name="TABLE_1" localSheetId="20">#REF!</definedName>
    <definedName name="TABLE_1" localSheetId="19">#REF!</definedName>
    <definedName name="TABLE_1" localSheetId="7">#REF!</definedName>
    <definedName name="TABLE_1">#REF!</definedName>
    <definedName name="TABLE_2" localSheetId="5">#REF!</definedName>
    <definedName name="TABLE_2" localSheetId="4">#REF!</definedName>
    <definedName name="TABLE_2" localSheetId="25">#REF!</definedName>
    <definedName name="TABLE_2" localSheetId="26">#REF!</definedName>
    <definedName name="TABLE_2" localSheetId="10">#REF!</definedName>
    <definedName name="TABLE_2" localSheetId="11">#REF!</definedName>
    <definedName name="TABLE_2" localSheetId="21">#REF!</definedName>
    <definedName name="TABLE_2" localSheetId="22">#REF!</definedName>
    <definedName name="TABLE_2" localSheetId="20">#REF!</definedName>
    <definedName name="TABLE_2" localSheetId="19">#REF!</definedName>
    <definedName name="TABLE_2" localSheetId="7">#REF!</definedName>
    <definedName name="TABLE_2">#REF!</definedName>
    <definedName name="TABLE_3" localSheetId="10">#REF!</definedName>
    <definedName name="TABLE_3" localSheetId="11">#REF!</definedName>
    <definedName name="TABLE_3" localSheetId="20">#REF!</definedName>
    <definedName name="TABLE_3" localSheetId="19">#REF!</definedName>
    <definedName name="TABLE_3" localSheetId="7">#REF!</definedName>
    <definedName name="TABLE_3">#REF!</definedName>
    <definedName name="TABLE_4" localSheetId="5">#REF!</definedName>
    <definedName name="TABLE_4" localSheetId="4">#REF!</definedName>
    <definedName name="TABLE_4" localSheetId="25">#REF!</definedName>
    <definedName name="TABLE_4" localSheetId="26">#REF!</definedName>
    <definedName name="TABLE_4" localSheetId="10">#REF!</definedName>
    <definedName name="TABLE_4" localSheetId="11">#REF!</definedName>
    <definedName name="TABLE_4" localSheetId="21">#REF!</definedName>
    <definedName name="TABLE_4" localSheetId="22">#REF!</definedName>
    <definedName name="TABLE_4" localSheetId="20">#REF!</definedName>
    <definedName name="TABLE_4" localSheetId="19">#REF!</definedName>
    <definedName name="TABLE_4" localSheetId="7">#REF!</definedName>
    <definedName name="TABLE_4">#REF!</definedName>
    <definedName name="TABLE_4_A" localSheetId="10">#REF!</definedName>
    <definedName name="TABLE_4_A" localSheetId="11">#REF!</definedName>
    <definedName name="TABLE_4_A" localSheetId="20">#REF!</definedName>
    <definedName name="TABLE_4_A" localSheetId="19">#REF!</definedName>
    <definedName name="TABLE_4_A" localSheetId="7">#REF!</definedName>
    <definedName name="TABLE_4_A">#REF!</definedName>
    <definedName name="TABLE_5" localSheetId="10">#REF!</definedName>
    <definedName name="TABLE_5" localSheetId="11">#REF!</definedName>
    <definedName name="TABLE_5" localSheetId="20">#REF!</definedName>
    <definedName name="TABLE_5" localSheetId="19">#REF!</definedName>
    <definedName name="TABLE_5" localSheetId="7">#REF!</definedName>
    <definedName name="TABLE_5">#REF!</definedName>
    <definedName name="TABLE_6" localSheetId="10">#REF!</definedName>
    <definedName name="TABLE_6" localSheetId="11">#REF!</definedName>
    <definedName name="TABLE_6" localSheetId="20">#REF!</definedName>
    <definedName name="TABLE_6" localSheetId="19">#REF!</definedName>
    <definedName name="TABLE_6" localSheetId="7">#REF!</definedName>
    <definedName name="TABLE_6">#REF!</definedName>
    <definedName name="TABLE_7" localSheetId="10">#REF!</definedName>
    <definedName name="TABLE_7" localSheetId="11">#REF!</definedName>
    <definedName name="TABLE_7" localSheetId="20">#REF!</definedName>
    <definedName name="TABLE_7" localSheetId="19">#REF!</definedName>
    <definedName name="TABLE_7" localSheetId="7">#REF!</definedName>
    <definedName name="TABLE_7">#REF!</definedName>
    <definedName name="TABLE1" localSheetId="10">#REF!</definedName>
    <definedName name="TABLE1" localSheetId="11">#REF!</definedName>
    <definedName name="TABLE1" localSheetId="20">#REF!</definedName>
    <definedName name="TABLE1" localSheetId="19">#REF!</definedName>
    <definedName name="TABLE1">#REF!</definedName>
    <definedName name="TABLE2" localSheetId="10">#REF!</definedName>
    <definedName name="TABLE2" localSheetId="11">#REF!</definedName>
    <definedName name="TABLE2" localSheetId="20">#REF!</definedName>
    <definedName name="TABLE2" localSheetId="19">#REF!</definedName>
    <definedName name="TABLE2">#REF!</definedName>
    <definedName name="TABLEA" localSheetId="9">'Exhibit No.__(RMM-10)'!$B$3:$W$47</definedName>
    <definedName name="TABLEA" localSheetId="10">#REF!</definedName>
    <definedName name="TABLEA" localSheetId="11">#REF!</definedName>
    <definedName name="TABLEA" localSheetId="20">#REF!</definedName>
    <definedName name="TABLEA" localSheetId="19">'Rate Spread targets'!$B$3:$AA$48</definedName>
    <definedName name="TABLEA" localSheetId="23">#REF!</definedName>
    <definedName name="TABLEA">#REF!</definedName>
    <definedName name="TABLEONE" localSheetId="10">#REF!</definedName>
    <definedName name="TABLEONE" localSheetId="11">#REF!</definedName>
    <definedName name="TABLEONE" localSheetId="20">#REF!</definedName>
    <definedName name="TABLEONE" localSheetId="19">#REF!</definedName>
    <definedName name="TABLEONE" localSheetId="7">#REF!</definedName>
    <definedName name="TABLEONE">#REF!</definedName>
    <definedName name="TargetROR">[11]Inputs!$G$29</definedName>
    <definedName name="TDMOD" localSheetId="10">#REF!</definedName>
    <definedName name="TDMOD" localSheetId="11">#REF!</definedName>
    <definedName name="TDMOD" localSheetId="20">#REF!</definedName>
    <definedName name="TDMOD" localSheetId="19">#REF!</definedName>
    <definedName name="TDMOD" localSheetId="7">#REF!</definedName>
    <definedName name="TDMOD">#REF!</definedName>
    <definedName name="TDROLL" localSheetId="10">#REF!</definedName>
    <definedName name="TDROLL" localSheetId="11">#REF!</definedName>
    <definedName name="TDROLL" localSheetId="20">#REF!</definedName>
    <definedName name="TDROLL" localSheetId="19">#REF!</definedName>
    <definedName name="TDROLL" localSheetId="7">#REF!</definedName>
    <definedName name="TDROLL">#REF!</definedName>
    <definedName name="TEMPADJ" localSheetId="10">#REF!</definedName>
    <definedName name="TEMPADJ" localSheetId="11">#REF!</definedName>
    <definedName name="TEMPADJ" localSheetId="20">#REF!</definedName>
    <definedName name="TEMPADJ" localSheetId="19">#REF!</definedName>
    <definedName name="TEMPADJ">#REF!</definedName>
    <definedName name="Test" localSheetId="10">#REF!</definedName>
    <definedName name="Test" localSheetId="11">#REF!</definedName>
    <definedName name="Test" localSheetId="20">#REF!</definedName>
    <definedName name="Test" localSheetId="19">#REF!</definedName>
    <definedName name="Test">#REF!</definedName>
    <definedName name="Test1" localSheetId="10">#REF!</definedName>
    <definedName name="Test1" localSheetId="11">#REF!</definedName>
    <definedName name="Test1" localSheetId="20">#REF!</definedName>
    <definedName name="Test1" localSheetId="19">#REF!</definedName>
    <definedName name="Test1">#REF!</definedName>
    <definedName name="Test2" localSheetId="10">#REF!</definedName>
    <definedName name="Test2" localSheetId="11">#REF!</definedName>
    <definedName name="Test2" localSheetId="20">#REF!</definedName>
    <definedName name="Test2" localSheetId="19">#REF!</definedName>
    <definedName name="Test2">#REF!</definedName>
    <definedName name="Test3" localSheetId="10">#REF!</definedName>
    <definedName name="Test3" localSheetId="11">#REF!</definedName>
    <definedName name="Test3" localSheetId="20">#REF!</definedName>
    <definedName name="Test3" localSheetId="19">#REF!</definedName>
    <definedName name="Test3">#REF!</definedName>
    <definedName name="Test4" localSheetId="10">#REF!</definedName>
    <definedName name="Test4" localSheetId="11">#REF!</definedName>
    <definedName name="Test4" localSheetId="20">#REF!</definedName>
    <definedName name="Test4" localSheetId="19">#REF!</definedName>
    <definedName name="Test4">#REF!</definedName>
    <definedName name="Test5" localSheetId="10">#REF!</definedName>
    <definedName name="Test5" localSheetId="11">#REF!</definedName>
    <definedName name="Test5" localSheetId="20">#REF!</definedName>
    <definedName name="Test5" localSheetId="19">#REF!</definedName>
    <definedName name="Test5">#REF!</definedName>
    <definedName name="TestPeriod">[12]Inputs!$C$5</definedName>
    <definedName name="TotalRateBase">'[12]G+T+D+R+M'!$H$58</definedName>
    <definedName name="TRANSM_2" localSheetId="7">[33]Transm2!$A$1:$M$461:'[33]10 Yr FC'!$M$47</definedName>
    <definedName name="TRANSM_2">[33]Transm2!$A$1:$M$461:'[33]10 Yr FC'!$M$47</definedName>
    <definedName name="UAACT115S" localSheetId="10">'[15]Functional Study'!#REF!</definedName>
    <definedName name="UAACT115S" localSheetId="11">'[15]Functional Study'!#REF!</definedName>
    <definedName name="UAACT115S" localSheetId="20">'[15]Functional Study'!#REF!</definedName>
    <definedName name="UAACT115S" localSheetId="19">'[15]Functional Study'!#REF!</definedName>
    <definedName name="UAACT115S" localSheetId="23">'[16]Functional Study'!#REF!</definedName>
    <definedName name="UAACT115S">'[15]Functional Study'!#REF!</definedName>
    <definedName name="UAcct103">'[12]Func Study'!$AB$1613</definedName>
    <definedName name="UAcct105Dnpg">'[12]Func Study'!$AB$2010</definedName>
    <definedName name="UAcct105S">'[12]Func Study'!$AB$2005</definedName>
    <definedName name="UAcct105Seu">'[12]Func Study'!$AB$2009</definedName>
    <definedName name="UAcct105Snppo">'[12]Func Study'!$AB$2008</definedName>
    <definedName name="UAcct105Snpps">'[12]Func Study'!$AB$2006</definedName>
    <definedName name="UAcct105Snpt">'[12]Func Study'!$AB$2007</definedName>
    <definedName name="UAcct1081390">'[12]Func Study'!$AB$2451</definedName>
    <definedName name="UAcct1081390Rcl">'[12]Func Study'!$AB$2450</definedName>
    <definedName name="UAcct1081399">'[12]Func Study'!$AB$2459</definedName>
    <definedName name="UAcct1081399Rcl">'[12]Func Study'!$AB$2458</definedName>
    <definedName name="UAcct108360">'[12]Func Study'!$AB$2355</definedName>
    <definedName name="UAcct108361">'[12]Func Study'!$AB$2359</definedName>
    <definedName name="UAcct108362">'[12]Func Study'!$AB$2363</definedName>
    <definedName name="UAcct108364">'[12]Func Study'!$AB$2367</definedName>
    <definedName name="UAcct108365">'[12]Func Study'!$AB$2371</definedName>
    <definedName name="UAcct108366">'[12]Func Study'!$AB$2375</definedName>
    <definedName name="UAcct108367">'[12]Func Study'!$AB$2379</definedName>
    <definedName name="UAcct108368">'[12]Func Study'!$AB$2383</definedName>
    <definedName name="UAcct108369">'[12]Func Study'!$AB$2387</definedName>
    <definedName name="UAcct108370">'[12]Func Study'!$AB$2391</definedName>
    <definedName name="UAcct108371">'[12]Func Study'!$AB$2395</definedName>
    <definedName name="UAcct108372">'[12]Func Study'!$AB$2399</definedName>
    <definedName name="UAcct108373">'[12]Func Study'!$AB$2403</definedName>
    <definedName name="UAcct108D">'[12]Func Study'!$AB$2415</definedName>
    <definedName name="UAcct108D00">'[12]Func Study'!$AB$2407</definedName>
    <definedName name="UAcct108Ds">'[12]Func Study'!$AB$2411</definedName>
    <definedName name="UAcct108Ep">'[12]Func Study'!$AB$2327</definedName>
    <definedName name="UAcct108Gpcn">'[12]Func Study'!$AB$2429</definedName>
    <definedName name="UAcct108Gps">'[12]Func Study'!$AB$2425</definedName>
    <definedName name="UAcct108Gpse">'[12]Func Study'!$AB$2431</definedName>
    <definedName name="UAcct108Gpsg">'[12]Func Study'!$AB$2428</definedName>
    <definedName name="UAcct108Gpsgp">'[12]Func Study'!$AB$2426</definedName>
    <definedName name="UAcct108Gpsgu">'[12]Func Study'!$AB$2427</definedName>
    <definedName name="UAcct108Gpso">'[12]Func Study'!$AB$2430</definedName>
    <definedName name="UACCT108GPSSGCH">'[12]Func Study'!$AB$2434</definedName>
    <definedName name="UACCT108GPSSGCT">'[12]Func Study'!$AB$2433</definedName>
    <definedName name="UAcct108Hp">'[12]Func Study'!$AB$2313</definedName>
    <definedName name="UAcct108Mp">'[12]Func Study'!$AB$2444</definedName>
    <definedName name="UAcct108Np">'[12]Func Study'!$AB$2305</definedName>
    <definedName name="UAcct108Op">'[12]Func Study'!$AB$2322</definedName>
    <definedName name="UACCT108OPSSCCT">'[12]Func Study'!$AB$2321</definedName>
    <definedName name="UAcct108Sp">'[12]Func Study'!$AB$2299</definedName>
    <definedName name="UACCT108SPSSGCH">'[12]Func Study'!$AB$2298</definedName>
    <definedName name="UAcct108Tp">'[12]Func Study'!$AB$2346</definedName>
    <definedName name="UAcct111Clg">'[12]Func Study'!$AB$2487</definedName>
    <definedName name="UAcct111Clgsou">'[12]Func Study'!$AB$2485</definedName>
    <definedName name="UAcct111Clh">'[12]Func Study'!$AB$2493</definedName>
    <definedName name="UAcct111Cls">'[12]Func Study'!$AB$2478</definedName>
    <definedName name="UAcct111Ipcn">'[12]Func Study'!$AB$2502</definedName>
    <definedName name="UAcct111Ips">'[12]Func Study'!$AB$2497</definedName>
    <definedName name="UAcct111Ipse">'[12]Func Study'!$AB$2500</definedName>
    <definedName name="UAcct111Ipsg">'[12]Func Study'!$AB$2501</definedName>
    <definedName name="UAcct111Ipsgp">'[12]Func Study'!$AB$2498</definedName>
    <definedName name="UAcct111Ipsgu">'[12]Func Study'!$AB$2499</definedName>
    <definedName name="UAcct111Ipso">'[12]Func Study'!$AB$2506</definedName>
    <definedName name="UACCT111IPSSGCH">'[12]Func Study'!$AB$2505</definedName>
    <definedName name="UACCT111IPSSGCT">'[12]Func Study'!$AB$2504</definedName>
    <definedName name="UAcct114">'[12]Func Study'!$AB$2017</definedName>
    <definedName name="UACCT115" localSheetId="10">'[15]Functional Study'!#REF!</definedName>
    <definedName name="UACCT115" localSheetId="11">'[15]Functional Study'!#REF!</definedName>
    <definedName name="UACCT115" localSheetId="20">'[15]Functional Study'!#REF!</definedName>
    <definedName name="UACCT115" localSheetId="19">'[15]Functional Study'!#REF!</definedName>
    <definedName name="UACCT115" localSheetId="23">'[16]Functional Study'!#REF!</definedName>
    <definedName name="UACCT115">'[15]Functional Study'!#REF!</definedName>
    <definedName name="UACCT115DGP" localSheetId="10">'[15]Functional Study'!#REF!</definedName>
    <definedName name="UACCT115DGP" localSheetId="11">'[15]Functional Study'!#REF!</definedName>
    <definedName name="UACCT115DGP" localSheetId="20">'[15]Functional Study'!#REF!</definedName>
    <definedName name="UACCT115DGP" localSheetId="19">'[15]Functional Study'!#REF!</definedName>
    <definedName name="UACCT115DGP" localSheetId="23">'[16]Functional Study'!#REF!</definedName>
    <definedName name="UACCT115DGP">'[15]Functional Study'!#REF!</definedName>
    <definedName name="UACCT115SG" localSheetId="10">'[15]Functional Study'!#REF!</definedName>
    <definedName name="UACCT115SG" localSheetId="11">'[15]Functional Study'!#REF!</definedName>
    <definedName name="UACCT115SG" localSheetId="20">'[15]Functional Study'!#REF!</definedName>
    <definedName name="UACCT115SG" localSheetId="19">'[15]Functional Study'!#REF!</definedName>
    <definedName name="UACCT115SG" localSheetId="23">'[16]Functional Study'!#REF!</definedName>
    <definedName name="UACCT115SG">'[15]Functional Study'!#REF!</definedName>
    <definedName name="UAcct120">'[12]Func Study'!$AB$2021</definedName>
    <definedName name="UAcct124">'[12]Func Study'!$AB$2026</definedName>
    <definedName name="UAcct141">'[12]Func Study'!$AB$2173</definedName>
    <definedName name="UAcct151">'[12]Func Study'!$AB$2049</definedName>
    <definedName name="Uacct151SSECT">'[12]Func Study'!$AB$2047</definedName>
    <definedName name="UAcct154">'[12]Func Study'!$AB$2083</definedName>
    <definedName name="Uacct154SSGCT">'[12]Func Study'!$AB$2080</definedName>
    <definedName name="UAcct163">'[12]Func Study'!$AB$2093</definedName>
    <definedName name="UAcct165">'[12]Func Study'!$AB$2108</definedName>
    <definedName name="UAcct165Gps">'[12]Func Study'!$AB$2104</definedName>
    <definedName name="UAcct182">'[12]Func Study'!$AB$2033</definedName>
    <definedName name="UAcct18222">'[12]Func Study'!$AB$2163</definedName>
    <definedName name="UAcct182M">'[12]Func Study'!$AB$2118</definedName>
    <definedName name="UAcct182MSSGCH">'[12]Func Study'!$AB$2113</definedName>
    <definedName name="UAcct186">'[12]Func Study'!$AB$2041</definedName>
    <definedName name="UAcct1869">'[12]Func Study'!$AB$2168</definedName>
    <definedName name="UAcct186M">'[12]Func Study'!$AB$2129</definedName>
    <definedName name="UAcct190">'[12]Func Study'!$AB$2243</definedName>
    <definedName name="UAcct190Baddebt">'[12]Func Study'!$AB$2237</definedName>
    <definedName name="UAcct190Dop">'[12]Func Study'!$AB$2235</definedName>
    <definedName name="UAcct2281">'[12]Func Study'!$AB$2191</definedName>
    <definedName name="UAcct2282">'[12]Func Study'!$AB$2195</definedName>
    <definedName name="UAcct2283">'[12]Func Study'!$AB$2200</definedName>
    <definedName name="UACCT22841SG">'[12]Func Study'!$AB$2205</definedName>
    <definedName name="UAcct22842">'[12]Func Study'!$AB$2211</definedName>
    <definedName name="UAcct22842Trojd" localSheetId="10">'[11]Func Study'!#REF!</definedName>
    <definedName name="UAcct22842Trojd" localSheetId="11">'[11]Func Study'!#REF!</definedName>
    <definedName name="UAcct22842Trojd" localSheetId="20">'[11]Func Study'!#REF!</definedName>
    <definedName name="UAcct22842Trojd" localSheetId="19">'[11]Func Study'!#REF!</definedName>
    <definedName name="UAcct22842Trojd" localSheetId="23">'[11]Func Study'!#REF!</definedName>
    <definedName name="UAcct22842Trojd">'[11]Func Study'!#REF!</definedName>
    <definedName name="UAcct235">'[12]Func Study'!$AB$2187</definedName>
    <definedName name="UACCT235CN">'[12]Func Study'!$AB$2186</definedName>
    <definedName name="UAcct252">'[12]Func Study'!$AB$2219</definedName>
    <definedName name="UAcct25316">'[12]Func Study'!$AB$2057</definedName>
    <definedName name="UAcct25317">'[12]Func Study'!$AB$2061</definedName>
    <definedName name="UAcct25318">'[12]Func Study'!$AB$2098</definedName>
    <definedName name="UAcct25319">'[12]Func Study'!$AB$2065</definedName>
    <definedName name="uacct25398">'[12]Func Study'!$AB$2222</definedName>
    <definedName name="UAcct25399">'[12]Func Study'!$AB$2230</definedName>
    <definedName name="UACCT254SO">'[12]Func Study'!$AB$2202</definedName>
    <definedName name="UAcct255">'[12]Func Study'!$AB$2284</definedName>
    <definedName name="UAcct281">'[12]Func Study'!$AB$2249</definedName>
    <definedName name="UAcct282">'[12]Func Study'!$AB$2259</definedName>
    <definedName name="UAcct282Cn">'[12]Func Study'!$AB$2256</definedName>
    <definedName name="UAcct282So">'[12]Func Study'!$AB$2255</definedName>
    <definedName name="UAcct283">'[12]Func Study'!$AB$2271</definedName>
    <definedName name="UAcct283So">'[12]Func Study'!$AB$2265</definedName>
    <definedName name="UAcct301S">'[12]Func Study'!$AB$1964</definedName>
    <definedName name="UAcct301Sg">'[12]Func Study'!$AB$1966</definedName>
    <definedName name="UAcct301So">'[12]Func Study'!$AB$1965</definedName>
    <definedName name="UAcct302S">'[12]Func Study'!$AB$1969</definedName>
    <definedName name="UAcct302Sg">'[12]Func Study'!$AB$1970</definedName>
    <definedName name="UAcct302Sgp">'[12]Func Study'!$AB$1971</definedName>
    <definedName name="UAcct302Sgu">'[12]Func Study'!$AB$1972</definedName>
    <definedName name="UAcct303Cn">'[12]Func Study'!$AB$1980</definedName>
    <definedName name="UAcct303S">'[12]Func Study'!$AB$1976</definedName>
    <definedName name="UAcct303Se">'[12]Func Study'!$AB$1979</definedName>
    <definedName name="UAcct303Sg">'[12]Func Study'!$AB$1977</definedName>
    <definedName name="UAcct303Sgu">'[12]Func Study'!$AB$1981</definedName>
    <definedName name="UAcct303So">'[12]Func Study'!$AB$1978</definedName>
    <definedName name="UACCT303SSGCH">'[12]Func Study'!$AB$1983</definedName>
    <definedName name="UAcct310">'[12]Func Study'!$AB$1414</definedName>
    <definedName name="UAcct310JBG">'[12]Func Study'!$AB$1413</definedName>
    <definedName name="UAcct311">'[12]Func Study'!$AB$1421</definedName>
    <definedName name="UAcct311JBG">'[12]Func Study'!$AB$1420</definedName>
    <definedName name="UAcct312">'[12]Func Study'!$AB$1428</definedName>
    <definedName name="UAcct312JBG">'[12]Func Study'!$AB$1427</definedName>
    <definedName name="UAcct314">'[12]Func Study'!$AB$1435</definedName>
    <definedName name="UAcct314JBG">'[12]Func Study'!$AB$1434</definedName>
    <definedName name="UAcct315">'[12]Func Study'!$AB$1442</definedName>
    <definedName name="UAcct315JBG">'[12]Func Study'!$AB$1441</definedName>
    <definedName name="UAcct316">'[12]Func Study'!$AB$1450</definedName>
    <definedName name="UAcct316JBG">'[12]Func Study'!$AB$1449</definedName>
    <definedName name="UAcct320">'[12]Func Study'!$AB$1466</definedName>
    <definedName name="UAcct321">'[12]Func Study'!$AB$1471</definedName>
    <definedName name="UAcct322">'[12]Func Study'!$AB$1476</definedName>
    <definedName name="UAcct323">'[12]Func Study'!$AB$1481</definedName>
    <definedName name="UAcct324">'[12]Func Study'!$AB$1486</definedName>
    <definedName name="UAcct325">'[12]Func Study'!$AB$1491</definedName>
    <definedName name="UAcct33">'[12]Func Study'!$AB$295</definedName>
    <definedName name="UAcct330">'[12]Func Study'!$AB$1508</definedName>
    <definedName name="UAcct331">'[12]Func Study'!$AB$1513</definedName>
    <definedName name="UAcct332">'[12]Func Study'!$AB$1518</definedName>
    <definedName name="UAcct333">'[12]Func Study'!$AB$1523</definedName>
    <definedName name="UAcct334">'[12]Func Study'!$AB$1528</definedName>
    <definedName name="UAcct335">'[12]Func Study'!$AB$1533</definedName>
    <definedName name="UAcct336">'[12]Func Study'!$AB$1539</definedName>
    <definedName name="UAcct340Dgu">'[12]Func Study'!$AB$1564</definedName>
    <definedName name="UAcct340Sgu">'[12]Func Study'!$AB$1565</definedName>
    <definedName name="UAcct341Dgu">'[12]Func Study'!$AB$1569</definedName>
    <definedName name="UAcct341Sgu">'[12]Func Study'!$AB$1570</definedName>
    <definedName name="UAcct342Dgu">'[12]Func Study'!$AB$1574</definedName>
    <definedName name="UAcct342Sgu">'[12]Func Study'!$AB$1575</definedName>
    <definedName name="UAcct343">'[12]Func Study'!$AB$1584</definedName>
    <definedName name="UAcct344S">'[12]Func Study'!$AB$1587</definedName>
    <definedName name="UAcct344Sgp">'[12]Func Study'!$AB$1588</definedName>
    <definedName name="UAcct345Dgu">'[12]Func Study'!$AB$1594</definedName>
    <definedName name="UAcct345Sgu">'[12]Func Study'!$AB$1595</definedName>
    <definedName name="UAcct346">'[12]Func Study'!$AB$1601</definedName>
    <definedName name="UAcct350">'[12]Func Study'!$AB$1628</definedName>
    <definedName name="UAcct352">'[12]Func Study'!$AB$1635</definedName>
    <definedName name="UAcct353">'[12]Func Study'!$AB$1641</definedName>
    <definedName name="UAcct354">'[12]Func Study'!$AB$1647</definedName>
    <definedName name="UAcct355">'[12]Func Study'!$AB$1654</definedName>
    <definedName name="UAcct356">'[12]Func Study'!$AB$1660</definedName>
    <definedName name="UAcct357">'[12]Func Study'!$AB$1666</definedName>
    <definedName name="UAcct358">'[12]Func Study'!$AB$1672</definedName>
    <definedName name="UAcct359">'[12]Func Study'!$AB$1678</definedName>
    <definedName name="UAcct360">'[12]Func Study'!$AB$1698</definedName>
    <definedName name="UAcct361">'[12]Func Study'!$AB$1704</definedName>
    <definedName name="UAcct362">'[12]Func Study'!$AB$1710</definedName>
    <definedName name="UAcct368">'[12]Func Study'!$AB$1744</definedName>
    <definedName name="UAcct369">'[12]Func Study'!$AB$1751</definedName>
    <definedName name="UAcct370">'[12]Func Study'!$AB$1762</definedName>
    <definedName name="UAcct372A">'[12]Func Study'!$AB$1775</definedName>
    <definedName name="UAcct372Dp">'[12]Func Study'!$AB$1773</definedName>
    <definedName name="UAcct372Ds">'[12]Func Study'!$AB$1774</definedName>
    <definedName name="UAcct373">'[12]Func Study'!$AB$1782</definedName>
    <definedName name="UAcct389Cn">'[12]Func Study'!$AB$1800</definedName>
    <definedName name="UAcct389S">'[12]Func Study'!$AB$1799</definedName>
    <definedName name="UAcct389Sg">'[12]Func Study'!$AB$1802</definedName>
    <definedName name="UAcct389Sgu">'[12]Func Study'!$AB$1801</definedName>
    <definedName name="UAcct389So">'[12]Func Study'!$AB$1803</definedName>
    <definedName name="UAcct390Cn">'[12]Func Study'!$AB$1810</definedName>
    <definedName name="UAcct390JBG">'[12]Func Study'!$AB$1812</definedName>
    <definedName name="UAcct390L">'[12]Func Study'!$AB$1927</definedName>
    <definedName name="UACCT390LRCL">'[12]Func Study'!$AB$1929</definedName>
    <definedName name="UAcct390S">'[12]Func Study'!$AB$1807</definedName>
    <definedName name="UAcct390Sgp">'[12]Func Study'!$AB$1808</definedName>
    <definedName name="UAcct390Sgu">'[12]Func Study'!$AB$1809</definedName>
    <definedName name="UAcct390Sop">'[12]Func Study'!$AB$1811</definedName>
    <definedName name="UAcct390Sou">'[12]Func Study'!$AB$1813</definedName>
    <definedName name="UAcct391Cn">'[12]Func Study'!$AB$1820</definedName>
    <definedName name="UACCT391JBE">'[12]Func Study'!$AB$1825</definedName>
    <definedName name="UAcct391S">'[12]Func Study'!$AB$1817</definedName>
    <definedName name="UAcct391Sg">'[12]Func Study'!$AB$1821</definedName>
    <definedName name="UAcct391Sgp">'[12]Func Study'!$AB$1818</definedName>
    <definedName name="UAcct391Sgu">'[12]Func Study'!$AB$1819</definedName>
    <definedName name="UAcct391So">'[12]Func Study'!$AB$1823</definedName>
    <definedName name="UACCT391SSGCH">'[12]Func Study'!$AB$1824</definedName>
    <definedName name="UAcct392Cn">'[12]Func Study'!$AB$1832</definedName>
    <definedName name="UAcct392L">'[12]Func Study'!$AB$1935</definedName>
    <definedName name="UAcct392Lrcl">'[12]Func Study'!$AB$1937</definedName>
    <definedName name="UAcct392S">'[12]Func Study'!$AB$1829</definedName>
    <definedName name="UAcct392Se">'[12]Func Study'!$AB$1834</definedName>
    <definedName name="UAcct392Sg">'[12]Func Study'!$AB$1831</definedName>
    <definedName name="UAcct392Sgp">'[12]Func Study'!$AB$1835</definedName>
    <definedName name="UAcct392Sgu">'[12]Func Study'!$AB$1833</definedName>
    <definedName name="UAcct392So">'[12]Func Study'!$AB$1830</definedName>
    <definedName name="UACCT392SSGCH">'[12]Func Study'!$AB$1836</definedName>
    <definedName name="UAcct393S">'[12]Func Study'!$AB$1841</definedName>
    <definedName name="UAcct393Sg">'[12]Func Study'!$AB$1845</definedName>
    <definedName name="UAcct393Sgp">'[12]Func Study'!$AB$1842</definedName>
    <definedName name="UAcct393Sgu">'[12]Func Study'!$AB$1843</definedName>
    <definedName name="UAcct393So">'[12]Func Study'!$AB$1844</definedName>
    <definedName name="UACCT393SSGCT">'[12]Func Study'!$AB$1846</definedName>
    <definedName name="UAcct394S">'[12]Func Study'!$AB$1850</definedName>
    <definedName name="UAcct394Se">'[12]Func Study'!$AB$1854</definedName>
    <definedName name="UAcct394Sg">'[12]Func Study'!$AB$1855</definedName>
    <definedName name="UAcct394Sgp">'[12]Func Study'!$AB$1851</definedName>
    <definedName name="UAcct394Sgu">'[12]Func Study'!$AB$1852</definedName>
    <definedName name="UAcct394So">'[12]Func Study'!$AB$1853</definedName>
    <definedName name="UACCT394SSGCH">'[12]Func Study'!$AB$1856</definedName>
    <definedName name="UAcct395S">'[12]Func Study'!$AB$1861</definedName>
    <definedName name="UAcct395Se">'[12]Func Study'!$AB$1865</definedName>
    <definedName name="UAcct395Sg">'[12]Func Study'!$AB$1866</definedName>
    <definedName name="UAcct395Sgp">'[12]Func Study'!$AB$1862</definedName>
    <definedName name="UAcct395Sgu">'[12]Func Study'!$AB$1863</definedName>
    <definedName name="UAcct395So">'[12]Func Study'!$AB$1864</definedName>
    <definedName name="UACCT395SSGCH">'[12]Func Study'!$AB$1867</definedName>
    <definedName name="UAcct396S">'[12]Func Study'!$AB$1872</definedName>
    <definedName name="UAcct396Se">'[12]Func Study'!$AB$1877</definedName>
    <definedName name="UAcct396Sg">'[12]Func Study'!$AB$1874</definedName>
    <definedName name="UAcct396Sgp">'[12]Func Study'!$AB$1873</definedName>
    <definedName name="UAcct396Sgu">'[12]Func Study'!$AB$1876</definedName>
    <definedName name="UAcct396So">'[12]Func Study'!$AB$1875</definedName>
    <definedName name="UACCT396SSGCH">'[12]Func Study'!$AB$1879</definedName>
    <definedName name="UACCT396SSGCT">'[12]Func Study'!$AB$1878</definedName>
    <definedName name="UAcct397Cn">'[12]Func Study'!$AB$1890</definedName>
    <definedName name="UAcct397JBG">'[12]Func Study'!$AB$1893</definedName>
    <definedName name="UAcct397S">'[12]Func Study'!$AB$1886</definedName>
    <definedName name="UAcct397Se">'[12]Func Study'!$AB$1892</definedName>
    <definedName name="UAcct397Sg">'[12]Func Study'!$AB$1891</definedName>
    <definedName name="UAcct397Sgp">'[12]Func Study'!$AB$1887</definedName>
    <definedName name="UAcct397Sgu">'[12]Func Study'!$AB$1888</definedName>
    <definedName name="UAcct397So">'[12]Func Study'!$AB$1889</definedName>
    <definedName name="UAcct398Cn">'[12]Func Study'!$AB$1902</definedName>
    <definedName name="UAcct398S">'[12]Func Study'!$AB$1899</definedName>
    <definedName name="UAcct398Se">'[12]Func Study'!$AB$1904</definedName>
    <definedName name="UAcct398Sg">'[12]Func Study'!$AB$1905</definedName>
    <definedName name="UAcct398Sgp">'[12]Func Study'!$AB$1900</definedName>
    <definedName name="UAcct398Sgu">'[12]Func Study'!$AB$1901</definedName>
    <definedName name="UAcct398So">'[12]Func Study'!$AB$1903</definedName>
    <definedName name="UACCT398SSGCT">'[12]Func Study'!$AB$1906</definedName>
    <definedName name="UAcct399">'[12]Func Study'!$AB$1913</definedName>
    <definedName name="UAcct399G">'[12]Func Study'!$AB$1955</definedName>
    <definedName name="UAcct399L">'[12]Func Study'!$AB$1917</definedName>
    <definedName name="UAcct399Lrcl">'[12]Func Study'!$AB$1919</definedName>
    <definedName name="UAcct403360">'[12]Func Study'!$AB$1090</definedName>
    <definedName name="UAcct403361">'[12]Func Study'!$AB$1091</definedName>
    <definedName name="UAcct403362">'[12]Func Study'!$AB$1092</definedName>
    <definedName name="UAcct403364">'[12]Func Study'!$AB$1094</definedName>
    <definedName name="UAcct403365">'[12]Func Study'!$AB$1095</definedName>
    <definedName name="UAcct403366">'[12]Func Study'!$AB$1096</definedName>
    <definedName name="UAcct403367">'[12]Func Study'!$AB$1097</definedName>
    <definedName name="UAcct403368">'[12]Func Study'!$AB$1098</definedName>
    <definedName name="UAcct403369">'[12]Func Study'!$AB$1099</definedName>
    <definedName name="UAcct403370">'[12]Func Study'!$AB$1100</definedName>
    <definedName name="UAcct403371">'[12]Func Study'!$AB$1101</definedName>
    <definedName name="UAcct403372">'[12]Func Study'!$AB$1102</definedName>
    <definedName name="UAcct403373">'[12]Func Study'!$AB$1103</definedName>
    <definedName name="UAcct403Ep">'[12]Func Study'!$AB$1130</definedName>
    <definedName name="UAcct403Gpcn">'[12]Func Study'!$AB$1111</definedName>
    <definedName name="UAcct403GPDGP">'[12]Func Study'!$AB$1108</definedName>
    <definedName name="UAcct403GPDGU">'[12]Func Study'!$AB$1109</definedName>
    <definedName name="UAcct403GPJBG">'[12]Func Study'!$AB$1115</definedName>
    <definedName name="UAcct403Gps">'[12]Func Study'!$AB$1107</definedName>
    <definedName name="UAcct403Gpsg">'[12]Func Study'!$AB$1112</definedName>
    <definedName name="UAcct403Gpso">'[12]Func Study'!$AB$1113</definedName>
    <definedName name="UAcct403Gv0">'[12]Func Study'!$AB$1121</definedName>
    <definedName name="UAcct403Hp">'[12]Func Study'!$AB$1072</definedName>
    <definedName name="UACCT403JBE">'[12]Func Study'!$AB$1116</definedName>
    <definedName name="UAcct403Mp">'[12]Func Study'!$AB$1125</definedName>
    <definedName name="UAcct403Np">'[12]Func Study'!$AB$1065</definedName>
    <definedName name="UAcct403Op">'[12]Func Study'!$AB$1080</definedName>
    <definedName name="UAcct403OPCAGE">'[12]Func Study'!$AB$1078</definedName>
    <definedName name="UAcct403Sp">'[12]Func Study'!$AB$1061</definedName>
    <definedName name="UAcct403SPJBG">'[12]Func Study'!$AB$1058</definedName>
    <definedName name="UAcct403Tp">'[12]Func Study'!$AB$1087</definedName>
    <definedName name="UAcct404330">'[12]Func Study'!$AB$1177</definedName>
    <definedName name="UACCT404GP">'[12]Func Study'!$AB$1146</definedName>
    <definedName name="UACCT404GPCN">'[12]Func Study'!$AB$1143</definedName>
    <definedName name="UACCT404GPSO">'[12]Func Study'!$AB$1141</definedName>
    <definedName name="UAcct404Ipcn">'[12]Func Study'!$AB$1158</definedName>
    <definedName name="UAcct404IPJBG">'[12]Func Study'!$AB$1163</definedName>
    <definedName name="UAcct404Ips">'[12]Func Study'!$AB$1154</definedName>
    <definedName name="UAcct404Ipse">'[12]Func Study'!$AB$1155</definedName>
    <definedName name="UAcct404Ipsg">'[12]Func Study'!$AB$1156</definedName>
    <definedName name="UAcct404Ipsg1">'[12]Func Study'!$AB$1159</definedName>
    <definedName name="UAcct404Ipsg2">'[12]Func Study'!$AB$1160</definedName>
    <definedName name="UAcct404Ipso">'[12]Func Study'!$AB$1157</definedName>
    <definedName name="UAcct404M">'[12]Func Study'!$AB$1168</definedName>
    <definedName name="UACCT404OP">'[12]Func Study'!$AB$1172</definedName>
    <definedName name="UACCT404SP">'[12]Func Study'!$AB$1151</definedName>
    <definedName name="UAcct405">'[12]Func Study'!$AB$1185</definedName>
    <definedName name="UAcct406">'[12]Func Study'!$AB$1193</definedName>
    <definedName name="UAcct407">'[12]Func Study'!$AB$1202</definedName>
    <definedName name="UAcct408">'[12]Func Study'!$AB$1221</definedName>
    <definedName name="UAcct408S">'[12]Func Study'!$AB$1213</definedName>
    <definedName name="UAcct41010">'[12]Func Study'!$AB$1294</definedName>
    <definedName name="UAcct41011">'[12]Func Study'!$AB$1309</definedName>
    <definedName name="UACCT41020" localSheetId="10">'[13]Functional Study'!#REF!</definedName>
    <definedName name="UACCT41020" localSheetId="11">'[13]Functional Study'!#REF!</definedName>
    <definedName name="UACCT41020" localSheetId="20">'[13]Functional Study'!#REF!</definedName>
    <definedName name="UACCT41020" localSheetId="19">'[13]Functional Study'!#REF!</definedName>
    <definedName name="UACCT41020" localSheetId="23">'[14]Functional Study'!#REF!</definedName>
    <definedName name="UACCT41020">'[13]Functional Study'!#REF!</definedName>
    <definedName name="UACCT41020BADDEBT" localSheetId="10">'[13]Functional Study'!#REF!</definedName>
    <definedName name="UACCT41020BADDEBT" localSheetId="11">'[13]Functional Study'!#REF!</definedName>
    <definedName name="UACCT41020BADDEBT" localSheetId="20">'[13]Functional Study'!#REF!</definedName>
    <definedName name="UACCT41020BADDEBT" localSheetId="19">'[13]Functional Study'!#REF!</definedName>
    <definedName name="UACCT41020BADDEBT" localSheetId="23">'[14]Functional Study'!#REF!</definedName>
    <definedName name="UACCT41020BADDEBT">'[13]Functional Study'!#REF!</definedName>
    <definedName name="UACCT41020DITEXP" localSheetId="10">'[13]Functional Study'!#REF!</definedName>
    <definedName name="UACCT41020DITEXP" localSheetId="11">'[13]Functional Study'!#REF!</definedName>
    <definedName name="UACCT41020DITEXP" localSheetId="20">'[13]Functional Study'!#REF!</definedName>
    <definedName name="UACCT41020DITEXP" localSheetId="19">'[13]Functional Study'!#REF!</definedName>
    <definedName name="UACCT41020DITEXP" localSheetId="23">'[14]Functional Study'!#REF!</definedName>
    <definedName name="UACCT41020DITEXP">'[13]Functional Study'!#REF!</definedName>
    <definedName name="UACCT41020DNPU" localSheetId="10">'[13]Functional Study'!#REF!</definedName>
    <definedName name="UACCT41020DNPU" localSheetId="11">'[13]Functional Study'!#REF!</definedName>
    <definedName name="UACCT41020DNPU" localSheetId="20">'[13]Functional Study'!#REF!</definedName>
    <definedName name="UACCT41020DNPU" localSheetId="19">'[13]Functional Study'!#REF!</definedName>
    <definedName name="UACCT41020DNPU" localSheetId="23">'[14]Functional Study'!#REF!</definedName>
    <definedName name="UACCT41020DNPU">'[13]Functional Study'!#REF!</definedName>
    <definedName name="UACCT41020S" localSheetId="10">'[13]Functional Study'!#REF!</definedName>
    <definedName name="UACCT41020S" localSheetId="11">'[13]Functional Study'!#REF!</definedName>
    <definedName name="UACCT41020S" localSheetId="20">'[13]Functional Study'!#REF!</definedName>
    <definedName name="UACCT41020S" localSheetId="19">'[13]Functional Study'!#REF!</definedName>
    <definedName name="UACCT41020S" localSheetId="23">'[14]Functional Study'!#REF!</definedName>
    <definedName name="UACCT41020S">'[13]Functional Study'!#REF!</definedName>
    <definedName name="UACCT41020SE" localSheetId="10">'[13]Functional Study'!#REF!</definedName>
    <definedName name="UACCT41020SE" localSheetId="11">'[13]Functional Study'!#REF!</definedName>
    <definedName name="UACCT41020SE" localSheetId="20">'[13]Functional Study'!#REF!</definedName>
    <definedName name="UACCT41020SE" localSheetId="19">'[13]Functional Study'!#REF!</definedName>
    <definedName name="UACCT41020SE" localSheetId="23">'[14]Functional Study'!#REF!</definedName>
    <definedName name="UACCT41020SE">'[13]Functional Study'!#REF!</definedName>
    <definedName name="UACCT41020SG" localSheetId="10">'[13]Functional Study'!#REF!</definedName>
    <definedName name="UACCT41020SG" localSheetId="11">'[13]Functional Study'!#REF!</definedName>
    <definedName name="UACCT41020SG" localSheetId="20">'[13]Functional Study'!#REF!</definedName>
    <definedName name="UACCT41020SG" localSheetId="19">'[13]Functional Study'!#REF!</definedName>
    <definedName name="UACCT41020SG" localSheetId="23">'[14]Functional Study'!#REF!</definedName>
    <definedName name="UACCT41020SG">'[13]Functional Study'!#REF!</definedName>
    <definedName name="UACCT41020SGCT" localSheetId="10">'[13]Functional Study'!#REF!</definedName>
    <definedName name="UACCT41020SGCT" localSheetId="11">'[13]Functional Study'!#REF!</definedName>
    <definedName name="UACCT41020SGCT" localSheetId="20">'[13]Functional Study'!#REF!</definedName>
    <definedName name="UACCT41020SGCT" localSheetId="19">'[13]Functional Study'!#REF!</definedName>
    <definedName name="UACCT41020SGCT" localSheetId="23">'[14]Functional Study'!#REF!</definedName>
    <definedName name="UACCT41020SGCT">'[13]Functional Study'!#REF!</definedName>
    <definedName name="UACCT41020SGPP" localSheetId="10">'[13]Functional Study'!#REF!</definedName>
    <definedName name="UACCT41020SGPP" localSheetId="11">'[13]Functional Study'!#REF!</definedName>
    <definedName name="UACCT41020SGPP" localSheetId="20">'[13]Functional Study'!#REF!</definedName>
    <definedName name="UACCT41020SGPP" localSheetId="19">'[13]Functional Study'!#REF!</definedName>
    <definedName name="UACCT41020SGPP" localSheetId="23">'[14]Functional Study'!#REF!</definedName>
    <definedName name="UACCT41020SGPP">'[13]Functional Study'!#REF!</definedName>
    <definedName name="UACCT41020SO" localSheetId="10">'[13]Functional Study'!#REF!</definedName>
    <definedName name="UACCT41020SO" localSheetId="11">'[13]Functional Study'!#REF!</definedName>
    <definedName name="UACCT41020SO" localSheetId="20">'[13]Functional Study'!#REF!</definedName>
    <definedName name="UACCT41020SO" localSheetId="19">'[13]Functional Study'!#REF!</definedName>
    <definedName name="UACCT41020SO" localSheetId="23">'[14]Functional Study'!#REF!</definedName>
    <definedName name="UACCT41020SO">'[13]Functional Study'!#REF!</definedName>
    <definedName name="UACCT41020TROJP" localSheetId="10">'[13]Functional Study'!#REF!</definedName>
    <definedName name="UACCT41020TROJP" localSheetId="11">'[13]Functional Study'!#REF!</definedName>
    <definedName name="UACCT41020TROJP" localSheetId="20">'[13]Functional Study'!#REF!</definedName>
    <definedName name="UACCT41020TROJP" localSheetId="19">'[13]Functional Study'!#REF!</definedName>
    <definedName name="UACCT41020TROJP" localSheetId="23">'[14]Functional Study'!#REF!</definedName>
    <definedName name="UACCT41020TROJP">'[13]Functional Study'!#REF!</definedName>
    <definedName name="UACCT4102SNPD" localSheetId="10">'[13]Functional Study'!#REF!</definedName>
    <definedName name="UACCT4102SNPD" localSheetId="11">'[13]Functional Study'!#REF!</definedName>
    <definedName name="UACCT4102SNPD" localSheetId="20">'[13]Functional Study'!#REF!</definedName>
    <definedName name="UACCT4102SNPD" localSheetId="19">'[13]Functional Study'!#REF!</definedName>
    <definedName name="UACCT4102SNPD" localSheetId="23">'[14]Functional Study'!#REF!</definedName>
    <definedName name="UACCT4102SNPD">'[13]Functional Study'!#REF!</definedName>
    <definedName name="UAcct41110">'[12]Func Study'!$AB$1325</definedName>
    <definedName name="UAcct41111" localSheetId="10">'[13]Functional Study'!#REF!</definedName>
    <definedName name="UAcct41111" localSheetId="11">'[13]Functional Study'!#REF!</definedName>
    <definedName name="UAcct41111" localSheetId="20">'[13]Functional Study'!#REF!</definedName>
    <definedName name="UAcct41111" localSheetId="19">'[13]Functional Study'!#REF!</definedName>
    <definedName name="UAcct41111" localSheetId="23">'[14]Functional Study'!#REF!</definedName>
    <definedName name="UAcct41111">'[13]Functional Study'!#REF!</definedName>
    <definedName name="UAcct41111Baddebt" localSheetId="10">'[13]Functional Study'!#REF!</definedName>
    <definedName name="UAcct41111Baddebt" localSheetId="11">'[13]Functional Study'!#REF!</definedName>
    <definedName name="UAcct41111Baddebt" localSheetId="20">'[13]Functional Study'!#REF!</definedName>
    <definedName name="UAcct41111Baddebt" localSheetId="19">'[13]Functional Study'!#REF!</definedName>
    <definedName name="UAcct41111Baddebt" localSheetId="23">'[14]Functional Study'!#REF!</definedName>
    <definedName name="UAcct41111Baddebt">'[13]Functional Study'!#REF!</definedName>
    <definedName name="UAcct41111Dgp" localSheetId="10">'[13]Functional Study'!#REF!</definedName>
    <definedName name="UAcct41111Dgp" localSheetId="11">'[13]Functional Study'!#REF!</definedName>
    <definedName name="UAcct41111Dgp" localSheetId="20">'[13]Functional Study'!#REF!</definedName>
    <definedName name="UAcct41111Dgp" localSheetId="19">'[13]Functional Study'!#REF!</definedName>
    <definedName name="UAcct41111Dgp" localSheetId="23">'[14]Functional Study'!#REF!</definedName>
    <definedName name="UAcct41111Dgp">'[13]Functional Study'!#REF!</definedName>
    <definedName name="UAcct41111Dgu" localSheetId="10">'[13]Functional Study'!#REF!</definedName>
    <definedName name="UAcct41111Dgu" localSheetId="11">'[13]Functional Study'!#REF!</definedName>
    <definedName name="UAcct41111Dgu" localSheetId="20">'[13]Functional Study'!#REF!</definedName>
    <definedName name="UAcct41111Dgu" localSheetId="19">'[13]Functional Study'!#REF!</definedName>
    <definedName name="UAcct41111Dgu" localSheetId="23">'[14]Functional Study'!#REF!</definedName>
    <definedName name="UAcct41111Dgu">'[13]Functional Study'!#REF!</definedName>
    <definedName name="UAcct41111Ditexp" localSheetId="10">'[13]Functional Study'!#REF!</definedName>
    <definedName name="UAcct41111Ditexp" localSheetId="11">'[13]Functional Study'!#REF!</definedName>
    <definedName name="UAcct41111Ditexp" localSheetId="20">'[13]Functional Study'!#REF!</definedName>
    <definedName name="UAcct41111Ditexp" localSheetId="19">'[13]Functional Study'!#REF!</definedName>
    <definedName name="UAcct41111Ditexp" localSheetId="23">'[14]Functional Study'!#REF!</definedName>
    <definedName name="UAcct41111Ditexp">'[13]Functional Study'!#REF!</definedName>
    <definedName name="UAcct41111Dnpp" localSheetId="10">'[13]Functional Study'!#REF!</definedName>
    <definedName name="UAcct41111Dnpp" localSheetId="11">'[13]Functional Study'!#REF!</definedName>
    <definedName name="UAcct41111Dnpp" localSheetId="20">'[13]Functional Study'!#REF!</definedName>
    <definedName name="UAcct41111Dnpp" localSheetId="19">'[13]Functional Study'!#REF!</definedName>
    <definedName name="UAcct41111Dnpp" localSheetId="23">'[14]Functional Study'!#REF!</definedName>
    <definedName name="UAcct41111Dnpp">'[13]Functional Study'!#REF!</definedName>
    <definedName name="UAcct41111Dnptp" localSheetId="10">'[13]Functional Study'!#REF!</definedName>
    <definedName name="UAcct41111Dnptp" localSheetId="11">'[13]Functional Study'!#REF!</definedName>
    <definedName name="UAcct41111Dnptp" localSheetId="20">'[13]Functional Study'!#REF!</definedName>
    <definedName name="UAcct41111Dnptp" localSheetId="19">'[13]Functional Study'!#REF!</definedName>
    <definedName name="UAcct41111Dnptp" localSheetId="23">'[14]Functional Study'!#REF!</definedName>
    <definedName name="UAcct41111Dnptp">'[13]Functional Study'!#REF!</definedName>
    <definedName name="UAcct41111S" localSheetId="10">'[13]Functional Study'!#REF!</definedName>
    <definedName name="UAcct41111S" localSheetId="11">'[13]Functional Study'!#REF!</definedName>
    <definedName name="UAcct41111S" localSheetId="20">'[13]Functional Study'!#REF!</definedName>
    <definedName name="UAcct41111S" localSheetId="19">'[13]Functional Study'!#REF!</definedName>
    <definedName name="UAcct41111S" localSheetId="23">'[14]Functional Study'!#REF!</definedName>
    <definedName name="UAcct41111S">'[13]Functional Study'!#REF!</definedName>
    <definedName name="UAcct41111Se" localSheetId="10">'[13]Functional Study'!#REF!</definedName>
    <definedName name="UAcct41111Se" localSheetId="11">'[13]Functional Study'!#REF!</definedName>
    <definedName name="UAcct41111Se" localSheetId="20">'[13]Functional Study'!#REF!</definedName>
    <definedName name="UAcct41111Se" localSheetId="19">'[13]Functional Study'!#REF!</definedName>
    <definedName name="UAcct41111Se" localSheetId="23">'[14]Functional Study'!#REF!</definedName>
    <definedName name="UAcct41111Se">'[13]Functional Study'!#REF!</definedName>
    <definedName name="UAcct41111Sg" localSheetId="10">'[13]Functional Study'!#REF!</definedName>
    <definedName name="UAcct41111Sg" localSheetId="11">'[13]Functional Study'!#REF!</definedName>
    <definedName name="UAcct41111Sg" localSheetId="20">'[13]Functional Study'!#REF!</definedName>
    <definedName name="UAcct41111Sg" localSheetId="19">'[13]Functional Study'!#REF!</definedName>
    <definedName name="UAcct41111Sg" localSheetId="23">'[14]Functional Study'!#REF!</definedName>
    <definedName name="UAcct41111Sg">'[13]Functional Study'!#REF!</definedName>
    <definedName name="UAcct41111Sgpp" localSheetId="10">'[13]Functional Study'!#REF!</definedName>
    <definedName name="UAcct41111Sgpp" localSheetId="11">'[13]Functional Study'!#REF!</definedName>
    <definedName name="UAcct41111Sgpp" localSheetId="20">'[13]Functional Study'!#REF!</definedName>
    <definedName name="UAcct41111Sgpp" localSheetId="19">'[13]Functional Study'!#REF!</definedName>
    <definedName name="UAcct41111Sgpp" localSheetId="23">'[14]Functional Study'!#REF!</definedName>
    <definedName name="UAcct41111Sgpp">'[13]Functional Study'!#REF!</definedName>
    <definedName name="UAcct41111So" localSheetId="10">'[13]Functional Study'!#REF!</definedName>
    <definedName name="UAcct41111So" localSheetId="11">'[13]Functional Study'!#REF!</definedName>
    <definedName name="UAcct41111So" localSheetId="20">'[13]Functional Study'!#REF!</definedName>
    <definedName name="UAcct41111So" localSheetId="19">'[13]Functional Study'!#REF!</definedName>
    <definedName name="UAcct41111So" localSheetId="23">'[14]Functional Study'!#REF!</definedName>
    <definedName name="UAcct41111So">'[13]Functional Study'!#REF!</definedName>
    <definedName name="UAcct41111Trojp" localSheetId="10">'[13]Functional Study'!#REF!</definedName>
    <definedName name="UAcct41111Trojp" localSheetId="11">'[13]Functional Study'!#REF!</definedName>
    <definedName name="UAcct41111Trojp" localSheetId="20">'[13]Functional Study'!#REF!</definedName>
    <definedName name="UAcct41111Trojp" localSheetId="19">'[13]Functional Study'!#REF!</definedName>
    <definedName name="UAcct41111Trojp" localSheetId="23">'[14]Functional Study'!#REF!</definedName>
    <definedName name="UAcct41111Trojp">'[13]Functional Study'!#REF!</definedName>
    <definedName name="UAcct41140">'[12]Func Study'!$AB$1232</definedName>
    <definedName name="UAcct41141">'[12]Func Study'!$AB$1237</definedName>
    <definedName name="UAcct41160">'[12]Func Study'!$AB$369</definedName>
    <definedName name="UAcct41170">'[12]Func Study'!$AB$374</definedName>
    <definedName name="UAcct4118">'[12]Func Study'!$AB$378</definedName>
    <definedName name="UAcct41181">'[12]Func Study'!$AB$381</definedName>
    <definedName name="UAcct4194">'[12]Func Study'!$AB$385</definedName>
    <definedName name="UAcct421">'[12]Func Study'!$AB$394</definedName>
    <definedName name="UAcct4311">'[12]Func Study'!$AB$401</definedName>
    <definedName name="UAcct442Se">'[12]Func Study'!$AB$259</definedName>
    <definedName name="UAcct442Sg">'[12]Func Study'!$AB$260</definedName>
    <definedName name="UAcct447">'[12]Func Study'!$AB$281</definedName>
    <definedName name="UAcct447CAEE" localSheetId="10">'[10]Func Study'!#REF!</definedName>
    <definedName name="UAcct447CAEE" localSheetId="11">'[10]Func Study'!#REF!</definedName>
    <definedName name="UAcct447CAEE" localSheetId="20">'[10]Func Study'!#REF!</definedName>
    <definedName name="UAcct447CAEE" localSheetId="19">'[10]Func Study'!#REF!</definedName>
    <definedName name="UAcct447CAEE" localSheetId="23">'[10]Func Study'!#REF!</definedName>
    <definedName name="UAcct447CAEE">'[10]Func Study'!#REF!</definedName>
    <definedName name="UAcct447CAGE" localSheetId="10">'[10]Func Study'!#REF!</definedName>
    <definedName name="UAcct447CAGE" localSheetId="11">'[10]Func Study'!#REF!</definedName>
    <definedName name="UAcct447CAGE" localSheetId="20">'[10]Func Study'!#REF!</definedName>
    <definedName name="UAcct447CAGE" localSheetId="19">'[10]Func Study'!#REF!</definedName>
    <definedName name="UAcct447CAGE">'[10]Func Study'!#REF!</definedName>
    <definedName name="UAcct447Dgu" localSheetId="10">'[11]Func Study'!#REF!</definedName>
    <definedName name="UAcct447Dgu" localSheetId="11">'[11]Func Study'!#REF!</definedName>
    <definedName name="UAcct447Dgu" localSheetId="20">'[11]Func Study'!#REF!</definedName>
    <definedName name="UAcct447Dgu" localSheetId="19">'[11]Func Study'!#REF!</definedName>
    <definedName name="UAcct447Dgu">'[11]Func Study'!#REF!</definedName>
    <definedName name="UACCT447NPC">'[12]Func Study'!$AB$289</definedName>
    <definedName name="UACCT447NPCCAEW">'[12]Func Study'!$AB$286</definedName>
    <definedName name="UACCT447NPCCAGW">'[12]Func Study'!$AB$287</definedName>
    <definedName name="UACCT447NPCDGP">'[12]Func Study'!$AB$288</definedName>
    <definedName name="UAcct447S">'[12]Func Study'!$AB$280</definedName>
    <definedName name="UAcct448S">'[12]Func Study'!$AB$274</definedName>
    <definedName name="UAcct448So">'[12]Func Study'!$AB$275</definedName>
    <definedName name="UAcct449">'[12]Func Study'!$AB$294</definedName>
    <definedName name="UAcct450">'[12]Func Study'!$AB$304</definedName>
    <definedName name="UAcct450S">'[12]Func Study'!$AB$302</definedName>
    <definedName name="UAcct450So">'[12]Func Study'!$AB$303</definedName>
    <definedName name="UAcct451S">'[12]Func Study'!$AB$307</definedName>
    <definedName name="UAcct451Sg">'[12]Func Study'!$AB$308</definedName>
    <definedName name="UAcct451So">'[12]Func Study'!$AB$309</definedName>
    <definedName name="UAcct453">'[12]Func Study'!$AB$315</definedName>
    <definedName name="UAcct453CAGE" localSheetId="10">'[10]Func Study'!#REF!</definedName>
    <definedName name="UAcct453CAGE" localSheetId="11">'[10]Func Study'!#REF!</definedName>
    <definedName name="UAcct453CAGE" localSheetId="20">'[10]Func Study'!#REF!</definedName>
    <definedName name="UAcct453CAGE" localSheetId="19">'[10]Func Study'!#REF!</definedName>
    <definedName name="UAcct453CAGE" localSheetId="23">'[10]Func Study'!#REF!</definedName>
    <definedName name="UAcct453CAGE">'[10]Func Study'!#REF!</definedName>
    <definedName name="UAcct453CAGW" localSheetId="10">'[10]Func Study'!#REF!</definedName>
    <definedName name="UAcct453CAGW" localSheetId="11">'[10]Func Study'!#REF!</definedName>
    <definedName name="UAcct453CAGW" localSheetId="20">'[10]Func Study'!#REF!</definedName>
    <definedName name="UAcct453CAGW" localSheetId="19">'[10]Func Study'!#REF!</definedName>
    <definedName name="UAcct453CAGW">'[10]Func Study'!#REF!</definedName>
    <definedName name="UAcct454">'[12]Func Study'!$AB$322</definedName>
    <definedName name="UAcct454JBG">'[12]Func Study'!$AB$319</definedName>
    <definedName name="UAcct454S">'[12]Func Study'!$AB$318</definedName>
    <definedName name="UAcct454Sg">'[12]Func Study'!$AB$320</definedName>
    <definedName name="UAcct454So">'[12]Func Study'!$AB$321</definedName>
    <definedName name="UAcct456">'[12]Func Study'!$AB$332</definedName>
    <definedName name="UAcct456CAEW">'[12]Func Study'!$AB$331</definedName>
    <definedName name="UAcct456S">'[12]Func Study'!$AB$325</definedName>
    <definedName name="UAcct456So">'[12]Func Study'!$AB$329</definedName>
    <definedName name="UAcct500">'[12]Func Study'!$AB$416</definedName>
    <definedName name="UAcct500JBG">'[12]Func Study'!$AB$414</definedName>
    <definedName name="UAcct501">'[12]Func Study'!$AB$423</definedName>
    <definedName name="UAcct501CAEW">'[12]Func Study'!$AB$420</definedName>
    <definedName name="UAcct501JBE">'[12]Func Study'!$AB$421</definedName>
    <definedName name="UACCT501NPCCAEW">'[12]Func Study'!$AB$426</definedName>
    <definedName name="UAcct502">'[12]Func Study'!$AB$433</definedName>
    <definedName name="UAcct502CAGE">'[12]Func Study'!$AB$431</definedName>
    <definedName name="UAcct502JBG" localSheetId="10">'[10]Func Study'!#REF!</definedName>
    <definedName name="UAcct502JBG" localSheetId="11">'[10]Func Study'!#REF!</definedName>
    <definedName name="UAcct502JBG" localSheetId="20">'[10]Func Study'!#REF!</definedName>
    <definedName name="UAcct502JBG" localSheetId="19">'[10]Func Study'!#REF!</definedName>
    <definedName name="UAcct502JBG" localSheetId="23">'[10]Func Study'!#REF!</definedName>
    <definedName name="UAcct502JBG">'[10]Func Study'!#REF!</definedName>
    <definedName name="UAcct503">'[12]Func Study'!$AB$437</definedName>
    <definedName name="UACCT503NPC">'[12]Func Study'!$AB$443</definedName>
    <definedName name="UAcct505">'[12]Func Study'!$AB$449</definedName>
    <definedName name="UAcct505CAGE">'[12]Func Study'!$AB$447</definedName>
    <definedName name="UAcct505JBG" localSheetId="10">'[10]Func Study'!#REF!</definedName>
    <definedName name="UAcct505JBG" localSheetId="11">'[10]Func Study'!#REF!</definedName>
    <definedName name="UAcct505JBG" localSheetId="20">'[10]Func Study'!#REF!</definedName>
    <definedName name="UAcct505JBG" localSheetId="19">'[10]Func Study'!#REF!</definedName>
    <definedName name="UAcct505JBG" localSheetId="23">'[10]Func Study'!#REF!</definedName>
    <definedName name="UAcct505JBG">'[10]Func Study'!#REF!</definedName>
    <definedName name="UAcct506">'[12]Func Study'!$AB$455</definedName>
    <definedName name="UAcct506CAGE">'[12]Func Study'!$AB$452</definedName>
    <definedName name="UAcct506JBG" localSheetId="10">'[10]Func Study'!#REF!</definedName>
    <definedName name="UAcct506JBG" localSheetId="11">'[10]Func Study'!#REF!</definedName>
    <definedName name="UAcct506JBG" localSheetId="20">'[10]Func Study'!#REF!</definedName>
    <definedName name="UAcct506JBG" localSheetId="19">'[10]Func Study'!#REF!</definedName>
    <definedName name="UAcct506JBG" localSheetId="23">'[10]Func Study'!#REF!</definedName>
    <definedName name="UAcct506JBG">'[10]Func Study'!#REF!</definedName>
    <definedName name="UAcct507">'[12]Func Study'!$AB$464</definedName>
    <definedName name="UAcct507CAGE">'[12]Func Study'!$AB$462</definedName>
    <definedName name="UAcct507JBG" localSheetId="10">'[10]Func Study'!#REF!</definedName>
    <definedName name="UAcct507JBG" localSheetId="11">'[10]Func Study'!#REF!</definedName>
    <definedName name="UAcct507JBG" localSheetId="20">'[10]Func Study'!#REF!</definedName>
    <definedName name="UAcct507JBG" localSheetId="19">'[10]Func Study'!#REF!</definedName>
    <definedName name="UAcct507JBG" localSheetId="23">'[10]Func Study'!#REF!</definedName>
    <definedName name="UAcct507JBG">'[10]Func Study'!#REF!</definedName>
    <definedName name="UAcct510">'[12]Func Study'!$AB$469</definedName>
    <definedName name="UAcct510CAGE">'[12]Func Study'!$AB$467</definedName>
    <definedName name="UAcct510JBG" localSheetId="10">'[10]Func Study'!#REF!</definedName>
    <definedName name="UAcct510JBG" localSheetId="11">'[10]Func Study'!#REF!</definedName>
    <definedName name="UAcct510JBG" localSheetId="20">'[10]Func Study'!#REF!</definedName>
    <definedName name="UAcct510JBG" localSheetId="19">'[10]Func Study'!#REF!</definedName>
    <definedName name="UAcct510JBG" localSheetId="23">'[10]Func Study'!#REF!</definedName>
    <definedName name="UAcct510JBG">'[10]Func Study'!#REF!</definedName>
    <definedName name="UAcct511">'[12]Func Study'!$AB$474</definedName>
    <definedName name="UAcct511CAGE">'[12]Func Study'!$AB$472</definedName>
    <definedName name="UAcct511JBG" localSheetId="10">'[10]Func Study'!#REF!</definedName>
    <definedName name="UAcct511JBG" localSheetId="11">'[10]Func Study'!#REF!</definedName>
    <definedName name="UAcct511JBG" localSheetId="20">'[10]Func Study'!#REF!</definedName>
    <definedName name="UAcct511JBG" localSheetId="19">'[10]Func Study'!#REF!</definedName>
    <definedName name="UAcct511JBG" localSheetId="23">'[10]Func Study'!#REF!</definedName>
    <definedName name="UAcct511JBG">'[10]Func Study'!#REF!</definedName>
    <definedName name="UAcct512">'[12]Func Study'!$AB$479</definedName>
    <definedName name="UAcct512CAGE">'[12]Func Study'!$AB$477</definedName>
    <definedName name="UAcct512JBG" localSheetId="10">'[10]Func Study'!#REF!</definedName>
    <definedName name="UAcct512JBG" localSheetId="11">'[10]Func Study'!#REF!</definedName>
    <definedName name="UAcct512JBG" localSheetId="20">'[10]Func Study'!#REF!</definedName>
    <definedName name="UAcct512JBG" localSheetId="19">'[10]Func Study'!#REF!</definedName>
    <definedName name="UAcct512JBG" localSheetId="23">'[10]Func Study'!#REF!</definedName>
    <definedName name="UAcct512JBG">'[10]Func Study'!#REF!</definedName>
    <definedName name="UAcct513">'[12]Func Study'!$AB$484</definedName>
    <definedName name="UAcct513CAGE">'[12]Func Study'!$AB$482</definedName>
    <definedName name="UAcct513JBG" localSheetId="10">'[10]Func Study'!#REF!</definedName>
    <definedName name="UAcct513JBG" localSheetId="11">'[10]Func Study'!#REF!</definedName>
    <definedName name="UAcct513JBG" localSheetId="20">'[10]Func Study'!#REF!</definedName>
    <definedName name="UAcct513JBG" localSheetId="19">'[10]Func Study'!#REF!</definedName>
    <definedName name="UAcct513JBG" localSheetId="23">'[10]Func Study'!#REF!</definedName>
    <definedName name="UAcct513JBG">'[10]Func Study'!#REF!</definedName>
    <definedName name="UAcct514">'[12]Func Study'!$AB$489</definedName>
    <definedName name="UAcct514CAGE">'[12]Func Study'!$AB$487</definedName>
    <definedName name="UAcct514JBG" localSheetId="10">'[10]Func Study'!#REF!</definedName>
    <definedName name="UAcct514JBG" localSheetId="11">'[10]Func Study'!#REF!</definedName>
    <definedName name="UAcct514JBG" localSheetId="20">'[10]Func Study'!#REF!</definedName>
    <definedName name="UAcct514JBG" localSheetId="19">'[10]Func Study'!#REF!</definedName>
    <definedName name="UAcct514JBG" localSheetId="23">'[10]Func Study'!#REF!</definedName>
    <definedName name="UAcct514JBG">'[10]Func Study'!#REF!</definedName>
    <definedName name="UAcct517">'[12]Func Study'!$AB$498</definedName>
    <definedName name="UAcct518">'[12]Func Study'!$AB$502</definedName>
    <definedName name="UAcct519">'[12]Func Study'!$AB$507</definedName>
    <definedName name="UAcct520">'[12]Func Study'!$AB$511</definedName>
    <definedName name="UAcct523">'[12]Func Study'!$AB$515</definedName>
    <definedName name="UAcct524">'[12]Func Study'!$AB$519</definedName>
    <definedName name="UAcct528">'[12]Func Study'!$AB$523</definedName>
    <definedName name="UAcct529">'[12]Func Study'!$AB$527</definedName>
    <definedName name="UAcct530">'[12]Func Study'!$AB$531</definedName>
    <definedName name="UAcct531">'[12]Func Study'!$AB$535</definedName>
    <definedName name="UAcct532">'[12]Func Study'!$AB$539</definedName>
    <definedName name="UAcct535">'[12]Func Study'!$AB$551</definedName>
    <definedName name="UAcct536">'[12]Func Study'!$AB$555</definedName>
    <definedName name="UAcct537">'[12]Func Study'!$AB$559</definedName>
    <definedName name="UAcct538">'[12]Func Study'!$AB$563</definedName>
    <definedName name="UAcct539">'[12]Func Study'!$AB$568</definedName>
    <definedName name="UAcct540">'[12]Func Study'!$AB$572</definedName>
    <definedName name="UAcct541">'[12]Func Study'!$AB$576</definedName>
    <definedName name="UAcct542">'[12]Func Study'!$AB$580</definedName>
    <definedName name="UAcct543">'[12]Func Study'!$AB$584</definedName>
    <definedName name="UAcct544">'[12]Func Study'!$AB$588</definedName>
    <definedName name="UAcct545">'[12]Func Study'!$AB$592</definedName>
    <definedName name="UAcct546">'[12]Func Study'!$AB$606</definedName>
    <definedName name="UAcct546CAGE">'[12]Func Study'!$AB$605</definedName>
    <definedName name="UAcct547CAEW">'[12]Func Study'!$AB$610</definedName>
    <definedName name="UACCT547NPCCAEW">'[12]Func Study'!$AB$613</definedName>
    <definedName name="UAcct547Se">'[12]Func Study'!$AB$609</definedName>
    <definedName name="UAcct548">'[12]Func Study'!$AB$621</definedName>
    <definedName name="UACCT548CAGE">'[12]Func Study'!$AB$620</definedName>
    <definedName name="UAcct549">'[12]Func Study'!$AB$626</definedName>
    <definedName name="Uacct549CAGE">'[12]Func Study'!$AB$625</definedName>
    <definedName name="UAcct5506SE" localSheetId="10">'[10]Func Study'!#REF!</definedName>
    <definedName name="UAcct5506SE" localSheetId="11">'[10]Func Study'!#REF!</definedName>
    <definedName name="UAcct5506SE" localSheetId="20">'[10]Func Study'!#REF!</definedName>
    <definedName name="UAcct5506SE" localSheetId="19">'[10]Func Study'!#REF!</definedName>
    <definedName name="UAcct5506SE" localSheetId="23">'[10]Func Study'!#REF!</definedName>
    <definedName name="UAcct5506SE">'[10]Func Study'!#REF!</definedName>
    <definedName name="UAcct551CAGE">'[12]Func Study'!$AB$634</definedName>
    <definedName name="UACCT551SG">'[12]Func Study'!$AB$635</definedName>
    <definedName name="UACCT552CAGE">'[12]Func Study'!$AB$640</definedName>
    <definedName name="UAcct552SG">'[12]Func Study'!$AB$639</definedName>
    <definedName name="UACCT553CAGE">'[12]Func Study'!$AB$646</definedName>
    <definedName name="UAcct553SG">'[12]Func Study'!$AB$645</definedName>
    <definedName name="UACCT554CAGE">'[12]Func Study'!$AB$651</definedName>
    <definedName name="UAcct554SG">'[12]Func Study'!$AB$650</definedName>
    <definedName name="UAcct555CAEE" localSheetId="10">'[10]Func Study'!#REF!</definedName>
    <definedName name="UAcct555CAEE" localSheetId="11">'[10]Func Study'!#REF!</definedName>
    <definedName name="UAcct555CAEE" localSheetId="20">'[10]Func Study'!#REF!</definedName>
    <definedName name="UAcct555CAEE" localSheetId="19">'[10]Func Study'!#REF!</definedName>
    <definedName name="UAcct555CAEE" localSheetId="23">'[10]Func Study'!#REF!</definedName>
    <definedName name="UAcct555CAEE">'[10]Func Study'!#REF!</definedName>
    <definedName name="UAcct555CAEW">'[12]Func Study'!$AB$665</definedName>
    <definedName name="UAcct555CAGE" localSheetId="10">'[10]Func Study'!#REF!</definedName>
    <definedName name="UAcct555CAGE" localSheetId="11">'[10]Func Study'!#REF!</definedName>
    <definedName name="UAcct555CAGE" localSheetId="20">'[10]Func Study'!#REF!</definedName>
    <definedName name="UAcct555CAGE" localSheetId="19">'[10]Func Study'!#REF!</definedName>
    <definedName name="UAcct555CAGE" localSheetId="23">'[10]Func Study'!#REF!</definedName>
    <definedName name="UAcct555CAGE">'[10]Func Study'!#REF!</definedName>
    <definedName name="UAcct555CAGW">'[12]Func Study'!$AB$664</definedName>
    <definedName name="UACCT555DGP">'[12]Func Study'!$AB$670</definedName>
    <definedName name="UACCT555NPCCAEW">'[12]Func Study'!$AB$669</definedName>
    <definedName name="UACCT555NPCCAGW">'[12]Func Study'!$AB$668</definedName>
    <definedName name="UAcct555S">'[12]Func Study'!$AB$663</definedName>
    <definedName name="UAcct555Se">'[12]Func Study'!$AB$665</definedName>
    <definedName name="UACCT555SG">'[12]Func Study'!$AB$664</definedName>
    <definedName name="UAcct556">'[12]Func Study'!$AB$676</definedName>
    <definedName name="UAcct557">'[12]Func Study'!$AB$685</definedName>
    <definedName name="UAcct560">'[12]Func Study'!$AB$715</definedName>
    <definedName name="UAcct561">'[12]Func Study'!$AB$720</definedName>
    <definedName name="UAcct562">'[12]Func Study'!$AB$726</definedName>
    <definedName name="UAcct563">'[12]Func Study'!$AB$731</definedName>
    <definedName name="UAcct564">'[12]Func Study'!$AB$735</definedName>
    <definedName name="UAcct565">'[12]Func Study'!$AB$739</definedName>
    <definedName name="UACCT565NPC">'[12]Func Study'!$AB$744</definedName>
    <definedName name="UACCT565NPCCAGW">'[12]Func Study'!$AB$742</definedName>
    <definedName name="UAcct566">'[12]Func Study'!$AB$748</definedName>
    <definedName name="UAcct567">'[12]Func Study'!$AB$752</definedName>
    <definedName name="UAcct568">'[12]Func Study'!$AB$756</definedName>
    <definedName name="UAcct569">'[12]Func Study'!$AB$760</definedName>
    <definedName name="UAcct570">'[12]Func Study'!$AB$765</definedName>
    <definedName name="UAcct571">'[12]Func Study'!$AB$770</definedName>
    <definedName name="UAcct572">'[12]Func Study'!$AB$774</definedName>
    <definedName name="UAcct573">'[12]Func Study'!$AB$778</definedName>
    <definedName name="UAcct580">'[12]Func Study'!$AB$791</definedName>
    <definedName name="UAcct581">'[12]Func Study'!$AB$796</definedName>
    <definedName name="UAcct582">'[12]Func Study'!$AB$801</definedName>
    <definedName name="UAcct583">'[12]Func Study'!$AB$806</definedName>
    <definedName name="UAcct584">'[12]Func Study'!$AB$811</definedName>
    <definedName name="UAcct585">'[12]Func Study'!$AB$816</definedName>
    <definedName name="UAcct586">'[12]Func Study'!$AB$821</definedName>
    <definedName name="UAcct587">'[12]Func Study'!$AB$826</definedName>
    <definedName name="UAcct588">'[12]Func Study'!$AB$831</definedName>
    <definedName name="UAcct589">'[12]Func Study'!$AB$836</definedName>
    <definedName name="UAcct590">'[12]Func Study'!$AB$841</definedName>
    <definedName name="UAcct591">'[12]Func Study'!$AB$846</definedName>
    <definedName name="UAcct592">'[12]Func Study'!$AB$851</definedName>
    <definedName name="UAcct593">'[12]Func Study'!$AB$856</definedName>
    <definedName name="UAcct594">'[12]Func Study'!$AB$861</definedName>
    <definedName name="UAcct595">'[12]Func Study'!$AB$866</definedName>
    <definedName name="UAcct596">'[12]Func Study'!$AB$876</definedName>
    <definedName name="UAcct597">'[12]Func Study'!$AB$881</definedName>
    <definedName name="UAcct598">'[12]Func Study'!$AB$886</definedName>
    <definedName name="UAcct901">'[12]Func Study'!$AB$898</definedName>
    <definedName name="UAcct902">'[12]Func Study'!$AB$903</definedName>
    <definedName name="UAcct903">'[12]Func Study'!$AB$908</definedName>
    <definedName name="UAcct904">'[12]Func Study'!$AB$914</definedName>
    <definedName name="Uacct904SG" localSheetId="10">'[15]Functional Study'!#REF!</definedName>
    <definedName name="Uacct904SG" localSheetId="11">'[15]Functional Study'!#REF!</definedName>
    <definedName name="Uacct904SG" localSheetId="20">'[15]Functional Study'!#REF!</definedName>
    <definedName name="Uacct904SG" localSheetId="19">'[15]Functional Study'!#REF!</definedName>
    <definedName name="Uacct904SG" localSheetId="23">'[16]Functional Study'!#REF!</definedName>
    <definedName name="Uacct904SG">'[15]Functional Study'!#REF!</definedName>
    <definedName name="UAcct905">'[12]Func Study'!$AB$919</definedName>
    <definedName name="UAcct907">'[12]Func Study'!$AB$933</definedName>
    <definedName name="UAcct908">'[12]Func Study'!$AB$938</definedName>
    <definedName name="UAcct909">'[12]Func Study'!$AB$943</definedName>
    <definedName name="UAcct910">'[12]Func Study'!$AB$948</definedName>
    <definedName name="UAcct911">'[12]Func Study'!$AB$959</definedName>
    <definedName name="UAcct912">'[12]Func Study'!$AB$964</definedName>
    <definedName name="UAcct913">'[12]Func Study'!$AB$969</definedName>
    <definedName name="UAcct916">'[12]Func Study'!$AB$974</definedName>
    <definedName name="UAcct920">'[12]Func Study'!$AB$985</definedName>
    <definedName name="UAcct920Cn">'[12]Func Study'!$AB$983</definedName>
    <definedName name="UAcct921">'[12]Func Study'!$AB$991</definedName>
    <definedName name="UAcct921Cn">'[12]Func Study'!$AB$989</definedName>
    <definedName name="UAcct923">'[12]Func Study'!$AB$997</definedName>
    <definedName name="UAcct923CAGW">'[12]Func Study'!$AB$995</definedName>
    <definedName name="UAcct924">'[12]Func Study'!$AB$1001</definedName>
    <definedName name="UAcct925">'[12]Func Study'!$AB$1005</definedName>
    <definedName name="UAcct926">'[12]Func Study'!$AB$1011</definedName>
    <definedName name="UAcct927">'[12]Func Study'!$AB$1016</definedName>
    <definedName name="UAcct928">'[12]Func Study'!$AB$1023</definedName>
    <definedName name="UAcct929">'[12]Func Study'!$AB$1028</definedName>
    <definedName name="UAcct930">'[12]Func Study'!$AB$1034</definedName>
    <definedName name="UAcct931">'[12]Func Study'!$AB$1039</definedName>
    <definedName name="UAcct935">'[12]Func Study'!$AB$1045</definedName>
    <definedName name="UAcctAGA">'[12]Func Study'!$AB$296</definedName>
    <definedName name="UAcctcwc">'[12]Func Study'!$AB$2136</definedName>
    <definedName name="UAcctd00">'[12]Func Study'!$AB$1786</definedName>
    <definedName name="UAcctdfa" localSheetId="10">'[12]Func Study'!#REF!</definedName>
    <definedName name="UAcctdfa" localSheetId="11">'[12]Func Study'!#REF!</definedName>
    <definedName name="UAcctdfa" localSheetId="20">'[12]Func Study'!#REF!</definedName>
    <definedName name="UAcctdfa">'[12]Func Study'!#REF!</definedName>
    <definedName name="UAcctdfad" localSheetId="10">'[12]Func Study'!#REF!</definedName>
    <definedName name="UAcctdfad" localSheetId="11">'[12]Func Study'!#REF!</definedName>
    <definedName name="UAcctdfad" localSheetId="20">'[12]Func Study'!#REF!</definedName>
    <definedName name="UAcctdfad">'[12]Func Study'!#REF!</definedName>
    <definedName name="UAcctdfap" localSheetId="10">'[12]Func Study'!#REF!</definedName>
    <definedName name="UAcctdfap" localSheetId="11">'[12]Func Study'!#REF!</definedName>
    <definedName name="UAcctdfap" localSheetId="20">'[12]Func Study'!#REF!</definedName>
    <definedName name="UAcctdfap">'[12]Func Study'!#REF!</definedName>
    <definedName name="UAcctdfat" localSheetId="10">'[12]Func Study'!#REF!</definedName>
    <definedName name="UAcctdfat" localSheetId="11">'[12]Func Study'!#REF!</definedName>
    <definedName name="UAcctdfat" localSheetId="20">'[12]Func Study'!#REF!</definedName>
    <definedName name="UAcctdfat">'[12]Func Study'!#REF!</definedName>
    <definedName name="UAcctds0">'[12]Func Study'!$AB$1790</definedName>
    <definedName name="UACCTECDDGP">'[12]Func Study'!$AB$687</definedName>
    <definedName name="UACCTECDMC">'[12]Func Study'!$AB$689</definedName>
    <definedName name="UACCTECDS">'[12]Func Study'!$AB$691</definedName>
    <definedName name="UACCTECDSG1">'[12]Func Study'!$AB$688</definedName>
    <definedName name="UACCTECDSG2">'[12]Func Study'!$AB$690</definedName>
    <definedName name="UACCTECDSG3">'[12]Func Study'!$AB$692</definedName>
    <definedName name="UAcctfit">'[12]Func Study'!$AB$1395</definedName>
    <definedName name="UAcctg00">'[12]Func Study'!$AB$1947</definedName>
    <definedName name="UAccth00">'[12]Func Study'!$AB$1545</definedName>
    <definedName name="UAccti00">'[12]Func Study'!$AB$1993</definedName>
    <definedName name="UAcctn00">'[12]Func Study'!$AB$1496</definedName>
    <definedName name="UAccto00">'[12]Func Study'!$AB$1606</definedName>
    <definedName name="UAcctowc">'[12]Func Study'!$AB$2149</definedName>
    <definedName name="UACCTOWCSSECH">'[12]Func Study'!$AB$2148</definedName>
    <definedName name="UAccts00">'[12]Func Study'!$AB$1455</definedName>
    <definedName name="UAcctsttax">'[12]Func Study'!$AB$1377</definedName>
    <definedName name="UAcctt00">'[12]Func Study'!$AB$1682</definedName>
    <definedName name="UNBILREV" localSheetId="10">#REF!</definedName>
    <definedName name="UNBILREV" localSheetId="11">#REF!</definedName>
    <definedName name="UNBILREV" localSheetId="20">#REF!</definedName>
    <definedName name="UNBILREV" localSheetId="19">#REF!</definedName>
    <definedName name="UNBILREV">#REF!</definedName>
    <definedName name="UncollectibleAccounts" localSheetId="7">[18]Variables!$D$25</definedName>
    <definedName name="UncollectibleAccounts">[18]Variables!$D$25</definedName>
    <definedName name="UtGrossReceipts" localSheetId="7">[18]Variables!$D$29</definedName>
    <definedName name="UtGrossReceipts">[18]Variables!$D$29</definedName>
    <definedName name="ValidAccount">[17]Variables!$AK$43:$AK$369</definedName>
    <definedName name="VAR" localSheetId="10">[19]Backup!#REF!</definedName>
    <definedName name="VAR" localSheetId="11">[19]Backup!#REF!</definedName>
    <definedName name="VAR" localSheetId="20">[19]Backup!#REF!</definedName>
    <definedName name="VAR" localSheetId="19">[19]Backup!#REF!</definedName>
    <definedName name="VAR" localSheetId="23">[19]Backup!#REF!</definedName>
    <definedName name="VAR">[19]Backup!#REF!</definedName>
    <definedName name="VARIABLE" localSheetId="10">[24]Summary!#REF!</definedName>
    <definedName name="VARIABLE" localSheetId="11">[24]Summary!#REF!</definedName>
    <definedName name="VARIABLE" localSheetId="20">[24]Summary!#REF!</definedName>
    <definedName name="VARIABLE" localSheetId="19">[24]Summary!#REF!</definedName>
    <definedName name="VARIABLE" localSheetId="23">[25]Summary!#REF!</definedName>
    <definedName name="VARIABLE">[24]Summary!#REF!</definedName>
    <definedName name="VOUCHER" localSheetId="10">#REF!</definedName>
    <definedName name="VOUCHER" localSheetId="11">#REF!</definedName>
    <definedName name="VOUCHER" localSheetId="20">#REF!</definedName>
    <definedName name="VOUCHER" localSheetId="19">#REF!</definedName>
    <definedName name="VOUCHER" localSheetId="7">#REF!</definedName>
    <definedName name="VOUCHER">#REF!</definedName>
    <definedName name="WaRevenueTax" localSheetId="7">[18]Variables!$D$27</definedName>
    <definedName name="WaRevenueTax">[18]Variables!$D$27</definedName>
    <definedName name="WEATHER" localSheetId="10">#REF!</definedName>
    <definedName name="WEATHER" localSheetId="11">#REF!</definedName>
    <definedName name="WEATHER" localSheetId="20">#REF!</definedName>
    <definedName name="WEATHER" localSheetId="19">#REF!</definedName>
    <definedName name="WEATHER">#REF!</definedName>
    <definedName name="WEATHRNORM" localSheetId="10">#REF!</definedName>
    <definedName name="WEATHRNORM" localSheetId="11">#REF!</definedName>
    <definedName name="WEATHRNORM" localSheetId="20">#REF!</definedName>
    <definedName name="WEATHRNORM" localSheetId="19">#REF!</definedName>
    <definedName name="WEATHRNORM">#REF!</definedName>
    <definedName name="WIDTH" localSheetId="10">#REF!</definedName>
    <definedName name="WIDTH" localSheetId="11">#REF!</definedName>
    <definedName name="WIDTH" localSheetId="20">#REF!</definedName>
    <definedName name="WIDTH" localSheetId="19">#REF!</definedName>
    <definedName name="WIDTH" localSheetId="7">#REF!</definedName>
    <definedName name="WIDTH">#REF!</definedName>
    <definedName name="WinterPeak" localSheetId="7">'[34]Load Data'!$D$9:$H$12,'[34]Load Data'!$D$20:$H$22</definedName>
    <definedName name="WinterPeak">'[34]Load Data'!$D$9:$H$12,'[34]Load Data'!$D$20:$H$22</definedName>
    <definedName name="WORK1" localSheetId="10">#REF!</definedName>
    <definedName name="WORK1" localSheetId="11">#REF!</definedName>
    <definedName name="WORK1" localSheetId="20">#REF!</definedName>
    <definedName name="WORK1" localSheetId="19">#REF!</definedName>
    <definedName name="WORK1" localSheetId="7">#REF!</definedName>
    <definedName name="WORK1">#REF!</definedName>
    <definedName name="WORK2" localSheetId="10">#REF!</definedName>
    <definedName name="WORK2" localSheetId="11">#REF!</definedName>
    <definedName name="WORK2" localSheetId="20">#REF!</definedName>
    <definedName name="WORK2" localSheetId="19">#REF!</definedName>
    <definedName name="WORK2" localSheetId="7">#REF!</definedName>
    <definedName name="WORK2">#REF!</definedName>
    <definedName name="WORK3" localSheetId="10">#REF!</definedName>
    <definedName name="WORK3" localSheetId="11">#REF!</definedName>
    <definedName name="WORK3" localSheetId="20">#REF!</definedName>
    <definedName name="WORK3" localSheetId="19">#REF!</definedName>
    <definedName name="WORK3" localSheetId="7">#REF!</definedName>
    <definedName name="WORK3">#REF!</definedName>
    <definedName name="wrn.OR._.Carrying._.Charge._.JV." localSheetId="17"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x">'[35]Weather Present'!$K$7</definedName>
    <definedName name="y" localSheetId="25" hidden="1">#REF!</definedName>
    <definedName name="y" localSheetId="26" hidden="1">#REF!</definedName>
    <definedName name="y" localSheetId="9" hidden="1">#REF!</definedName>
    <definedName name="y" localSheetId="10" hidden="1">#REF!</definedName>
    <definedName name="y" localSheetId="11" hidden="1">#REF!</definedName>
    <definedName name="y" localSheetId="12" hidden="1">#REF!</definedName>
    <definedName name="y" localSheetId="13" hidden="1">#REF!</definedName>
    <definedName name="y" localSheetId="14" hidden="1">#REF!</definedName>
    <definedName name="y" localSheetId="15" hidden="1">#REF!</definedName>
    <definedName name="y" localSheetId="16" hidden="1">#REF!</definedName>
    <definedName name="y" localSheetId="17" hidden="1">#REF!</definedName>
    <definedName name="y" localSheetId="21" hidden="1">'[7]DSM Output'!$B$21:$B$23</definedName>
    <definedName name="y" localSheetId="22" hidden="1">'[7]DSM Output'!$B$21:$B$23</definedName>
    <definedName name="y" localSheetId="20" hidden="1">#REF!</definedName>
    <definedName name="y" localSheetId="19" hidden="1">#REF!</definedName>
    <definedName name="y" localSheetId="23" hidden="1">'[8]DSM Output'!$B$21:$B$23</definedName>
    <definedName name="y" localSheetId="7" hidden="1">'[7]DSM Output'!$B$21:$B$23</definedName>
    <definedName name="y" hidden="1">'[7]DSM Output'!$B$21:$B$23</definedName>
    <definedName name="Year" localSheetId="10">#REF!</definedName>
    <definedName name="Year" localSheetId="11">#REF!</definedName>
    <definedName name="Year" localSheetId="20">#REF!</definedName>
    <definedName name="Year" localSheetId="19">#REF!</definedName>
    <definedName name="Year" localSheetId="7">#REF!</definedName>
    <definedName name="Year">#REF!</definedName>
    <definedName name="YEFactors">[17]Factors!$S$3:$AG$99</definedName>
    <definedName name="z" localSheetId="25" hidden="1">#REF!</definedName>
    <definedName name="z" localSheetId="26" hidden="1">#REF!</definedName>
    <definedName name="z" localSheetId="9" hidden="1">#REF!</definedName>
    <definedName name="z" localSheetId="10" hidden="1">#REF!</definedName>
    <definedName name="z" localSheetId="11" hidden="1">#REF!</definedName>
    <definedName name="z" localSheetId="12" hidden="1">#REF!</definedName>
    <definedName name="z" localSheetId="13" hidden="1">#REF!</definedName>
    <definedName name="z" localSheetId="14" hidden="1">#REF!</definedName>
    <definedName name="z" localSheetId="15" hidden="1">#REF!</definedName>
    <definedName name="z" localSheetId="16" hidden="1">#REF!</definedName>
    <definedName name="z" localSheetId="17" hidden="1">#REF!</definedName>
    <definedName name="z" localSheetId="21" hidden="1">'[7]DSM Output'!$G$21:$G$23</definedName>
    <definedName name="z" localSheetId="22" hidden="1">'[7]DSM Output'!$G$21:$G$23</definedName>
    <definedName name="z" localSheetId="20" hidden="1">#REF!</definedName>
    <definedName name="z" localSheetId="19" hidden="1">#REF!</definedName>
    <definedName name="z" localSheetId="23" hidden="1">'[8]DSM Output'!$G$21:$G$23</definedName>
    <definedName name="z" localSheetId="7" hidden="1">'[7]DSM Output'!$G$21:$G$23</definedName>
    <definedName name="z" hidden="1">'[7]DSM Output'!$G$21:$G$23</definedName>
    <definedName name="ZA" localSheetId="10">'[36] annual balance '!#REF!</definedName>
    <definedName name="ZA" localSheetId="11">'[36] annual balance '!#REF!</definedName>
    <definedName name="ZA" localSheetId="20">'[36] annual balance '!#REF!</definedName>
    <definedName name="ZA" localSheetId="19">'[36] annual balance '!#REF!</definedName>
    <definedName name="ZA" localSheetId="23">'[36] annual balance '!#REF!</definedName>
    <definedName name="ZA">'[36] annual balance '!#REF!</definedName>
  </definedNames>
  <calcPr calcId="152511" iterate="1"/>
</workbook>
</file>

<file path=xl/calcChain.xml><?xml version="1.0" encoding="utf-8"?>
<calcChain xmlns="http://schemas.openxmlformats.org/spreadsheetml/2006/main">
  <c r="E22" i="12812" l="1"/>
  <c r="I46" i="12811" l="1"/>
  <c r="H46" i="12811"/>
  <c r="H53" i="12811"/>
  <c r="H52" i="12811"/>
  <c r="H49" i="12811"/>
  <c r="H42" i="12811"/>
  <c r="H43" i="12811"/>
  <c r="H41" i="12811"/>
  <c r="G46" i="12811"/>
  <c r="H22" i="12811"/>
  <c r="H14" i="12811"/>
  <c r="H15" i="12811"/>
  <c r="H16" i="12811"/>
  <c r="H17" i="12811"/>
  <c r="H18" i="12811"/>
  <c r="H13" i="12811"/>
  <c r="G19" i="12811"/>
  <c r="E46" i="12812"/>
  <c r="E52" i="12812"/>
  <c r="E53" i="12812"/>
  <c r="E49" i="12812"/>
  <c r="E42" i="12812"/>
  <c r="E43" i="12812"/>
  <c r="E41" i="12812"/>
  <c r="D46" i="12812"/>
  <c r="D19" i="12812" l="1"/>
  <c r="AD34" i="12775" l="1"/>
  <c r="AD36" i="12775" s="1"/>
  <c r="AD18" i="12775"/>
  <c r="AD8" i="12775"/>
  <c r="AD7" i="12775"/>
  <c r="AD6" i="12775"/>
  <c r="AC23" i="12775"/>
  <c r="AC13" i="12775"/>
  <c r="AD43" i="12775"/>
  <c r="AD32" i="12775"/>
  <c r="R16" i="12770" l="1"/>
  <c r="G46" i="12812" l="1"/>
  <c r="I167" i="12813"/>
  <c r="I163" i="12813"/>
  <c r="D12" i="12775" l="1"/>
  <c r="D36" i="12775" l="1"/>
  <c r="D43" i="12775"/>
  <c r="G647" i="12843" l="1"/>
  <c r="G1217" i="12843" l="1"/>
  <c r="G1216" i="12843"/>
  <c r="G1215" i="12843"/>
  <c r="G1214" i="12843"/>
  <c r="G1213" i="12843"/>
  <c r="G1206" i="12843"/>
  <c r="G1207" i="12843"/>
  <c r="G1208" i="12843"/>
  <c r="G1209" i="12843"/>
  <c r="G1210" i="12843"/>
  <c r="G1205" i="12843"/>
  <c r="G1223" i="12843"/>
  <c r="G1252" i="12843" l="1"/>
  <c r="D1222" i="12843"/>
  <c r="D1116" i="12843"/>
  <c r="G1023" i="12843"/>
  <c r="D1022" i="12843"/>
  <c r="G966" i="12843"/>
  <c r="D965" i="12843"/>
  <c r="G781" i="12843"/>
  <c r="G758" i="12843"/>
  <c r="G757" i="12843"/>
  <c r="G760" i="12843" s="1"/>
  <c r="G648" i="12843"/>
  <c r="G1290" i="12843"/>
  <c r="G1288" i="12843"/>
  <c r="G1287" i="12843"/>
  <c r="G1286" i="12843"/>
  <c r="G1284" i="12843"/>
  <c r="G1283" i="12843"/>
  <c r="G1281" i="12843"/>
  <c r="G1280" i="12843"/>
  <c r="G1279" i="12843"/>
  <c r="G1276" i="12843"/>
  <c r="G1275" i="12843"/>
  <c r="G1273" i="12843"/>
  <c r="G1272" i="12843"/>
  <c r="G1271" i="12843"/>
  <c r="G1268" i="12843"/>
  <c r="G1267" i="12843"/>
  <c r="G1265" i="12843"/>
  <c r="G1264" i="12843"/>
  <c r="G1263" i="12843"/>
  <c r="G1236" i="12843"/>
  <c r="G1233" i="12843"/>
  <c r="G1234" i="12843" s="1"/>
  <c r="G1175" i="12843"/>
  <c r="G1159" i="12843"/>
  <c r="G1158" i="12843"/>
  <c r="G1157" i="12843"/>
  <c r="G1156" i="12843"/>
  <c r="G1155" i="12843"/>
  <c r="G1154" i="12843"/>
  <c r="G1153" i="12843"/>
  <c r="G1151" i="12843"/>
  <c r="G1150" i="12843"/>
  <c r="G1149" i="12843"/>
  <c r="G1148" i="12843"/>
  <c r="G1147" i="12843"/>
  <c r="G1146" i="12843"/>
  <c r="G1144" i="12843"/>
  <c r="G1143" i="12843"/>
  <c r="G1142" i="12843"/>
  <c r="G1141" i="12843"/>
  <c r="G1140" i="12843"/>
  <c r="G1139" i="12843"/>
  <c r="G1129" i="12843"/>
  <c r="G1130" i="12843"/>
  <c r="G1131" i="12843"/>
  <c r="G1132" i="12843"/>
  <c r="G1133" i="12843"/>
  <c r="G1134" i="12843"/>
  <c r="G1135" i="12843"/>
  <c r="G1136" i="12843"/>
  <c r="G1137" i="12843"/>
  <c r="G1128" i="12843"/>
  <c r="G1115" i="12843"/>
  <c r="G1112" i="12843"/>
  <c r="G1111" i="12843"/>
  <c r="G1108" i="12843"/>
  <c r="G1021" i="12843"/>
  <c r="G1020" i="12843"/>
  <c r="G1018" i="12843"/>
  <c r="G1017" i="12843"/>
  <c r="G1016" i="12843"/>
  <c r="G1014" i="12843"/>
  <c r="G1013" i="12843"/>
  <c r="G964" i="12843"/>
  <c r="G963" i="12843"/>
  <c r="G961" i="12843"/>
  <c r="G960" i="12843"/>
  <c r="G959" i="12843"/>
  <c r="G957" i="12843"/>
  <c r="G956" i="12843"/>
  <c r="G899" i="12843"/>
  <c r="G750" i="12843"/>
  <c r="G749" i="12843"/>
  <c r="G748" i="12843"/>
  <c r="G752" i="12843" s="1"/>
  <c r="G746" i="12843"/>
  <c r="G751" i="12843" s="1"/>
  <c r="G741" i="12843"/>
  <c r="G740" i="12843"/>
  <c r="G737" i="12843"/>
  <c r="G631" i="12843"/>
  <c r="G626" i="12843"/>
  <c r="G627" i="12843" s="1"/>
  <c r="G624" i="12843"/>
  <c r="G623" i="12843"/>
  <c r="G621" i="12843"/>
  <c r="G620" i="12843"/>
  <c r="G619" i="12843"/>
  <c r="G592" i="12843"/>
  <c r="G591" i="12843"/>
  <c r="G215" i="12843"/>
  <c r="G214" i="12843"/>
  <c r="G198" i="12843"/>
  <c r="G197" i="12843"/>
  <c r="G204" i="12843" s="1"/>
  <c r="G196" i="12843"/>
  <c r="G203" i="12843" s="1"/>
  <c r="G195" i="12843"/>
  <c r="G202" i="12843" s="1"/>
  <c r="G194" i="12843"/>
  <c r="G191" i="12843"/>
  <c r="G187" i="12843" s="1"/>
  <c r="G190" i="12843"/>
  <c r="G186" i="12843" s="1"/>
  <c r="G189" i="12843"/>
  <c r="G185" i="12843" s="1"/>
  <c r="G92" i="12843"/>
  <c r="G94" i="12843" s="1"/>
  <c r="G89" i="12843"/>
  <c r="G93" i="12843" l="1"/>
  <c r="F128" i="12811"/>
  <c r="F127" i="12811"/>
  <c r="F130" i="12811"/>
  <c r="D46" i="12811"/>
  <c r="C24" i="12764"/>
  <c r="C84" i="12763" l="1"/>
  <c r="N83" i="12763"/>
  <c r="F18" i="12811" l="1"/>
  <c r="C646" i="12843" l="1"/>
  <c r="C645" i="12843"/>
  <c r="C690" i="12843"/>
  <c r="C689" i="12843"/>
  <c r="C638" i="12843" l="1"/>
  <c r="C644" i="12843"/>
  <c r="C640" i="12843"/>
  <c r="C641" i="12843"/>
  <c r="C642" i="12843"/>
  <c r="C643" i="12843"/>
  <c r="F42" i="12811"/>
  <c r="F73" i="12811"/>
  <c r="F43" i="12811"/>
  <c r="F74" i="12811"/>
  <c r="I1203" i="12843"/>
  <c r="I1173" i="12843"/>
  <c r="F129" i="12811"/>
  <c r="F85" i="12811"/>
  <c r="F52" i="12811"/>
  <c r="F22" i="12811"/>
  <c r="C131" i="12843"/>
  <c r="F125" i="12843"/>
  <c r="F124" i="12843"/>
  <c r="U131" i="12843"/>
  <c r="Q131" i="12843"/>
  <c r="O131" i="12843"/>
  <c r="M131" i="12843"/>
  <c r="U130" i="12843"/>
  <c r="Q130" i="12843"/>
  <c r="M130" i="12843"/>
  <c r="S129" i="12843"/>
  <c r="O129" i="12843"/>
  <c r="D129" i="12843"/>
  <c r="Q128" i="12843"/>
  <c r="M128" i="12843"/>
  <c r="D128" i="12843"/>
  <c r="S127" i="12843"/>
  <c r="Q127" i="12843"/>
  <c r="O127" i="12843"/>
  <c r="M127" i="12843"/>
  <c r="D127" i="12843"/>
  <c r="S126" i="12843"/>
  <c r="Q126" i="12843"/>
  <c r="O126" i="12843"/>
  <c r="M126" i="12843"/>
  <c r="K126" i="12843"/>
  <c r="D126" i="12843"/>
  <c r="F126" i="12843"/>
  <c r="S125" i="12843"/>
  <c r="O125" i="12843"/>
  <c r="K125" i="12843"/>
  <c r="D125" i="12843"/>
  <c r="S124" i="12843"/>
  <c r="O124" i="12843"/>
  <c r="K124" i="12843"/>
  <c r="D124" i="12843"/>
  <c r="F16" i="12811"/>
  <c r="F15" i="12811"/>
  <c r="C94" i="12843"/>
  <c r="C93" i="12843"/>
  <c r="C92" i="12843"/>
  <c r="F17" i="12811" l="1"/>
  <c r="F126" i="12811"/>
  <c r="H38" i="12783"/>
  <c r="C132" i="12843"/>
  <c r="F132" i="12843"/>
  <c r="U11" i="12764" s="1"/>
  <c r="C130" i="12843"/>
  <c r="F14" i="12811"/>
  <c r="K114" i="12822" l="1"/>
  <c r="K97" i="12822"/>
  <c r="Y65" i="12822"/>
  <c r="L47" i="12822" l="1"/>
  <c r="L11" i="12822"/>
  <c r="B116" i="12822"/>
  <c r="B124" i="12822"/>
  <c r="B118" i="12822"/>
  <c r="B119" i="12822"/>
  <c r="B120" i="12822"/>
  <c r="B122" i="12822"/>
  <c r="B117" i="12822"/>
  <c r="B125" i="12822"/>
  <c r="B126" i="12822"/>
  <c r="B115" i="12822"/>
  <c r="B121" i="12822"/>
  <c r="B123" i="12822"/>
  <c r="L29" i="12822"/>
  <c r="L99" i="12822"/>
  <c r="F13" i="12811"/>
  <c r="C89" i="12843"/>
  <c r="L116" i="12822"/>
  <c r="L65" i="12822"/>
  <c r="W14" i="12764" l="1"/>
  <c r="N14" i="12764"/>
  <c r="N28" i="12764"/>
  <c r="N20" i="12764" s="1"/>
  <c r="E83" i="12763"/>
  <c r="I83" i="12763"/>
  <c r="C14" i="12763"/>
  <c r="C13" i="12763"/>
  <c r="G22" i="12843"/>
  <c r="N13" i="12764" l="1"/>
  <c r="N34" i="12764"/>
  <c r="N36" i="12764" l="1"/>
  <c r="N22" i="12764"/>
  <c r="D1252" i="12843"/>
  <c r="D1234" i="12843"/>
  <c r="D1233" i="12843"/>
  <c r="D1223" i="12843"/>
  <c r="D1178" i="12843"/>
  <c r="F1151" i="12843" l="1"/>
  <c r="I1150" i="12843"/>
  <c r="F1148" i="12843"/>
  <c r="F1147" i="12843"/>
  <c r="I1146" i="12843"/>
  <c r="F1146" i="12843"/>
  <c r="U1143" i="12843"/>
  <c r="S1143" i="12843"/>
  <c r="Q1143" i="12843"/>
  <c r="O1143" i="12843"/>
  <c r="M1143" i="12843"/>
  <c r="K1143" i="12843"/>
  <c r="I1143" i="12843"/>
  <c r="F1143" i="12843"/>
  <c r="F1142" i="12843"/>
  <c r="D909" i="12843"/>
  <c r="D908" i="12843"/>
  <c r="D907" i="12843"/>
  <c r="D905" i="12843"/>
  <c r="D904" i="12843"/>
  <c r="D901" i="12843"/>
  <c r="D902" i="12843"/>
  <c r="D900" i="12843"/>
  <c r="D898" i="12843"/>
  <c r="D897" i="12843"/>
  <c r="D1117" i="12843"/>
  <c r="D1060" i="12843"/>
  <c r="D1059" i="12843"/>
  <c r="D1056" i="12843"/>
  <c r="D1057" i="12843"/>
  <c r="D1055" i="12843"/>
  <c r="D1053" i="12843"/>
  <c r="D1052" i="12843"/>
  <c r="D1042" i="12843"/>
  <c r="D1041" i="12843"/>
  <c r="D1037" i="12843"/>
  <c r="D1038" i="12843"/>
  <c r="D1039" i="12843"/>
  <c r="D1035" i="12843"/>
  <c r="D1034" i="12843"/>
  <c r="D1023" i="12843"/>
  <c r="D1002" i="12843"/>
  <c r="D1001" i="12843"/>
  <c r="D998" i="12843"/>
  <c r="D999" i="12843"/>
  <c r="D997" i="12843"/>
  <c r="D995" i="12843"/>
  <c r="D994" i="12843"/>
  <c r="D984" i="12843"/>
  <c r="D983" i="12843"/>
  <c r="D980" i="12843"/>
  <c r="D981" i="12843"/>
  <c r="D979" i="12843"/>
  <c r="D977" i="12843"/>
  <c r="D976" i="12843"/>
  <c r="D966" i="12843"/>
  <c r="F1150" i="12843" l="1"/>
  <c r="I1147" i="12843"/>
  <c r="I1148" i="12843"/>
  <c r="I1149" i="12843"/>
  <c r="I1151" i="12843"/>
  <c r="F1149" i="12843"/>
  <c r="I1142" i="12843"/>
  <c r="N35" i="12764" l="1"/>
  <c r="N21" i="12764"/>
  <c r="B10" i="12822"/>
  <c r="B11" i="12822"/>
  <c r="B12" i="12822"/>
  <c r="B13" i="12822"/>
  <c r="B14" i="12822"/>
  <c r="B15" i="12822"/>
  <c r="B16" i="12822"/>
  <c r="B17" i="12822"/>
  <c r="B18" i="12822"/>
  <c r="B19" i="12822"/>
  <c r="B20" i="12822"/>
  <c r="B21" i="12822"/>
  <c r="D883" i="12843" l="1"/>
  <c r="D882" i="12843"/>
  <c r="D880" i="12843"/>
  <c r="D879" i="12843"/>
  <c r="D876" i="12843"/>
  <c r="D871" i="12843"/>
  <c r="D873" i="12843"/>
  <c r="D854" i="12843"/>
  <c r="D874" i="12843" s="1"/>
  <c r="D855" i="12843"/>
  <c r="D875" i="12843" s="1"/>
  <c r="D856" i="12843"/>
  <c r="D857" i="12843"/>
  <c r="D877" i="12843" s="1"/>
  <c r="D853" i="12843"/>
  <c r="D866" i="12843"/>
  <c r="D863" i="12843"/>
  <c r="D862" i="12843"/>
  <c r="D860" i="12843"/>
  <c r="D859" i="12843"/>
  <c r="D851" i="12843"/>
  <c r="D843" i="12843"/>
  <c r="D844" i="12843"/>
  <c r="D868" i="12843" s="1"/>
  <c r="D845" i="12843"/>
  <c r="D869" i="12843" s="1"/>
  <c r="D846" i="12843"/>
  <c r="D870" i="12843" s="1"/>
  <c r="D842" i="12843"/>
  <c r="D831" i="12843"/>
  <c r="D830" i="12843"/>
  <c r="D828" i="12843"/>
  <c r="D827" i="12843"/>
  <c r="D825" i="12843"/>
  <c r="D821" i="12843"/>
  <c r="D819" i="12843"/>
  <c r="D816" i="12843"/>
  <c r="D812" i="12843"/>
  <c r="D811" i="12843"/>
  <c r="D809" i="12843"/>
  <c r="D808" i="12843"/>
  <c r="D803" i="12843"/>
  <c r="D822" i="12843" s="1"/>
  <c r="D804" i="12843"/>
  <c r="D823" i="12843" s="1"/>
  <c r="D805" i="12843"/>
  <c r="D824" i="12843" s="1"/>
  <c r="D806" i="12843"/>
  <c r="D802" i="12843"/>
  <c r="D800" i="12843"/>
  <c r="D794" i="12843"/>
  <c r="D817" i="12843" s="1"/>
  <c r="D795" i="12843"/>
  <c r="D818" i="12843" s="1"/>
  <c r="D793" i="12843"/>
  <c r="D791" i="12843"/>
  <c r="D779" i="12843"/>
  <c r="D778" i="12843"/>
  <c r="D776" i="12843"/>
  <c r="D775" i="12843"/>
  <c r="D773" i="12843"/>
  <c r="D772" i="12843"/>
  <c r="D771" i="12843"/>
  <c r="D770" i="12843"/>
  <c r="D769" i="12843"/>
  <c r="D767" i="12843"/>
  <c r="D766" i="12843"/>
  <c r="D765" i="12843"/>
  <c r="D764" i="12843"/>
  <c r="D762" i="12843"/>
  <c r="D760" i="12843"/>
  <c r="D755" i="12843"/>
  <c r="D754" i="12843"/>
  <c r="D752" i="12843"/>
  <c r="D751" i="12843"/>
  <c r="D724" i="12843" l="1"/>
  <c r="D723" i="12843"/>
  <c r="D722" i="12843"/>
  <c r="D721" i="12843"/>
  <c r="D720" i="12843"/>
  <c r="D719" i="12843"/>
  <c r="D718" i="12843"/>
  <c r="D716" i="12843"/>
  <c r="D715" i="12843"/>
  <c r="D711" i="12843"/>
  <c r="D710" i="12843"/>
  <c r="D709" i="12843"/>
  <c r="D707" i="12843"/>
  <c r="D706" i="12843"/>
  <c r="D704" i="12843"/>
  <c r="D703" i="12843"/>
  <c r="D700" i="12843"/>
  <c r="D701" i="12843"/>
  <c r="D717" i="12843" s="1"/>
  <c r="D699" i="12843"/>
  <c r="D686" i="12843"/>
  <c r="D685" i="12843"/>
  <c r="D684" i="12843"/>
  <c r="D683" i="12843"/>
  <c r="D682" i="12843"/>
  <c r="D681" i="12843"/>
  <c r="D680" i="12843"/>
  <c r="D677" i="12843"/>
  <c r="D673" i="12843"/>
  <c r="D672" i="12843"/>
  <c r="D671" i="12843"/>
  <c r="D669" i="12843"/>
  <c r="D668" i="12843"/>
  <c r="D666" i="12843"/>
  <c r="D665" i="12843"/>
  <c r="D662" i="12843"/>
  <c r="D678" i="12843" s="1"/>
  <c r="D663" i="12843"/>
  <c r="D679" i="12843" s="1"/>
  <c r="D661" i="12843"/>
  <c r="D608" i="12843"/>
  <c r="D607" i="12843"/>
  <c r="D606" i="12843"/>
  <c r="D603" i="12843"/>
  <c r="D602" i="12843"/>
  <c r="D601" i="12843"/>
  <c r="D600" i="12843"/>
  <c r="D599" i="12843"/>
  <c r="D598" i="12843"/>
  <c r="D597" i="12843"/>
  <c r="D594" i="12843"/>
  <c r="D589" i="12843"/>
  <c r="D588" i="12843"/>
  <c r="D587" i="12843"/>
  <c r="D585" i="12843"/>
  <c r="D583" i="12843"/>
  <c r="D582" i="12843"/>
  <c r="D579" i="12843"/>
  <c r="D595" i="12843" s="1"/>
  <c r="D580" i="12843"/>
  <c r="D596" i="12843" s="1"/>
  <c r="D578" i="12843"/>
  <c r="D646" i="12843"/>
  <c r="D645" i="12843"/>
  <c r="D644" i="12843"/>
  <c r="D643" i="12843"/>
  <c r="D642" i="12843"/>
  <c r="D641" i="12843"/>
  <c r="D640" i="12843"/>
  <c r="D638" i="12843"/>
  <c r="D639" i="12843"/>
  <c r="D637" i="12843"/>
  <c r="D635" i="12843"/>
  <c r="D634" i="12843"/>
  <c r="D627" i="12843"/>
  <c r="D564" i="12843"/>
  <c r="D561" i="12843"/>
  <c r="D560" i="12843"/>
  <c r="D557" i="12843"/>
  <c r="D552" i="12843"/>
  <c r="D550" i="12843"/>
  <c r="D562" i="12843" s="1"/>
  <c r="D551" i="12843"/>
  <c r="D563" i="12843" s="1"/>
  <c r="D549" i="12843"/>
  <c r="D548" i="12843"/>
  <c r="D544" i="12843"/>
  <c r="D558" i="12843" s="1"/>
  <c r="D545" i="12843"/>
  <c r="D559" i="12843" s="1"/>
  <c r="D543" i="12843"/>
  <c r="D529" i="12843"/>
  <c r="D527" i="12843"/>
  <c r="D528" i="12843"/>
  <c r="D526" i="12843"/>
  <c r="D525" i="12843"/>
  <c r="D523" i="12843"/>
  <c r="D524" i="12843"/>
  <c r="D522" i="12843"/>
  <c r="D510" i="12843"/>
  <c r="D509" i="12843"/>
  <c r="D508" i="12843"/>
  <c r="D494" i="12843"/>
  <c r="D493" i="12843"/>
  <c r="D492" i="12843"/>
  <c r="D491" i="12843"/>
  <c r="D490" i="12843"/>
  <c r="D489" i="12843"/>
  <c r="D488" i="12843"/>
  <c r="D487" i="12843"/>
  <c r="D517" i="12843"/>
  <c r="D516" i="12843"/>
  <c r="D515" i="12843"/>
  <c r="D514" i="12843"/>
  <c r="D513" i="12843"/>
  <c r="D482" i="12843"/>
  <c r="D481" i="12843"/>
  <c r="D480" i="12843"/>
  <c r="D479" i="12843"/>
  <c r="D478" i="12843"/>
  <c r="D475" i="12843"/>
  <c r="D474" i="12843"/>
  <c r="D473" i="12843"/>
  <c r="Y15" i="12833"/>
  <c r="C57" i="12763" l="1"/>
  <c r="E57" i="12763"/>
  <c r="N57" i="12764"/>
  <c r="N56" i="12764" l="1"/>
  <c r="N55" i="12764"/>
  <c r="N54" i="12764"/>
  <c r="N53" i="12764" l="1"/>
  <c r="U29" i="12764" l="1"/>
  <c r="N27" i="12764" l="1"/>
  <c r="U15" i="12764"/>
  <c r="W15" i="12764" s="1"/>
  <c r="N37" i="12764"/>
  <c r="N29" i="12764"/>
  <c r="N42" i="12764"/>
  <c r="N26" i="12764"/>
  <c r="N12" i="12764"/>
  <c r="N15" i="12764"/>
  <c r="S15" i="12764" s="1"/>
  <c r="N24" i="12764" l="1"/>
  <c r="S24" i="12764" s="1"/>
  <c r="S29" i="12764"/>
  <c r="N38" i="12764" l="1"/>
  <c r="N40" i="12764" l="1"/>
  <c r="N25" i="12764"/>
  <c r="N47" i="12764" l="1"/>
  <c r="N48" i="12764"/>
  <c r="G13" i="12763"/>
  <c r="D458" i="12843"/>
  <c r="D457" i="12843"/>
  <c r="D456" i="12843"/>
  <c r="D455" i="12843"/>
  <c r="D454" i="12843"/>
  <c r="D453" i="12843"/>
  <c r="D452" i="12843"/>
  <c r="D451" i="12843"/>
  <c r="D450" i="12843"/>
  <c r="D446" i="12843"/>
  <c r="D445" i="12843"/>
  <c r="D444" i="12843"/>
  <c r="D443" i="12843"/>
  <c r="D442" i="12843"/>
  <c r="D439" i="12843"/>
  <c r="D438" i="12843"/>
  <c r="D437" i="12843"/>
  <c r="D423" i="12843"/>
  <c r="D422" i="12843"/>
  <c r="D421" i="12843"/>
  <c r="D420" i="12843"/>
  <c r="D419" i="12843"/>
  <c r="D418" i="12843"/>
  <c r="D417" i="12843"/>
  <c r="D416" i="12843"/>
  <c r="D415" i="12843"/>
  <c r="D411" i="12843"/>
  <c r="D410" i="12843"/>
  <c r="D409" i="12843"/>
  <c r="D408" i="12843"/>
  <c r="D407" i="12843"/>
  <c r="D404" i="12843"/>
  <c r="D403" i="12843"/>
  <c r="D402" i="12843"/>
  <c r="D388" i="12843"/>
  <c r="D387" i="12843"/>
  <c r="D386" i="12843"/>
  <c r="D385" i="12843"/>
  <c r="D384" i="12843"/>
  <c r="D383" i="12843"/>
  <c r="D382" i="12843"/>
  <c r="D381" i="12843"/>
  <c r="D380" i="12843"/>
  <c r="D376" i="12843"/>
  <c r="D375" i="12843"/>
  <c r="D374" i="12843"/>
  <c r="D373" i="12843"/>
  <c r="D372" i="12843"/>
  <c r="D369" i="12843"/>
  <c r="D368" i="12843"/>
  <c r="D367" i="12843"/>
  <c r="D556" i="12843"/>
  <c r="D521" i="12843"/>
  <c r="D486" i="12843"/>
  <c r="D345" i="12843"/>
  <c r="D311" i="12843"/>
  <c r="D276" i="12843"/>
  <c r="D242" i="12843"/>
  <c r="D353" i="12843"/>
  <c r="D352" i="12843"/>
  <c r="D351" i="12843"/>
  <c r="D350" i="12843"/>
  <c r="D349" i="12843"/>
  <c r="D348" i="12843"/>
  <c r="D347" i="12843"/>
  <c r="D346" i="12843"/>
  <c r="D341" i="12843"/>
  <c r="D340" i="12843"/>
  <c r="D339" i="12843"/>
  <c r="D338" i="12843"/>
  <c r="D337" i="12843"/>
  <c r="D335" i="12843"/>
  <c r="D334" i="12843"/>
  <c r="D333" i="12843"/>
  <c r="D319" i="12843"/>
  <c r="D318" i="12843"/>
  <c r="D317" i="12843"/>
  <c r="D316" i="12843"/>
  <c r="D315" i="12843"/>
  <c r="D314" i="12843"/>
  <c r="D313" i="12843"/>
  <c r="D312" i="12843"/>
  <c r="D307" i="12843"/>
  <c r="D306" i="12843"/>
  <c r="D305" i="12843"/>
  <c r="D304" i="12843"/>
  <c r="D303" i="12843"/>
  <c r="D301" i="12843"/>
  <c r="D300" i="12843"/>
  <c r="D299" i="12843"/>
  <c r="D284" i="12843"/>
  <c r="D283" i="12843"/>
  <c r="D282" i="12843"/>
  <c r="D281" i="12843"/>
  <c r="D280" i="12843"/>
  <c r="D279" i="12843"/>
  <c r="D278" i="12843"/>
  <c r="D277" i="12843"/>
  <c r="D272" i="12843"/>
  <c r="D271" i="12843"/>
  <c r="D270" i="12843"/>
  <c r="D269" i="12843"/>
  <c r="D268" i="12843"/>
  <c r="D266" i="12843"/>
  <c r="D265" i="12843"/>
  <c r="D264" i="12843"/>
  <c r="D250" i="12843"/>
  <c r="D249" i="12843"/>
  <c r="D248" i="12843"/>
  <c r="D247" i="12843"/>
  <c r="D246" i="12843"/>
  <c r="D245" i="12843"/>
  <c r="D244" i="12843"/>
  <c r="D243" i="12843"/>
  <c r="D238" i="12843"/>
  <c r="D237" i="12843"/>
  <c r="D236" i="12843"/>
  <c r="D235" i="12843"/>
  <c r="D234" i="12843"/>
  <c r="D232" i="12843"/>
  <c r="D231" i="12843"/>
  <c r="D230" i="12843"/>
  <c r="D174" i="12843"/>
  <c r="D173" i="12843"/>
  <c r="D172" i="12843"/>
  <c r="D171" i="12843"/>
  <c r="D170" i="12843"/>
  <c r="D169" i="12843"/>
  <c r="D159" i="12843"/>
  <c r="D158" i="12843"/>
  <c r="D157" i="12843"/>
  <c r="D156" i="12843"/>
  <c r="D155" i="12843"/>
  <c r="D154" i="12843"/>
  <c r="D144" i="12843"/>
  <c r="D143" i="12843"/>
  <c r="D142" i="12843"/>
  <c r="D141" i="12843"/>
  <c r="D140" i="12843"/>
  <c r="D139" i="12843"/>
  <c r="D113" i="12843"/>
  <c r="D112" i="12843"/>
  <c r="D111" i="12843"/>
  <c r="D110" i="12843"/>
  <c r="D109" i="12843"/>
  <c r="D108" i="12843"/>
  <c r="D98" i="12843"/>
  <c r="D97" i="12843"/>
  <c r="D79" i="12843"/>
  <c r="D78" i="12843"/>
  <c r="D77" i="12843"/>
  <c r="D76" i="12843"/>
  <c r="D74" i="12843"/>
  <c r="D73" i="12843"/>
  <c r="D72" i="12843"/>
  <c r="D61" i="12843"/>
  <c r="D60" i="12843"/>
  <c r="D59" i="12843"/>
  <c r="D58" i="12843"/>
  <c r="D56" i="12843"/>
  <c r="D55" i="12843"/>
  <c r="D54" i="12843"/>
  <c r="D43" i="12843"/>
  <c r="D42" i="12843"/>
  <c r="D41" i="12843"/>
  <c r="D40" i="12843"/>
  <c r="D38" i="12843"/>
  <c r="D37" i="12843"/>
  <c r="D36" i="12843"/>
  <c r="N7" i="12764" l="1"/>
  <c r="N8" i="12764"/>
  <c r="K13" i="12763"/>
  <c r="J13" i="12763"/>
  <c r="L13" i="12763" s="1"/>
  <c r="N11" i="12764" l="1"/>
  <c r="N10" i="12764" l="1"/>
  <c r="G75" i="12764"/>
  <c r="G100" i="12764"/>
  <c r="G70" i="12764"/>
  <c r="G69" i="12764"/>
  <c r="G114" i="12764"/>
  <c r="G104" i="12764"/>
  <c r="G106" i="12764"/>
  <c r="G101" i="12764"/>
  <c r="G97" i="12764"/>
  <c r="G112" i="12764"/>
  <c r="G66" i="12764"/>
  <c r="G99" i="12764"/>
  <c r="G65" i="12764"/>
  <c r="G73" i="12764"/>
  <c r="G76" i="12764"/>
  <c r="N9" i="12764" l="1"/>
  <c r="G77" i="12764"/>
  <c r="G102" i="12764"/>
  <c r="G71" i="12764"/>
  <c r="G67" i="12764"/>
  <c r="N88" i="12763"/>
  <c r="AA84" i="12764"/>
  <c r="C48" i="12763"/>
  <c r="C47" i="12763"/>
  <c r="G93" i="12764" s="1"/>
  <c r="C42" i="12763"/>
  <c r="C37" i="12763"/>
  <c r="C34" i="12763"/>
  <c r="C38" i="12763"/>
  <c r="C36" i="12763"/>
  <c r="C35" i="12763"/>
  <c r="C26" i="12763"/>
  <c r="C25" i="12763"/>
  <c r="C24" i="12763"/>
  <c r="C28" i="12763"/>
  <c r="C83" i="12763" s="1"/>
  <c r="C21" i="12763"/>
  <c r="C20" i="12763"/>
  <c r="C34" i="12764"/>
  <c r="C42" i="12764"/>
  <c r="C37" i="12764"/>
  <c r="C38" i="12764"/>
  <c r="C36" i="12764"/>
  <c r="C35" i="12764"/>
  <c r="C26" i="12764"/>
  <c r="G49" i="12812"/>
  <c r="C21" i="12764"/>
  <c r="C28" i="12764"/>
  <c r="G53" i="12812"/>
  <c r="G52" i="12812"/>
  <c r="G43" i="12812"/>
  <c r="G42" i="12812"/>
  <c r="G41" i="12812"/>
  <c r="C20" i="12764"/>
  <c r="C25" i="12764"/>
  <c r="C29" i="12764"/>
  <c r="C27" i="12764"/>
  <c r="C22" i="12764"/>
  <c r="C47" i="12764"/>
  <c r="C48" i="12764"/>
  <c r="G105" i="12812"/>
  <c r="G104" i="12812"/>
  <c r="G18" i="12812"/>
  <c r="G17" i="12812"/>
  <c r="G16" i="12812"/>
  <c r="G15" i="12812"/>
  <c r="G14" i="12812"/>
  <c r="G13" i="12812"/>
  <c r="C14" i="12764"/>
  <c r="AA89" i="12764"/>
  <c r="C15" i="12763"/>
  <c r="G15" i="12763" s="1"/>
  <c r="C15" i="12764"/>
  <c r="C84" i="12764" l="1"/>
  <c r="K15" i="12763"/>
  <c r="J15" i="12763"/>
  <c r="L15" i="12763" s="1"/>
  <c r="I166" i="12813"/>
  <c r="L49" i="12813"/>
  <c r="L80" i="12813"/>
  <c r="L108" i="12813"/>
  <c r="L122" i="12813"/>
  <c r="L157" i="12813"/>
  <c r="D131" i="12811"/>
  <c r="D130" i="12811"/>
  <c r="D129" i="12811"/>
  <c r="D128" i="12811"/>
  <c r="D127" i="12811"/>
  <c r="D126" i="12811"/>
  <c r="D105" i="12811"/>
  <c r="D104" i="12811"/>
  <c r="D85" i="12811"/>
  <c r="D81" i="12811"/>
  <c r="D80" i="12811"/>
  <c r="D77" i="12811"/>
  <c r="D74" i="12811"/>
  <c r="D73" i="12811"/>
  <c r="D72" i="12811"/>
  <c r="D53" i="12811"/>
  <c r="D52" i="12811"/>
  <c r="D49" i="12811"/>
  <c r="D43" i="12811"/>
  <c r="D42" i="12811"/>
  <c r="D41" i="12811"/>
  <c r="D22" i="12811"/>
  <c r="D18" i="12811"/>
  <c r="D17" i="12811"/>
  <c r="E17" i="12811" s="1"/>
  <c r="D16" i="12811"/>
  <c r="D15" i="12811"/>
  <c r="D14" i="12811"/>
  <c r="D13" i="12811"/>
  <c r="E13" i="12811" s="1"/>
  <c r="L167" i="12813"/>
  <c r="M167" i="12813"/>
  <c r="L166" i="12813"/>
  <c r="M166" i="12813" s="1"/>
  <c r="L163" i="12813"/>
  <c r="L156" i="12813"/>
  <c r="L155" i="12813"/>
  <c r="L154" i="12813"/>
  <c r="L153" i="12813"/>
  <c r="L152" i="12813"/>
  <c r="L151" i="12813"/>
  <c r="L150" i="12813"/>
  <c r="L149" i="12813"/>
  <c r="L148" i="12813"/>
  <c r="L147" i="12813"/>
  <c r="L146" i="12813"/>
  <c r="L145" i="12813"/>
  <c r="L144" i="12813"/>
  <c r="L143" i="12813"/>
  <c r="L142" i="12813"/>
  <c r="L141" i="12813"/>
  <c r="L140" i="12813"/>
  <c r="L139" i="12813"/>
  <c r="L138" i="12813"/>
  <c r="L137" i="12813"/>
  <c r="L136" i="12813"/>
  <c r="L135" i="12813"/>
  <c r="L134" i="12813"/>
  <c r="L133" i="12813"/>
  <c r="L132" i="12813"/>
  <c r="L131" i="12813"/>
  <c r="L130" i="12813"/>
  <c r="L129" i="12813"/>
  <c r="L128" i="12813"/>
  <c r="L127" i="12813"/>
  <c r="L126" i="12813"/>
  <c r="L125" i="12813"/>
  <c r="L121" i="12813"/>
  <c r="L120" i="12813"/>
  <c r="L119" i="12813"/>
  <c r="L118" i="12813"/>
  <c r="L117" i="12813"/>
  <c r="L116" i="12813"/>
  <c r="L115" i="12813"/>
  <c r="L114" i="12813"/>
  <c r="L113" i="12813"/>
  <c r="L112" i="12813"/>
  <c r="L111" i="12813"/>
  <c r="L107" i="12813"/>
  <c r="L106" i="12813"/>
  <c r="L105" i="12813"/>
  <c r="L104" i="12813"/>
  <c r="L103" i="12813"/>
  <c r="L102" i="12813"/>
  <c r="L101" i="12813"/>
  <c r="L100" i="12813"/>
  <c r="L99" i="12813"/>
  <c r="L98" i="12813"/>
  <c r="L97" i="12813"/>
  <c r="L96" i="12813"/>
  <c r="L95" i="12813"/>
  <c r="L94" i="12813"/>
  <c r="L93" i="12813"/>
  <c r="L92" i="12813"/>
  <c r="L91" i="12813"/>
  <c r="L90" i="12813"/>
  <c r="L89" i="12813"/>
  <c r="L88" i="12813"/>
  <c r="L87" i="12813"/>
  <c r="L86" i="12813"/>
  <c r="L85" i="12813"/>
  <c r="L84" i="12813"/>
  <c r="L83" i="12813"/>
  <c r="M80" i="12813"/>
  <c r="M163" i="12813" s="1"/>
  <c r="L79" i="12813"/>
  <c r="L78" i="12813"/>
  <c r="L77" i="12813"/>
  <c r="L76" i="12813"/>
  <c r="L75" i="12813"/>
  <c r="L74" i="12813"/>
  <c r="L73" i="12813"/>
  <c r="L72" i="12813"/>
  <c r="L71" i="12813"/>
  <c r="L70" i="12813"/>
  <c r="L69" i="12813"/>
  <c r="L68" i="12813"/>
  <c r="L67" i="12813"/>
  <c r="L66" i="12813"/>
  <c r="L65" i="12813"/>
  <c r="L64" i="12813"/>
  <c r="L63" i="12813"/>
  <c r="L62" i="12813"/>
  <c r="L61" i="12813"/>
  <c r="L60" i="12813"/>
  <c r="L59" i="12813"/>
  <c r="L58" i="12813"/>
  <c r="L57" i="12813"/>
  <c r="L56" i="12813"/>
  <c r="L55" i="12813"/>
  <c r="L54" i="12813"/>
  <c r="L53" i="12813"/>
  <c r="M49" i="12813"/>
  <c r="L8" i="12813"/>
  <c r="L9" i="12813"/>
  <c r="L10" i="12813"/>
  <c r="L11" i="12813"/>
  <c r="L12" i="12813"/>
  <c r="L13" i="12813"/>
  <c r="L14" i="12813"/>
  <c r="L15" i="12813"/>
  <c r="L16" i="12813"/>
  <c r="L17" i="12813"/>
  <c r="L18" i="12813"/>
  <c r="L19" i="12813"/>
  <c r="L20" i="12813"/>
  <c r="L21" i="12813"/>
  <c r="L22" i="12813"/>
  <c r="L23" i="12813"/>
  <c r="L24" i="12813"/>
  <c r="L25" i="12813"/>
  <c r="L26" i="12813"/>
  <c r="L27" i="12813"/>
  <c r="L28" i="12813"/>
  <c r="L29" i="12813"/>
  <c r="L30" i="12813"/>
  <c r="L31" i="12813"/>
  <c r="L32" i="12813"/>
  <c r="L33" i="12813"/>
  <c r="L34" i="12813"/>
  <c r="L35" i="12813"/>
  <c r="L36" i="12813"/>
  <c r="L37" i="12813"/>
  <c r="L38" i="12813"/>
  <c r="L39" i="12813"/>
  <c r="L40" i="12813"/>
  <c r="L41" i="12813"/>
  <c r="L42" i="12813"/>
  <c r="L43" i="12813"/>
  <c r="L44" i="12813"/>
  <c r="L45" i="12813"/>
  <c r="L46" i="12813"/>
  <c r="L47" i="12813"/>
  <c r="L48" i="12813"/>
  <c r="L7" i="12813"/>
  <c r="G49" i="12764" l="1"/>
  <c r="G94" i="12764"/>
  <c r="G95" i="12764" s="1"/>
  <c r="G43" i="12764"/>
  <c r="L168" i="12813"/>
  <c r="O118" i="12811" l="1"/>
  <c r="K118" i="12811"/>
  <c r="G118" i="12811"/>
  <c r="L118" i="12811" s="1"/>
  <c r="K116" i="12811"/>
  <c r="G116" i="12811"/>
  <c r="K93" i="12811"/>
  <c r="G93" i="12811"/>
  <c r="L93" i="12811" s="1"/>
  <c r="K96" i="12811"/>
  <c r="G96" i="12811"/>
  <c r="K65" i="12811"/>
  <c r="G65" i="12811"/>
  <c r="L65" i="12811" s="1"/>
  <c r="K163" i="12813"/>
  <c r="J163" i="12813"/>
  <c r="J166" i="12813" s="1"/>
  <c r="K166" i="12813" s="1"/>
  <c r="K80" i="12813"/>
  <c r="K49" i="12813"/>
  <c r="G105" i="12811"/>
  <c r="G104" i="12811"/>
  <c r="G67" i="12811"/>
  <c r="G53" i="12811"/>
  <c r="G52" i="12811"/>
  <c r="G49" i="12811"/>
  <c r="G43" i="12811"/>
  <c r="G42" i="12811"/>
  <c r="G41" i="12811"/>
  <c r="G36" i="12811"/>
  <c r="G22" i="12811"/>
  <c r="G18" i="12811"/>
  <c r="G17" i="12811"/>
  <c r="G16" i="12811"/>
  <c r="G15" i="12811"/>
  <c r="G14" i="12811"/>
  <c r="G13" i="12811"/>
  <c r="M19" i="12811"/>
  <c r="J19" i="12811"/>
  <c r="D116" i="12812"/>
  <c r="F116" i="12812" s="1"/>
  <c r="D117" i="12812"/>
  <c r="F117" i="12812" s="1"/>
  <c r="I116" i="12812"/>
  <c r="N116" i="12811" s="1"/>
  <c r="D120" i="12812"/>
  <c r="D118" i="12812"/>
  <c r="M118" i="12811" s="1"/>
  <c r="D115" i="12812"/>
  <c r="D114" i="12812"/>
  <c r="D113" i="12812"/>
  <c r="D112" i="12812"/>
  <c r="D111" i="12812"/>
  <c r="D110" i="12812"/>
  <c r="D108" i="12812"/>
  <c r="D105" i="12812"/>
  <c r="D104" i="12812"/>
  <c r="D93" i="12812"/>
  <c r="M93" i="12811" s="1"/>
  <c r="D96" i="12812"/>
  <c r="M96" i="12811" s="1"/>
  <c r="D65" i="12812"/>
  <c r="M65" i="12811" s="1"/>
  <c r="D64" i="12812"/>
  <c r="D67" i="12812"/>
  <c r="D63" i="12812"/>
  <c r="D62" i="12812"/>
  <c r="D61" i="12812"/>
  <c r="D60" i="12812"/>
  <c r="D59" i="12812"/>
  <c r="D58" i="12812"/>
  <c r="D56" i="12812"/>
  <c r="D53" i="12812"/>
  <c r="D52" i="12812"/>
  <c r="D49" i="12812"/>
  <c r="D43" i="12812"/>
  <c r="D42" i="12812"/>
  <c r="D41" i="12812"/>
  <c r="D95" i="12812"/>
  <c r="K19" i="12812"/>
  <c r="H19" i="12812"/>
  <c r="D30" i="12812"/>
  <c r="D29" i="12812"/>
  <c r="D36" i="12812"/>
  <c r="E36" i="12812" s="1"/>
  <c r="D34" i="12812"/>
  <c r="D33" i="12812"/>
  <c r="D32" i="12812"/>
  <c r="D31" i="12812"/>
  <c r="D28" i="12812"/>
  <c r="D27" i="12812"/>
  <c r="D25" i="12812"/>
  <c r="D22" i="12812"/>
  <c r="D18" i="12812"/>
  <c r="D17" i="12812"/>
  <c r="D16" i="12812"/>
  <c r="D15" i="12812"/>
  <c r="D14" i="12812"/>
  <c r="D13" i="12812"/>
  <c r="J167" i="12813"/>
  <c r="H166" i="12813"/>
  <c r="H167" i="12813"/>
  <c r="J157" i="12813"/>
  <c r="H157" i="12813"/>
  <c r="E135" i="12813"/>
  <c r="E136" i="12813"/>
  <c r="E137" i="12813"/>
  <c r="E138" i="12813"/>
  <c r="E139" i="12813"/>
  <c r="E140" i="12813"/>
  <c r="E141" i="12813"/>
  <c r="E142" i="12813"/>
  <c r="E143" i="12813"/>
  <c r="E144" i="12813"/>
  <c r="E145" i="12813"/>
  <c r="E146" i="12813"/>
  <c r="E147" i="12813"/>
  <c r="E148" i="12813"/>
  <c r="E149" i="12813"/>
  <c r="E150" i="12813"/>
  <c r="E151" i="12813"/>
  <c r="E152" i="12813"/>
  <c r="E153" i="12813"/>
  <c r="E154" i="12813"/>
  <c r="E155" i="12813"/>
  <c r="E156" i="12813"/>
  <c r="E125" i="12813"/>
  <c r="E126" i="12813"/>
  <c r="E113" i="12813"/>
  <c r="E114" i="12813"/>
  <c r="E115" i="12813"/>
  <c r="E116" i="12813"/>
  <c r="E117" i="12813"/>
  <c r="E118" i="12813"/>
  <c r="E119" i="12813"/>
  <c r="E120" i="12813"/>
  <c r="E121" i="12813"/>
  <c r="E111" i="12813"/>
  <c r="I80" i="12813"/>
  <c r="J49" i="12813"/>
  <c r="H49" i="12813"/>
  <c r="I108" i="12813"/>
  <c r="J108" i="12813"/>
  <c r="H108" i="12813"/>
  <c r="E98" i="12813"/>
  <c r="E99" i="12813"/>
  <c r="E100" i="12813"/>
  <c r="E101" i="12813"/>
  <c r="E102" i="12813"/>
  <c r="E103" i="12813"/>
  <c r="E104" i="12813"/>
  <c r="E105" i="12813"/>
  <c r="E83" i="12813"/>
  <c r="E84" i="12813"/>
  <c r="J80" i="12813"/>
  <c r="H80" i="12813"/>
  <c r="E67" i="12813"/>
  <c r="E68" i="12813"/>
  <c r="E69" i="12813"/>
  <c r="E70" i="12813"/>
  <c r="E71" i="12813"/>
  <c r="E72" i="12813"/>
  <c r="E73" i="12813"/>
  <c r="E74" i="12813"/>
  <c r="E75" i="12813"/>
  <c r="E76" i="12813"/>
  <c r="E77" i="12813"/>
  <c r="E78" i="12813"/>
  <c r="E79" i="12813"/>
  <c r="E53" i="12813"/>
  <c r="E54" i="12813"/>
  <c r="I49" i="12813"/>
  <c r="E9" i="12813"/>
  <c r="E48" i="12813"/>
  <c r="E47" i="12813"/>
  <c r="E46" i="12813"/>
  <c r="E45" i="12813"/>
  <c r="E44" i="12813"/>
  <c r="E43" i="12813"/>
  <c r="E42" i="12813"/>
  <c r="E41" i="12813"/>
  <c r="E40" i="12813"/>
  <c r="E39" i="12813"/>
  <c r="E38" i="12813"/>
  <c r="E37" i="12813"/>
  <c r="E36" i="12813"/>
  <c r="E35" i="12813"/>
  <c r="E34" i="12813"/>
  <c r="E33" i="12813"/>
  <c r="E32" i="12813"/>
  <c r="E31" i="12813"/>
  <c r="E30" i="12813"/>
  <c r="E29" i="12813"/>
  <c r="E28" i="12813"/>
  <c r="E27" i="12813"/>
  <c r="E26" i="12813"/>
  <c r="E25" i="12813"/>
  <c r="E24" i="12813"/>
  <c r="E23" i="12813"/>
  <c r="E22" i="12813"/>
  <c r="E21" i="12813"/>
  <c r="E20" i="12813"/>
  <c r="E19" i="12813"/>
  <c r="E18" i="12813"/>
  <c r="E17" i="12813"/>
  <c r="E16" i="12813"/>
  <c r="E15" i="12813"/>
  <c r="E14" i="12813"/>
  <c r="E13" i="12813"/>
  <c r="E12" i="12813"/>
  <c r="E11" i="12813"/>
  <c r="E10" i="12813"/>
  <c r="E8" i="12813"/>
  <c r="E7" i="12813"/>
  <c r="L116" i="12811" l="1"/>
  <c r="L96" i="12811"/>
  <c r="M116" i="12811"/>
  <c r="M117" i="12811"/>
  <c r="G20" i="12811"/>
  <c r="D20" i="12811"/>
  <c r="I117" i="12812"/>
  <c r="N117" i="12811" s="1"/>
  <c r="J116" i="12812"/>
  <c r="D20" i="12812"/>
  <c r="F93" i="12812"/>
  <c r="F96" i="12812"/>
  <c r="F164" i="12812" s="1"/>
  <c r="F65" i="12812"/>
  <c r="I65" i="12812" s="1"/>
  <c r="E15" i="12812" l="1"/>
  <c r="E18" i="12812"/>
  <c r="E16" i="12812"/>
  <c r="E17" i="12812"/>
  <c r="F133" i="12843" s="1"/>
  <c r="E13" i="12812"/>
  <c r="E14" i="12812"/>
  <c r="I96" i="12812"/>
  <c r="N96" i="12811" s="1"/>
  <c r="I93" i="12812"/>
  <c r="J93" i="12812" s="1"/>
  <c r="L93" i="12812" s="1"/>
  <c r="M93" i="12812" s="1"/>
  <c r="J65" i="12812"/>
  <c r="L65" i="12812" s="1"/>
  <c r="M65" i="12812" s="1"/>
  <c r="N65" i="12811"/>
  <c r="J117" i="12812"/>
  <c r="L116" i="12812"/>
  <c r="M116" i="12812" s="1"/>
  <c r="N116" i="12812" s="1"/>
  <c r="J96" i="12812" l="1"/>
  <c r="L96" i="12812" s="1"/>
  <c r="M96" i="12812" s="1"/>
  <c r="N93" i="12811"/>
  <c r="P65" i="12812"/>
  <c r="Q65" i="12812" s="1"/>
  <c r="O65" i="12811"/>
  <c r="P65" i="12811" s="1"/>
  <c r="Q65" i="12811" s="1"/>
  <c r="F117" i="12843"/>
  <c r="E20" i="12812"/>
  <c r="I133" i="12843"/>
  <c r="F134" i="12843"/>
  <c r="P116" i="12812"/>
  <c r="Q116" i="12812" s="1"/>
  <c r="O116" i="12811"/>
  <c r="P116" i="12811" s="1"/>
  <c r="Q116" i="12811" s="1"/>
  <c r="N93" i="12812"/>
  <c r="O93" i="12811"/>
  <c r="L117" i="12812"/>
  <c r="M117" i="12812" s="1"/>
  <c r="P117" i="12812" s="1"/>
  <c r="Q117" i="12812" s="1"/>
  <c r="P93" i="12812"/>
  <c r="Q93" i="12812" s="1"/>
  <c r="N65" i="12812"/>
  <c r="P93" i="12811" l="1"/>
  <c r="Q93" i="12811" s="1"/>
  <c r="P96" i="12812"/>
  <c r="Q96" i="12812" s="1"/>
  <c r="O96" i="12811"/>
  <c r="P96" i="12811" s="1"/>
  <c r="Q96" i="12811" s="1"/>
  <c r="N117" i="12812"/>
  <c r="N96" i="12812"/>
  <c r="R25" i="12791" l="1"/>
  <c r="Q25" i="12773"/>
  <c r="Q25" i="12772"/>
  <c r="I605" i="12843" l="1"/>
  <c r="V40" i="12859" l="1"/>
  <c r="K48" i="12859"/>
  <c r="L48" i="12859"/>
  <c r="M48" i="12859"/>
  <c r="N48" i="12859"/>
  <c r="O48" i="12859"/>
  <c r="P48" i="12859"/>
  <c r="Q48" i="12859"/>
  <c r="R48" i="12859"/>
  <c r="S48" i="12859"/>
  <c r="T48" i="12859"/>
  <c r="U48" i="12859"/>
  <c r="J48" i="12859"/>
  <c r="K47" i="12859"/>
  <c r="L47" i="12859"/>
  <c r="M47" i="12859"/>
  <c r="N47" i="12859"/>
  <c r="O47" i="12859"/>
  <c r="P47" i="12859"/>
  <c r="Q47" i="12859"/>
  <c r="R47" i="12859"/>
  <c r="S47" i="12859"/>
  <c r="T47" i="12859"/>
  <c r="U47" i="12859"/>
  <c r="J47" i="12859"/>
  <c r="V41" i="12859"/>
  <c r="V42" i="12859"/>
  <c r="V43" i="12859"/>
  <c r="V45" i="12859"/>
  <c r="V48" i="12859" l="1"/>
  <c r="V47" i="12859"/>
  <c r="J44" i="12859" l="1"/>
  <c r="K44" i="12859" l="1"/>
  <c r="L44" i="12859"/>
  <c r="L46" i="12859" s="1"/>
  <c r="L49" i="12859" s="1"/>
  <c r="M44" i="12859"/>
  <c r="M46" i="12859" s="1"/>
  <c r="M49" i="12859" s="1"/>
  <c r="N44" i="12859"/>
  <c r="N46" i="12859" s="1"/>
  <c r="N49" i="12859" s="1"/>
  <c r="O44" i="12859"/>
  <c r="O46" i="12859" s="1"/>
  <c r="O49" i="12859" s="1"/>
  <c r="P44" i="12859"/>
  <c r="P46" i="12859" s="1"/>
  <c r="P49" i="12859" s="1"/>
  <c r="Q44" i="12859"/>
  <c r="Q46" i="12859" s="1"/>
  <c r="Q49" i="12859" s="1"/>
  <c r="R44" i="12859"/>
  <c r="R46" i="12859" s="1"/>
  <c r="R49" i="12859" s="1"/>
  <c r="S44" i="12859"/>
  <c r="S46" i="12859" s="1"/>
  <c r="S49" i="12859" s="1"/>
  <c r="T44" i="12859"/>
  <c r="T46" i="12859" s="1"/>
  <c r="T49" i="12859" s="1"/>
  <c r="U44" i="12859"/>
  <c r="U46" i="12859" s="1"/>
  <c r="U49" i="12859" s="1"/>
  <c r="J46" i="12859"/>
  <c r="J49" i="12859" s="1"/>
  <c r="I33" i="12859"/>
  <c r="I32" i="12859"/>
  <c r="I31" i="12859"/>
  <c r="F33" i="12859"/>
  <c r="F32" i="12859"/>
  <c r="F31" i="12859"/>
  <c r="F28" i="12859" l="1"/>
  <c r="K46" i="12859"/>
  <c r="V44" i="12859"/>
  <c r="I29" i="12859"/>
  <c r="I28" i="12859"/>
  <c r="F29" i="12859"/>
  <c r="V46" i="12859" l="1"/>
  <c r="K49" i="12859"/>
  <c r="V49" i="12859" s="1"/>
  <c r="I30" i="12859"/>
  <c r="I34" i="12859" s="1"/>
  <c r="C34" i="12859"/>
  <c r="F30" i="12859"/>
  <c r="F34" i="12859" s="1"/>
  <c r="H49" i="12837" l="1"/>
  <c r="H51" i="12837"/>
  <c r="H50" i="12837"/>
  <c r="H35" i="12837"/>
  <c r="H34" i="12837"/>
  <c r="H23" i="12837"/>
  <c r="H26" i="12837"/>
  <c r="H17" i="12837"/>
  <c r="H15" i="12837"/>
  <c r="H40" i="12837" l="1"/>
  <c r="H32" i="12837"/>
  <c r="H52" i="12837"/>
  <c r="H31" i="12837"/>
  <c r="J17" i="12837"/>
  <c r="N17" i="12837" s="1"/>
  <c r="T17" i="12837" s="1"/>
  <c r="H25" i="12837"/>
  <c r="H33" i="12837"/>
  <c r="J52" i="12837"/>
  <c r="H16" i="12837"/>
  <c r="J49" i="12837"/>
  <c r="H22" i="12837"/>
  <c r="J23" i="12837"/>
  <c r="J50" i="12837"/>
  <c r="J51" i="12837" l="1"/>
  <c r="J26" i="12837"/>
  <c r="J22" i="12837"/>
  <c r="J24" i="12837"/>
  <c r="J25" i="12837"/>
  <c r="H24" i="12837"/>
  <c r="J16" i="12837"/>
  <c r="J40" i="12837" l="1"/>
  <c r="J15" i="12837" l="1"/>
  <c r="J35" i="12837" l="1"/>
  <c r="J32" i="12837"/>
  <c r="J34" i="12837" l="1"/>
  <c r="J33" i="12837"/>
  <c r="J31" i="12837" l="1"/>
  <c r="L50" i="12837" l="1"/>
  <c r="L49" i="12837"/>
  <c r="L23" i="12837"/>
  <c r="L52" i="12837"/>
  <c r="L51" i="12837"/>
  <c r="L56" i="12837" l="1"/>
  <c r="L31" i="12837" l="1"/>
  <c r="L22" i="12837"/>
  <c r="L17" i="12837" l="1"/>
  <c r="L16" i="12837"/>
  <c r="L15" i="12837"/>
  <c r="L32" i="12837" l="1"/>
  <c r="P17" i="12837"/>
  <c r="V17" i="12837" s="1"/>
  <c r="R17" i="12837"/>
  <c r="L24" i="12837" l="1"/>
  <c r="L34" i="12837"/>
  <c r="L35" i="12837" l="1"/>
  <c r="L26" i="12837"/>
  <c r="L40" i="12837" l="1"/>
  <c r="C520" i="12843" l="1"/>
  <c r="V84" i="12764" l="1"/>
  <c r="V100" i="12764" l="1"/>
  <c r="V112" i="12764"/>
  <c r="V101" i="12764"/>
  <c r="V97" i="12764"/>
  <c r="V83" i="12764"/>
  <c r="V82" i="12764"/>
  <c r="V73" i="12764"/>
  <c r="V76" i="12764"/>
  <c r="V75" i="12764"/>
  <c r="V88" i="12764" l="1"/>
  <c r="V89" i="12764"/>
  <c r="V80" i="12764"/>
  <c r="V79" i="12764"/>
  <c r="V81" i="12764"/>
  <c r="V87" i="12764"/>
  <c r="V77" i="12764"/>
  <c r="V108" i="12764"/>
  <c r="V109" i="12764"/>
  <c r="V114" i="12764"/>
  <c r="V90" i="12764" l="1"/>
  <c r="V85" i="12764"/>
  <c r="V110" i="12764"/>
  <c r="V104" i="12764" l="1"/>
  <c r="V99" i="12764"/>
  <c r="V102" i="12764" s="1"/>
  <c r="V93" i="12764"/>
  <c r="V94" i="12764"/>
  <c r="V106" i="12764"/>
  <c r="V70" i="12764"/>
  <c r="V69" i="12764" l="1"/>
  <c r="V71" i="12764" s="1"/>
  <c r="V16" i="12764"/>
  <c r="V65" i="12764"/>
  <c r="V66" i="12764"/>
  <c r="V95" i="12764"/>
  <c r="V58" i="12764"/>
  <c r="V49" i="12764"/>
  <c r="V43" i="12764"/>
  <c r="V30" i="12764"/>
  <c r="W23" i="12764"/>
  <c r="Y23" i="12764" s="1"/>
  <c r="A126" i="12822"/>
  <c r="A125" i="12822"/>
  <c r="A124" i="12822"/>
  <c r="A123" i="12822"/>
  <c r="A122" i="12822"/>
  <c r="A121" i="12822"/>
  <c r="A120" i="12822"/>
  <c r="A119" i="12822"/>
  <c r="A118" i="12822"/>
  <c r="A117" i="12822"/>
  <c r="A116" i="12822"/>
  <c r="A115" i="12822"/>
  <c r="A109" i="12822"/>
  <c r="A108" i="12822"/>
  <c r="A107" i="12822"/>
  <c r="A106" i="12822"/>
  <c r="A105" i="12822"/>
  <c r="A104" i="12822"/>
  <c r="A103" i="12822"/>
  <c r="A102" i="12822"/>
  <c r="A101" i="12822"/>
  <c r="A100" i="12822"/>
  <c r="A99" i="12822"/>
  <c r="A98" i="12822"/>
  <c r="A91" i="12822"/>
  <c r="A90" i="12822"/>
  <c r="A89" i="12822"/>
  <c r="A88" i="12822"/>
  <c r="A87" i="12822"/>
  <c r="A86" i="12822"/>
  <c r="A85" i="12822"/>
  <c r="A84" i="12822"/>
  <c r="A83" i="12822"/>
  <c r="A82" i="12822"/>
  <c r="A81" i="12822"/>
  <c r="A80" i="12822"/>
  <c r="N74" i="12822"/>
  <c r="N73" i="12822"/>
  <c r="N72" i="12822"/>
  <c r="N71" i="12822"/>
  <c r="N70" i="12822"/>
  <c r="N69" i="12822"/>
  <c r="N68" i="12822"/>
  <c r="N67" i="12822"/>
  <c r="N66" i="12822"/>
  <c r="N65" i="12822"/>
  <c r="N64" i="12822"/>
  <c r="N63" i="12822"/>
  <c r="A74" i="12822"/>
  <c r="A73" i="12822"/>
  <c r="A72" i="12822"/>
  <c r="A71" i="12822"/>
  <c r="A70" i="12822"/>
  <c r="A69" i="12822"/>
  <c r="A68" i="12822"/>
  <c r="A67" i="12822"/>
  <c r="A66" i="12822"/>
  <c r="A65" i="12822"/>
  <c r="A64" i="12822"/>
  <c r="A63" i="12822"/>
  <c r="A57" i="12822"/>
  <c r="A56" i="12822"/>
  <c r="A55" i="12822"/>
  <c r="A54" i="12822"/>
  <c r="A53" i="12822"/>
  <c r="A52" i="12822"/>
  <c r="A51" i="12822"/>
  <c r="A50" i="12822"/>
  <c r="A49" i="12822"/>
  <c r="A48" i="12822"/>
  <c r="A47" i="12822"/>
  <c r="A46" i="12822"/>
  <c r="A39" i="12822"/>
  <c r="A38" i="12822"/>
  <c r="A37" i="12822"/>
  <c r="A36" i="12822"/>
  <c r="A35" i="12822"/>
  <c r="A34" i="12822"/>
  <c r="A33" i="12822"/>
  <c r="A32" i="12822"/>
  <c r="A31" i="12822"/>
  <c r="A30" i="12822"/>
  <c r="A29" i="12822"/>
  <c r="A28" i="12822"/>
  <c r="V67" i="12764" l="1"/>
  <c r="V116" i="12764" s="1"/>
  <c r="V60" i="12764"/>
  <c r="C519" i="12843" l="1"/>
  <c r="C518" i="12843"/>
  <c r="V117" i="12764"/>
  <c r="E19" i="12811" l="1"/>
  <c r="E104" i="12763" l="1"/>
  <c r="E102" i="12763"/>
  <c r="C99" i="12763"/>
  <c r="E99" i="12763"/>
  <c r="I99" i="12763"/>
  <c r="C39" i="12763"/>
  <c r="C39" i="12764"/>
  <c r="N39" i="12764" s="1"/>
  <c r="I88" i="12763"/>
  <c r="E79" i="12763"/>
  <c r="E71" i="12763"/>
  <c r="E112" i="12763"/>
  <c r="E106" i="12763"/>
  <c r="E75" i="12763"/>
  <c r="D116" i="12763"/>
  <c r="F116" i="12763"/>
  <c r="H116" i="12763"/>
  <c r="N41" i="12764"/>
  <c r="U41" i="12764"/>
  <c r="T41" i="12764"/>
  <c r="T23" i="12764"/>
  <c r="W41" i="12764" l="1"/>
  <c r="W100" i="12764" s="1"/>
  <c r="E87" i="12763"/>
  <c r="E88" i="12763"/>
  <c r="I66" i="12763"/>
  <c r="E86" i="12763"/>
  <c r="E98" i="12763"/>
  <c r="E100" i="12763" s="1"/>
  <c r="E65" i="12763"/>
  <c r="Z117" i="12764"/>
  <c r="AD117" i="12764"/>
  <c r="L89" i="12764"/>
  <c r="L84" i="12764"/>
  <c r="Y41" i="12764" l="1"/>
  <c r="E89" i="12763"/>
  <c r="U28" i="12764"/>
  <c r="P84" i="12764"/>
  <c r="U89" i="12764"/>
  <c r="P89" i="12764"/>
  <c r="AC15" i="12764" l="1"/>
  <c r="Y15" i="12764"/>
  <c r="AB15" i="12764"/>
  <c r="AB89" i="12764"/>
  <c r="AC89" i="12764"/>
  <c r="E93" i="12763"/>
  <c r="E49" i="12763" l="1"/>
  <c r="E92" i="12763"/>
  <c r="E94" i="12763" s="1"/>
  <c r="E110" i="12763"/>
  <c r="E96" i="12763"/>
  <c r="E82" i="12763" l="1"/>
  <c r="E78" i="12763" l="1"/>
  <c r="E81" i="12763"/>
  <c r="C639" i="12843"/>
  <c r="C637" i="12843"/>
  <c r="T17" i="12771" l="1"/>
  <c r="F578" i="12843"/>
  <c r="F579" i="12843"/>
  <c r="F580" i="12843"/>
  <c r="F582" i="12843"/>
  <c r="F583" i="12843"/>
  <c r="F585" i="12843"/>
  <c r="F587" i="12843"/>
  <c r="F588" i="12843"/>
  <c r="F589" i="12843"/>
  <c r="F590" i="12843"/>
  <c r="F594" i="12843"/>
  <c r="F604" i="12843"/>
  <c r="F607" i="12843"/>
  <c r="F608" i="12843"/>
  <c r="F600" i="12843" l="1"/>
  <c r="F599" i="12843"/>
  <c r="F598" i="12843"/>
  <c r="F605" i="12843"/>
  <c r="F597" i="12843"/>
  <c r="F606" i="12843"/>
  <c r="F596" i="12843"/>
  <c r="F603" i="12843"/>
  <c r="F595" i="12843"/>
  <c r="F602" i="12843"/>
  <c r="F601" i="12843"/>
  <c r="F37" i="12843"/>
  <c r="F38" i="12843"/>
  <c r="F36" i="12843"/>
  <c r="E70" i="12763"/>
  <c r="I16" i="12763"/>
  <c r="D44" i="12843" l="1"/>
  <c r="D80" i="12843"/>
  <c r="D62" i="12843"/>
  <c r="E100" i="12764" l="1"/>
  <c r="P16" i="12764" l="1"/>
  <c r="N23" i="12764"/>
  <c r="L16" i="12764" l="1"/>
  <c r="E16" i="12763"/>
  <c r="E69" i="12763" l="1"/>
  <c r="E72" i="12763" s="1"/>
  <c r="E97" i="12764"/>
  <c r="E114" i="12764" l="1"/>
  <c r="E104" i="12764"/>
  <c r="E106" i="12764"/>
  <c r="E101" i="12764"/>
  <c r="E112" i="12764"/>
  <c r="E65" i="12764"/>
  <c r="E70" i="12764"/>
  <c r="E66" i="12764" l="1"/>
  <c r="E67" i="12764" s="1"/>
  <c r="E99" i="12764"/>
  <c r="E102" i="12764" s="1"/>
  <c r="H101" i="12764" l="1"/>
  <c r="J101" i="12764"/>
  <c r="J112" i="12764" l="1"/>
  <c r="H106" i="12764"/>
  <c r="J104" i="12764"/>
  <c r="J114" i="12764"/>
  <c r="H104" i="12764"/>
  <c r="H112" i="12764"/>
  <c r="J70" i="12764"/>
  <c r="J106" i="12764"/>
  <c r="H70" i="12764"/>
  <c r="H114" i="12764"/>
  <c r="J97" i="12764"/>
  <c r="H97" i="12764"/>
  <c r="E92" i="12813" l="1"/>
  <c r="I157" i="12813" l="1"/>
  <c r="J122" i="12813" l="1"/>
  <c r="H122" i="12813"/>
  <c r="I122" i="12813" l="1"/>
  <c r="D126" i="12812"/>
  <c r="E97" i="12813"/>
  <c r="E91" i="12813"/>
  <c r="AA30" i="12769" l="1"/>
  <c r="S23" i="12843" l="1"/>
  <c r="G139" i="12843" l="1"/>
  <c r="Y17" i="12833" l="1"/>
  <c r="M1020" i="12843" l="1"/>
  <c r="U1234" i="12843" l="1"/>
  <c r="Q1234" i="12843"/>
  <c r="M1234" i="12843"/>
  <c r="U1220" i="12843"/>
  <c r="Q1220" i="12843"/>
  <c r="M1220" i="12843"/>
  <c r="M1114" i="12843"/>
  <c r="M963" i="12843"/>
  <c r="I1144" i="12843" l="1"/>
  <c r="F1144" i="12843"/>
  <c r="F1141" i="12843"/>
  <c r="F1139" i="12843"/>
  <c r="I1139" i="12843" l="1"/>
  <c r="I1140" i="12843"/>
  <c r="I1141" i="12843"/>
  <c r="F1140" i="12843"/>
  <c r="N15" i="12791"/>
  <c r="K139" i="12843" l="1"/>
  <c r="N44" i="12831" l="1"/>
  <c r="K44" i="12831"/>
  <c r="N34" i="12831"/>
  <c r="K34" i="12831"/>
  <c r="N21" i="12831"/>
  <c r="K21" i="12831"/>
  <c r="K46" i="12831" l="1"/>
  <c r="K50" i="12831" s="1"/>
  <c r="N46" i="12831"/>
  <c r="N50" i="12831" s="1"/>
  <c r="O16" i="12791" l="1"/>
  <c r="N17" i="12791"/>
  <c r="N16" i="12791"/>
  <c r="O16" i="12773"/>
  <c r="O15" i="12773"/>
  <c r="N17" i="12773"/>
  <c r="N16" i="12773"/>
  <c r="N15" i="12773"/>
  <c r="O16" i="12772"/>
  <c r="O15" i="12772"/>
  <c r="N17" i="12772"/>
  <c r="N16" i="12772"/>
  <c r="N15" i="12772"/>
  <c r="T21" i="12771"/>
  <c r="T20" i="12771"/>
  <c r="T19" i="12771"/>
  <c r="T18" i="12771"/>
  <c r="O18" i="12770"/>
  <c r="P16" i="12770"/>
  <c r="P15" i="12770"/>
  <c r="O16" i="12770"/>
  <c r="O15" i="12770"/>
  <c r="O14" i="12770"/>
  <c r="X20" i="12769"/>
  <c r="X18" i="12769"/>
  <c r="Y14" i="12769"/>
  <c r="X14" i="12769"/>
  <c r="W8" i="12833" l="1"/>
  <c r="O1292" i="12843" l="1"/>
  <c r="K1292" i="12843"/>
  <c r="S1248" i="12843"/>
  <c r="S1247" i="12843"/>
  <c r="O1251" i="12843"/>
  <c r="O1248" i="12843"/>
  <c r="O1247" i="12843"/>
  <c r="K1251" i="12843"/>
  <c r="K1248" i="12843"/>
  <c r="K1247" i="12843"/>
  <c r="O1161" i="12843"/>
  <c r="K1161" i="12843"/>
  <c r="S1111" i="12843" l="1"/>
  <c r="S1108" i="12843"/>
  <c r="O1116" i="12843"/>
  <c r="O1111" i="12843"/>
  <c r="O1108" i="12843"/>
  <c r="K1116" i="12843"/>
  <c r="K1115" i="12843"/>
  <c r="K1114" i="12843"/>
  <c r="S1017" i="12843"/>
  <c r="S1016" i="12843"/>
  <c r="S1014" i="12843"/>
  <c r="S1013" i="12843"/>
  <c r="O1022" i="12843"/>
  <c r="O1017" i="12843"/>
  <c r="O1016" i="12843"/>
  <c r="O1014" i="12843"/>
  <c r="O1013" i="12843"/>
  <c r="K1022" i="12843"/>
  <c r="K1021" i="12843"/>
  <c r="K1020" i="12843"/>
  <c r="S960" i="12843"/>
  <c r="S959" i="12843"/>
  <c r="S957" i="12843"/>
  <c r="S956" i="12843"/>
  <c r="O965" i="12843"/>
  <c r="O960" i="12843"/>
  <c r="O959" i="12843"/>
  <c r="O957" i="12843"/>
  <c r="O956" i="12843"/>
  <c r="K965" i="12843"/>
  <c r="K964" i="12843"/>
  <c r="K963" i="12843"/>
  <c r="F947" i="12843"/>
  <c r="M945" i="12843"/>
  <c r="U940" i="12843"/>
  <c r="Q940" i="12843"/>
  <c r="M940" i="12843"/>
  <c r="I940" i="12843"/>
  <c r="F940" i="12843"/>
  <c r="K780" i="12843" l="1"/>
  <c r="K884" i="12843" s="1"/>
  <c r="M884" i="12843" s="1"/>
  <c r="S781" i="12843"/>
  <c r="S885" i="12843" s="1"/>
  <c r="U885" i="12843" s="1"/>
  <c r="S752" i="12843"/>
  <c r="S773" i="12843" s="1"/>
  <c r="S751" i="12843"/>
  <c r="S772" i="12843" s="1"/>
  <c r="S750" i="12843"/>
  <c r="S771" i="12843" s="1"/>
  <c r="S749" i="12843"/>
  <c r="S770" i="12843" s="1"/>
  <c r="S748" i="12843"/>
  <c r="S755" i="12843" s="1"/>
  <c r="S776" i="12843" s="1"/>
  <c r="S746" i="12843"/>
  <c r="S767" i="12843" s="1"/>
  <c r="S739" i="12843"/>
  <c r="S764" i="12843" s="1"/>
  <c r="O781" i="12843"/>
  <c r="O833" i="12843" s="1"/>
  <c r="Q833" i="12843" s="1"/>
  <c r="O759" i="12843"/>
  <c r="O782" i="12843" s="1"/>
  <c r="O752" i="12843"/>
  <c r="O773" i="12843" s="1"/>
  <c r="O751" i="12843"/>
  <c r="O772" i="12843" s="1"/>
  <c r="O750" i="12843"/>
  <c r="O771" i="12843" s="1"/>
  <c r="O749" i="12843"/>
  <c r="O770" i="12843" s="1"/>
  <c r="O748" i="12843"/>
  <c r="O769" i="12843" s="1"/>
  <c r="O746" i="12843"/>
  <c r="O767" i="12843" s="1"/>
  <c r="O741" i="12843"/>
  <c r="O766" i="12843" s="1"/>
  <c r="O740" i="12843"/>
  <c r="O765" i="12843" s="1"/>
  <c r="O739" i="12843"/>
  <c r="O764" i="12843" s="1"/>
  <c r="O737" i="12843"/>
  <c r="O762" i="12843" s="1"/>
  <c r="K759" i="12843"/>
  <c r="K782" i="12843" s="1"/>
  <c r="K758" i="12843"/>
  <c r="K779" i="12843" s="1"/>
  <c r="G844" i="12843"/>
  <c r="O726" i="12843"/>
  <c r="O688" i="12843"/>
  <c r="K647" i="12843"/>
  <c r="K725" i="12843" s="1"/>
  <c r="S648" i="12843"/>
  <c r="S726" i="12843" s="1"/>
  <c r="S624" i="12843"/>
  <c r="S641" i="12843" s="1"/>
  <c r="S623" i="12843"/>
  <c r="S703" i="12843" s="1"/>
  <c r="S621" i="12843"/>
  <c r="S663" i="12843" s="1"/>
  <c r="S620" i="12843"/>
  <c r="S638" i="12843" s="1"/>
  <c r="S619" i="12843"/>
  <c r="S637" i="12843" s="1"/>
  <c r="O633" i="12843"/>
  <c r="O650" i="12843" s="1"/>
  <c r="O632" i="12843"/>
  <c r="O649" i="12843" s="1"/>
  <c r="O624" i="12843"/>
  <c r="O641" i="12843" s="1"/>
  <c r="O623" i="12843"/>
  <c r="O703" i="12843" s="1"/>
  <c r="O621" i="12843"/>
  <c r="O663" i="12843" s="1"/>
  <c r="O620" i="12843"/>
  <c r="O638" i="12843" s="1"/>
  <c r="O619" i="12843"/>
  <c r="O637" i="12843" s="1"/>
  <c r="K633" i="12843"/>
  <c r="K650" i="12843" s="1"/>
  <c r="K632" i="12843"/>
  <c r="K649" i="12843" s="1"/>
  <c r="K631" i="12843"/>
  <c r="K646" i="12843" s="1"/>
  <c r="K630" i="12843"/>
  <c r="K629" i="12843"/>
  <c r="K671" i="12843" s="1"/>
  <c r="S600" i="12843"/>
  <c r="O600" i="12843"/>
  <c r="K600" i="12843"/>
  <c r="S566" i="12843"/>
  <c r="S531" i="12843"/>
  <c r="S496" i="12843"/>
  <c r="O566" i="12843"/>
  <c r="O531" i="12843"/>
  <c r="O496" i="12843"/>
  <c r="K565" i="12843"/>
  <c r="K530" i="12843"/>
  <c r="K495" i="12843"/>
  <c r="S460" i="12843"/>
  <c r="S425" i="12843"/>
  <c r="S390" i="12843"/>
  <c r="S355" i="12843"/>
  <c r="S321" i="12843"/>
  <c r="S286" i="12843"/>
  <c r="O460" i="12843"/>
  <c r="O425" i="12843"/>
  <c r="O390" i="12843"/>
  <c r="O355" i="12843"/>
  <c r="O321" i="12843"/>
  <c r="O286" i="12843"/>
  <c r="K459" i="12843"/>
  <c r="K424" i="12843"/>
  <c r="K389" i="12843"/>
  <c r="K354" i="12843"/>
  <c r="K320" i="12843"/>
  <c r="K285" i="12843"/>
  <c r="S252" i="12843"/>
  <c r="O252" i="12843"/>
  <c r="S187" i="12843"/>
  <c r="S475" i="12843" s="1"/>
  <c r="S186" i="12843"/>
  <c r="S544" i="12843" s="1"/>
  <c r="S185" i="12843"/>
  <c r="S543" i="12843" s="1"/>
  <c r="O201" i="12843"/>
  <c r="O569" i="12843" s="1"/>
  <c r="O200" i="12843"/>
  <c r="O448" i="12843" s="1"/>
  <c r="O199" i="12843"/>
  <c r="O553" i="12843" s="1"/>
  <c r="O191" i="12843"/>
  <c r="O208" i="12843" s="1"/>
  <c r="O190" i="12843"/>
  <c r="O438" i="12843" s="1"/>
  <c r="O189" i="12843"/>
  <c r="O437" i="12843" s="1"/>
  <c r="O187" i="12843"/>
  <c r="O475" i="12843" s="1"/>
  <c r="O186" i="12843"/>
  <c r="O544" i="12843" s="1"/>
  <c r="O185" i="12843"/>
  <c r="O543" i="12843" s="1"/>
  <c r="K201" i="12843"/>
  <c r="K555" i="12843" s="1"/>
  <c r="K200" i="12843"/>
  <c r="K554" i="12843" s="1"/>
  <c r="K199" i="12843"/>
  <c r="K567" i="12843" s="1"/>
  <c r="K198" i="12843"/>
  <c r="K446" i="12843" s="1"/>
  <c r="O112" i="12843"/>
  <c r="O114" i="12843"/>
  <c r="O145" i="12843" s="1"/>
  <c r="O115" i="12843"/>
  <c r="O146" i="12843" s="1"/>
  <c r="O161" i="12843" s="1"/>
  <c r="O113" i="12843"/>
  <c r="O111" i="12843"/>
  <c r="K113" i="12843"/>
  <c r="O108" i="12843"/>
  <c r="K96" i="12843"/>
  <c r="K115" i="12843" s="1"/>
  <c r="K95" i="12843"/>
  <c r="K114" i="12843" s="1"/>
  <c r="K145" i="12843" s="1"/>
  <c r="K93" i="12843"/>
  <c r="K112" i="12843" s="1"/>
  <c r="K131" i="12843" s="1"/>
  <c r="K92" i="12843"/>
  <c r="K111" i="12843" s="1"/>
  <c r="K130" i="12843" s="1"/>
  <c r="K89" i="12843"/>
  <c r="K154" i="12843" s="1"/>
  <c r="G124" i="12843"/>
  <c r="I124" i="12843" s="1"/>
  <c r="S22" i="12843"/>
  <c r="S43" i="12843" s="1"/>
  <c r="O22" i="12843"/>
  <c r="O79" i="12843" s="1"/>
  <c r="U1302" i="12843"/>
  <c r="C1292" i="12843"/>
  <c r="F1290" i="12843"/>
  <c r="F1288" i="12843"/>
  <c r="F1284" i="12843"/>
  <c r="F1283" i="12843"/>
  <c r="F1281" i="12843"/>
  <c r="F1280" i="12843"/>
  <c r="F1279" i="12843"/>
  <c r="F1276" i="12843"/>
  <c r="F1275" i="12843"/>
  <c r="F1273" i="12843"/>
  <c r="F1268" i="12843"/>
  <c r="F1265" i="12843"/>
  <c r="F1233" i="12843"/>
  <c r="I1232" i="12843"/>
  <c r="F1217" i="12843"/>
  <c r="F1216" i="12843"/>
  <c r="F1215" i="12843"/>
  <c r="F1214" i="12843"/>
  <c r="F1213" i="12843"/>
  <c r="U1203" i="12843"/>
  <c r="F1175" i="12843"/>
  <c r="U1173" i="12843"/>
  <c r="F1159" i="12843"/>
  <c r="F1158" i="12843"/>
  <c r="F1157" i="12843"/>
  <c r="F1156" i="12843"/>
  <c r="F1155" i="12843"/>
  <c r="F1154" i="12843"/>
  <c r="F1153" i="12843"/>
  <c r="F1134" i="12843"/>
  <c r="F1133" i="12843"/>
  <c r="F1131" i="12843"/>
  <c r="F1130" i="12843"/>
  <c r="I1110" i="12843"/>
  <c r="F1110" i="12843"/>
  <c r="I1107" i="12843"/>
  <c r="F1107" i="12843"/>
  <c r="C1093" i="12843"/>
  <c r="C1090" i="12843"/>
  <c r="C1074" i="12843"/>
  <c r="C1071" i="12843"/>
  <c r="O1061" i="12843"/>
  <c r="K1061" i="12843"/>
  <c r="K1060" i="12843"/>
  <c r="K1059" i="12843"/>
  <c r="S1056" i="12843"/>
  <c r="U1056" i="12843" s="1"/>
  <c r="O1056" i="12843"/>
  <c r="Q1056" i="12843" s="1"/>
  <c r="F1056" i="12843"/>
  <c r="S1055" i="12843"/>
  <c r="O1055" i="12843"/>
  <c r="S1053" i="12843"/>
  <c r="U1053" i="12843" s="1"/>
  <c r="O1053" i="12843"/>
  <c r="Q1053" i="12843" s="1"/>
  <c r="F1053" i="12843"/>
  <c r="S1052" i="12843"/>
  <c r="O1052" i="12843"/>
  <c r="O1043" i="12843"/>
  <c r="K1043" i="12843"/>
  <c r="K1042" i="12843"/>
  <c r="K1041" i="12843"/>
  <c r="S1038" i="12843"/>
  <c r="U1038" i="12843" s="1"/>
  <c r="O1038" i="12843"/>
  <c r="Q1038" i="12843" s="1"/>
  <c r="F1038" i="12843"/>
  <c r="S1037" i="12843"/>
  <c r="O1037" i="12843"/>
  <c r="S1035" i="12843"/>
  <c r="U1035" i="12843" s="1"/>
  <c r="O1035" i="12843"/>
  <c r="Q1035" i="12843" s="1"/>
  <c r="F1035" i="12843"/>
  <c r="S1034" i="12843"/>
  <c r="O1034" i="12843"/>
  <c r="C1017" i="12843"/>
  <c r="C1014" i="12843"/>
  <c r="O1003" i="12843"/>
  <c r="K1003" i="12843"/>
  <c r="K1002" i="12843"/>
  <c r="K1001" i="12843"/>
  <c r="S998" i="12843"/>
  <c r="U998" i="12843" s="1"/>
  <c r="O998" i="12843"/>
  <c r="Q998" i="12843" s="1"/>
  <c r="F998" i="12843"/>
  <c r="S997" i="12843"/>
  <c r="O997" i="12843"/>
  <c r="S995" i="12843"/>
  <c r="U995" i="12843" s="1"/>
  <c r="O995" i="12843"/>
  <c r="Q995" i="12843" s="1"/>
  <c r="F995" i="12843"/>
  <c r="S994" i="12843"/>
  <c r="O994" i="12843"/>
  <c r="O985" i="12843"/>
  <c r="K985" i="12843"/>
  <c r="K984" i="12843"/>
  <c r="K905" i="12843" s="1"/>
  <c r="K983" i="12843"/>
  <c r="S980" i="12843"/>
  <c r="U980" i="12843" s="1"/>
  <c r="O980" i="12843"/>
  <c r="Q980" i="12843" s="1"/>
  <c r="F980" i="12843"/>
  <c r="S979" i="12843"/>
  <c r="S900" i="12843" s="1"/>
  <c r="O979" i="12843"/>
  <c r="S977" i="12843"/>
  <c r="O977" i="12843"/>
  <c r="Q977" i="12843" s="1"/>
  <c r="F977" i="12843"/>
  <c r="S976" i="12843"/>
  <c r="O976" i="12843"/>
  <c r="C960" i="12843"/>
  <c r="C957" i="12843"/>
  <c r="O910" i="12843"/>
  <c r="K910" i="12843"/>
  <c r="I906" i="12843"/>
  <c r="F906" i="12843"/>
  <c r="F901" i="12843"/>
  <c r="S899" i="12843"/>
  <c r="O899" i="12843"/>
  <c r="K899" i="12843"/>
  <c r="F898" i="12843"/>
  <c r="C886" i="12843"/>
  <c r="F885" i="12843"/>
  <c r="F884" i="12843"/>
  <c r="F883" i="12843"/>
  <c r="F882" i="12843"/>
  <c r="F880" i="12843"/>
  <c r="F879" i="12843"/>
  <c r="F877" i="12843"/>
  <c r="F876" i="12843"/>
  <c r="F875" i="12843"/>
  <c r="F874" i="12843"/>
  <c r="F873" i="12843"/>
  <c r="F871" i="12843"/>
  <c r="F870" i="12843"/>
  <c r="F869" i="12843"/>
  <c r="F868" i="12843"/>
  <c r="F866" i="12843"/>
  <c r="F833" i="12843"/>
  <c r="F831" i="12843"/>
  <c r="F828" i="12843"/>
  <c r="F827" i="12843"/>
  <c r="F825" i="12843"/>
  <c r="F824" i="12843"/>
  <c r="F823" i="12843"/>
  <c r="F822" i="12843"/>
  <c r="F819" i="12843"/>
  <c r="F818" i="12843"/>
  <c r="F817" i="12843"/>
  <c r="F814" i="12843"/>
  <c r="G833" i="12843"/>
  <c r="I833" i="12843" s="1"/>
  <c r="C781" i="12843"/>
  <c r="G780" i="12843"/>
  <c r="G832" i="12843" s="1"/>
  <c r="C779" i="12843"/>
  <c r="C776" i="12843"/>
  <c r="C775" i="12843"/>
  <c r="C773" i="12843"/>
  <c r="C772" i="12843"/>
  <c r="C771" i="12843"/>
  <c r="C770" i="12843"/>
  <c r="C767" i="12843"/>
  <c r="C766" i="12843"/>
  <c r="C765" i="12843"/>
  <c r="C762" i="12843"/>
  <c r="C756" i="12843"/>
  <c r="F719" i="12843"/>
  <c r="F717" i="12843"/>
  <c r="F715" i="12843"/>
  <c r="C611" i="12843"/>
  <c r="C613" i="12843" s="1"/>
  <c r="C610" i="12843"/>
  <c r="C609" i="12843"/>
  <c r="I604" i="12843"/>
  <c r="G600" i="12843"/>
  <c r="I600" i="12843" s="1"/>
  <c r="C592" i="12843"/>
  <c r="C591" i="12843"/>
  <c r="I590" i="12843"/>
  <c r="C581" i="12843"/>
  <c r="C569" i="12843"/>
  <c r="C568" i="12843"/>
  <c r="C567" i="12843"/>
  <c r="F566" i="12843"/>
  <c r="F565" i="12843"/>
  <c r="F564" i="12843"/>
  <c r="F563" i="12843"/>
  <c r="F562" i="12843"/>
  <c r="F561" i="12843"/>
  <c r="F560" i="12843"/>
  <c r="F559" i="12843"/>
  <c r="F558" i="12843"/>
  <c r="F557" i="12843"/>
  <c r="C555" i="12843"/>
  <c r="F552" i="12843"/>
  <c r="F551" i="12843"/>
  <c r="F543" i="12843"/>
  <c r="C534" i="12843"/>
  <c r="C533" i="12843"/>
  <c r="C532" i="12843"/>
  <c r="F531" i="12843"/>
  <c r="F530" i="12843"/>
  <c r="F529" i="12843"/>
  <c r="F528" i="12843"/>
  <c r="F527" i="12843"/>
  <c r="F526" i="12843"/>
  <c r="F525" i="12843"/>
  <c r="F524" i="12843"/>
  <c r="F523" i="12843"/>
  <c r="F522" i="12843"/>
  <c r="C499" i="12843"/>
  <c r="C498" i="12843"/>
  <c r="C497" i="12843"/>
  <c r="C463" i="12843"/>
  <c r="C462" i="12843"/>
  <c r="C461" i="12843"/>
  <c r="F460" i="12843"/>
  <c r="F459" i="12843"/>
  <c r="F458" i="12843"/>
  <c r="F457" i="12843"/>
  <c r="F456" i="12843"/>
  <c r="F455" i="12843"/>
  <c r="F454" i="12843"/>
  <c r="F453" i="12843"/>
  <c r="F452" i="12843"/>
  <c r="F451" i="12843"/>
  <c r="C449" i="12843"/>
  <c r="C448" i="12843"/>
  <c r="F446" i="12843"/>
  <c r="F445" i="12843"/>
  <c r="F444" i="12843"/>
  <c r="F442" i="12843"/>
  <c r="F439" i="12843"/>
  <c r="F438" i="12843"/>
  <c r="C428" i="12843"/>
  <c r="C427" i="12843"/>
  <c r="C426" i="12843"/>
  <c r="F425" i="12843"/>
  <c r="F424" i="12843"/>
  <c r="F423" i="12843"/>
  <c r="F422" i="12843"/>
  <c r="F421" i="12843"/>
  <c r="F420" i="12843"/>
  <c r="F419" i="12843"/>
  <c r="F418" i="12843"/>
  <c r="F417" i="12843"/>
  <c r="F416" i="12843"/>
  <c r="F411" i="12843"/>
  <c r="F407" i="12843"/>
  <c r="F404" i="12843"/>
  <c r="F403" i="12843"/>
  <c r="F390" i="12843"/>
  <c r="F389" i="12843"/>
  <c r="F388" i="12843"/>
  <c r="F387" i="12843"/>
  <c r="F386" i="12843"/>
  <c r="F385" i="12843"/>
  <c r="F384" i="12843"/>
  <c r="F383" i="12843"/>
  <c r="F382" i="12843"/>
  <c r="F381" i="12843"/>
  <c r="C378" i="12843"/>
  <c r="C377" i="12843"/>
  <c r="C376" i="12843"/>
  <c r="F376" i="12843" s="1"/>
  <c r="C372" i="12843"/>
  <c r="F372" i="12843" s="1"/>
  <c r="C369" i="12843"/>
  <c r="F369" i="12843" s="1"/>
  <c r="C368" i="12843"/>
  <c r="F368" i="12843" s="1"/>
  <c r="F353" i="12843"/>
  <c r="F346" i="12843"/>
  <c r="F286" i="12843"/>
  <c r="F285" i="12843"/>
  <c r="F284" i="12843"/>
  <c r="F283" i="12843"/>
  <c r="F282" i="12843"/>
  <c r="F281" i="12843"/>
  <c r="C280" i="12843"/>
  <c r="F279" i="12843"/>
  <c r="F278" i="12843"/>
  <c r="F277" i="12843"/>
  <c r="K251" i="12843"/>
  <c r="O174" i="12843"/>
  <c r="K174" i="12843"/>
  <c r="F173" i="12843"/>
  <c r="F172" i="12843"/>
  <c r="S169" i="12843"/>
  <c r="F169" i="12843"/>
  <c r="O159" i="12843"/>
  <c r="K159" i="12843"/>
  <c r="Q157" i="12843"/>
  <c r="S154" i="12843"/>
  <c r="O144" i="12843"/>
  <c r="K144" i="12843"/>
  <c r="S139" i="12843"/>
  <c r="F139" i="12843"/>
  <c r="S108" i="12843"/>
  <c r="Y90" i="12843"/>
  <c r="C80" i="12843"/>
  <c r="O80" i="12843"/>
  <c r="K80" i="12843"/>
  <c r="M80" i="12843" s="1"/>
  <c r="F79" i="12843"/>
  <c r="F77" i="12843"/>
  <c r="F74" i="12843"/>
  <c r="F72" i="12843"/>
  <c r="C62" i="12843"/>
  <c r="O62" i="12843"/>
  <c r="K62" i="12843"/>
  <c r="M62" i="12843" s="1"/>
  <c r="F61" i="12843"/>
  <c r="F59" i="12843"/>
  <c r="F56" i="12843"/>
  <c r="F54" i="12843"/>
  <c r="O44" i="12843"/>
  <c r="K44" i="12843"/>
  <c r="C44" i="12843"/>
  <c r="F43" i="12843"/>
  <c r="F42" i="12843"/>
  <c r="F41" i="12843"/>
  <c r="F40" i="12843"/>
  <c r="K377" i="12843" l="1"/>
  <c r="Y8" i="12833"/>
  <c r="O254" i="12843"/>
  <c r="F494" i="12843"/>
  <c r="C23" i="12843"/>
  <c r="F779" i="12843"/>
  <c r="K463" i="12843"/>
  <c r="M463" i="12843" s="1"/>
  <c r="K254" i="12843"/>
  <c r="K427" i="12843"/>
  <c r="M427" i="12843" s="1"/>
  <c r="O378" i="12843"/>
  <c r="K414" i="12843"/>
  <c r="O427" i="12843"/>
  <c r="Q427" i="12843" s="1"/>
  <c r="K569" i="12843"/>
  <c r="M569" i="12843" s="1"/>
  <c r="G108" i="12843"/>
  <c r="I108" i="12843" s="1"/>
  <c r="K309" i="12843"/>
  <c r="O447" i="12843"/>
  <c r="G885" i="12843"/>
  <c r="I885" i="12843" s="1"/>
  <c r="I781" i="12843" s="1"/>
  <c r="O275" i="12843"/>
  <c r="O289" i="12843"/>
  <c r="K461" i="12843"/>
  <c r="M461" i="12843" s="1"/>
  <c r="K674" i="12843"/>
  <c r="K689" i="12843" s="1"/>
  <c r="K712" i="12843"/>
  <c r="K727" i="12843" s="1"/>
  <c r="G884" i="12843"/>
  <c r="I884" i="12843" s="1"/>
  <c r="F957" i="12843"/>
  <c r="O520" i="12843"/>
  <c r="O43" i="12843"/>
  <c r="Q43" i="12843" s="1"/>
  <c r="S640" i="12843"/>
  <c r="O844" i="12843"/>
  <c r="F773" i="12843"/>
  <c r="F767" i="12843"/>
  <c r="F781" i="12843"/>
  <c r="F772" i="12843"/>
  <c r="F765" i="12843"/>
  <c r="F770" i="12843"/>
  <c r="F775" i="12843"/>
  <c r="Q44" i="12843"/>
  <c r="F762" i="12843"/>
  <c r="C942" i="12843"/>
  <c r="Q448" i="12843"/>
  <c r="K793" i="12843"/>
  <c r="K816" i="12843" s="1"/>
  <c r="S688" i="12843"/>
  <c r="O885" i="12843"/>
  <c r="Q885" i="12843" s="1"/>
  <c r="O217" i="12843"/>
  <c r="O287" i="12843"/>
  <c r="K323" i="12843"/>
  <c r="O342" i="12843"/>
  <c r="K484" i="12843"/>
  <c r="K498" i="12843"/>
  <c r="O518" i="12843"/>
  <c r="K533" i="12843"/>
  <c r="M533" i="12843" s="1"/>
  <c r="O864" i="12843"/>
  <c r="F766" i="12843"/>
  <c r="S474" i="12843"/>
  <c r="S833" i="12843"/>
  <c r="U833" i="12843" s="1"/>
  <c r="K217" i="12843"/>
  <c r="K274" i="12843"/>
  <c r="O461" i="12843"/>
  <c r="Q461" i="12843" s="1"/>
  <c r="K288" i="12843"/>
  <c r="K343" i="12843"/>
  <c r="O356" i="12843"/>
  <c r="O377" i="12843"/>
  <c r="O498" i="12843"/>
  <c r="O533" i="12843"/>
  <c r="Q533" i="12843" s="1"/>
  <c r="F611" i="12843"/>
  <c r="F613" i="12843" s="1"/>
  <c r="S639" i="12843"/>
  <c r="F1074" i="12843"/>
  <c r="F1090" i="12843"/>
  <c r="F487" i="12843"/>
  <c r="F491" i="12843"/>
  <c r="F495" i="12843"/>
  <c r="M567" i="12843"/>
  <c r="O206" i="12843"/>
  <c r="K218" i="12843"/>
  <c r="K255" i="12843"/>
  <c r="O357" i="12843"/>
  <c r="K379" i="12843"/>
  <c r="K449" i="12843"/>
  <c r="M449" i="12843" s="1"/>
  <c r="O554" i="12843"/>
  <c r="O230" i="12843"/>
  <c r="O243" i="12843" s="1"/>
  <c r="S545" i="12843"/>
  <c r="O240" i="12843"/>
  <c r="O274" i="12843"/>
  <c r="O288" i="12843"/>
  <c r="K310" i="12843"/>
  <c r="O323" i="12843"/>
  <c r="O343" i="12843"/>
  <c r="K358" i="12843"/>
  <c r="O392" i="12843"/>
  <c r="K428" i="12843"/>
  <c r="M428" i="12843" s="1"/>
  <c r="O462" i="12843"/>
  <c r="Q462" i="12843" s="1"/>
  <c r="K485" i="12843"/>
  <c r="K499" i="12843"/>
  <c r="O519" i="12843"/>
  <c r="K534" i="12843"/>
  <c r="M534" i="12843" s="1"/>
  <c r="O568" i="12843"/>
  <c r="Q568" i="12843" s="1"/>
  <c r="O712" i="12843"/>
  <c r="O727" i="12843" s="1"/>
  <c r="S509" i="12843"/>
  <c r="O857" i="12843"/>
  <c r="S856" i="12843"/>
  <c r="O309" i="12843"/>
  <c r="O484" i="12843"/>
  <c r="K241" i="12843"/>
  <c r="K275" i="12843"/>
  <c r="K289" i="12843"/>
  <c r="K324" i="12843"/>
  <c r="K344" i="12843"/>
  <c r="K393" i="12843"/>
  <c r="O413" i="12843"/>
  <c r="K520" i="12843"/>
  <c r="O674" i="12843"/>
  <c r="O689" i="12843" s="1"/>
  <c r="S901" i="12843"/>
  <c r="S510" i="12843"/>
  <c r="K709" i="12843"/>
  <c r="S666" i="12843"/>
  <c r="S754" i="12843"/>
  <c r="S775" i="12843" s="1"/>
  <c r="K832" i="12843"/>
  <c r="K376" i="12843"/>
  <c r="K388" i="12843" s="1"/>
  <c r="K812" i="12843"/>
  <c r="O324" i="12843"/>
  <c r="O393" i="12843"/>
  <c r="K272" i="12843"/>
  <c r="K213" i="12843"/>
  <c r="O218" i="12843"/>
  <c r="O241" i="12843"/>
  <c r="O344" i="12843"/>
  <c r="O358" i="12843"/>
  <c r="O379" i="12843"/>
  <c r="O428" i="12843"/>
  <c r="Q428" i="12843" s="1"/>
  <c r="O449" i="12843"/>
  <c r="Q449" i="12843" s="1"/>
  <c r="O463" i="12843"/>
  <c r="Q463" i="12843" s="1"/>
  <c r="O499" i="12843"/>
  <c r="K675" i="12843"/>
  <c r="K690" i="12843" s="1"/>
  <c r="K713" i="12843"/>
  <c r="K728" i="12843" s="1"/>
  <c r="S61" i="12843"/>
  <c r="U61" i="12843" s="1"/>
  <c r="K610" i="12843"/>
  <c r="K635" i="12843"/>
  <c r="K634" i="12843"/>
  <c r="O661" i="12843"/>
  <c r="O699" i="12843"/>
  <c r="S661" i="12843"/>
  <c r="O845" i="12843"/>
  <c r="S851" i="12843"/>
  <c r="K517" i="12843"/>
  <c r="O666" i="12843"/>
  <c r="O704" i="12843"/>
  <c r="O719" i="12843" s="1"/>
  <c r="Q719" i="12843" s="1"/>
  <c r="O854" i="12843"/>
  <c r="O207" i="12843"/>
  <c r="O255" i="12843"/>
  <c r="O485" i="12843"/>
  <c r="O555" i="12843"/>
  <c r="Q555" i="12843" s="1"/>
  <c r="O61" i="12843"/>
  <c r="Q61" i="12843" s="1"/>
  <c r="O231" i="12843"/>
  <c r="O244" i="12843" s="1"/>
  <c r="K609" i="12843"/>
  <c r="O310" i="12843"/>
  <c r="O414" i="12843"/>
  <c r="O534" i="12843"/>
  <c r="Q534" i="12843" s="1"/>
  <c r="G793" i="12843"/>
  <c r="G816" i="12843" s="1"/>
  <c r="K864" i="12843"/>
  <c r="S79" i="12843"/>
  <c r="U79" i="12843" s="1"/>
  <c r="K411" i="12843"/>
  <c r="K552" i="12843"/>
  <c r="O609" i="12843"/>
  <c r="K644" i="12843"/>
  <c r="O665" i="12843"/>
  <c r="O700" i="12843"/>
  <c r="S665" i="12843"/>
  <c r="K863" i="12843"/>
  <c r="O853" i="12843"/>
  <c r="S855" i="12843"/>
  <c r="S793" i="12843"/>
  <c r="O266" i="12843"/>
  <c r="O335" i="12843"/>
  <c r="K672" i="12843"/>
  <c r="S700" i="12843"/>
  <c r="O791" i="12843"/>
  <c r="O713" i="12843"/>
  <c r="O728" i="12843" s="1"/>
  <c r="O510" i="12843"/>
  <c r="O545" i="12843"/>
  <c r="K710" i="12843"/>
  <c r="O701" i="12843"/>
  <c r="O717" i="12843" s="1"/>
  <c r="Q717" i="12843" s="1"/>
  <c r="S701" i="12843"/>
  <c r="O802" i="12843"/>
  <c r="O806" i="12843"/>
  <c r="S804" i="12843"/>
  <c r="K240" i="12843"/>
  <c r="K322" i="12843"/>
  <c r="K357" i="12843"/>
  <c r="K413" i="12843"/>
  <c r="K448" i="12843"/>
  <c r="M448" i="12843" s="1"/>
  <c r="K519" i="12843"/>
  <c r="K568" i="12843"/>
  <c r="M568" i="12843" s="1"/>
  <c r="O675" i="12843"/>
  <c r="O690" i="12843" s="1"/>
  <c r="K238" i="12843"/>
  <c r="K250" i="12843" s="1"/>
  <c r="O232" i="12843"/>
  <c r="O245" i="12843" s="1"/>
  <c r="K341" i="12843"/>
  <c r="O264" i="12843"/>
  <c r="O299" i="12843"/>
  <c r="O333" i="12843"/>
  <c r="O367" i="12843"/>
  <c r="O381" i="12843" s="1"/>
  <c r="O402" i="12843"/>
  <c r="K482" i="12843"/>
  <c r="K494" i="12843" s="1"/>
  <c r="O640" i="12843"/>
  <c r="K687" i="12843"/>
  <c r="K711" i="12843"/>
  <c r="K724" i="12843" s="1"/>
  <c r="O662" i="12843"/>
  <c r="S662" i="12843"/>
  <c r="O754" i="12843"/>
  <c r="O775" i="12843" s="1"/>
  <c r="O803" i="12843"/>
  <c r="O846" i="12843"/>
  <c r="O855" i="12843"/>
  <c r="S800" i="12843"/>
  <c r="S805" i="12843"/>
  <c r="S844" i="12843"/>
  <c r="S853" i="12843"/>
  <c r="S857" i="12843"/>
  <c r="O794" i="12843"/>
  <c r="O301" i="12843"/>
  <c r="O369" i="12843"/>
  <c r="O383" i="12843" s="1"/>
  <c r="O404" i="12843"/>
  <c r="O439" i="12843"/>
  <c r="O474" i="12843"/>
  <c r="O509" i="12843"/>
  <c r="O800" i="12843"/>
  <c r="O805" i="12843"/>
  <c r="S803" i="12843"/>
  <c r="K239" i="12843"/>
  <c r="O610" i="12843"/>
  <c r="O639" i="12843"/>
  <c r="K673" i="12843"/>
  <c r="O793" i="12843"/>
  <c r="O816" i="12843" s="1"/>
  <c r="O216" i="12843"/>
  <c r="K287" i="12843"/>
  <c r="O322" i="12843"/>
  <c r="K378" i="12843"/>
  <c r="K392" i="12843"/>
  <c r="O426" i="12843"/>
  <c r="Q426" i="12843" s="1"/>
  <c r="K462" i="12843"/>
  <c r="M462" i="12843" s="1"/>
  <c r="O483" i="12843"/>
  <c r="K497" i="12843"/>
  <c r="K307" i="12843"/>
  <c r="O265" i="12843"/>
  <c r="O300" i="12843"/>
  <c r="O334" i="12843"/>
  <c r="O368" i="12843"/>
  <c r="O382" i="12843" s="1"/>
  <c r="O403" i="12843"/>
  <c r="O473" i="12843"/>
  <c r="O487" i="12843" s="1"/>
  <c r="O508" i="12843"/>
  <c r="S473" i="12843"/>
  <c r="S508" i="12843"/>
  <c r="S699" i="12843"/>
  <c r="S715" i="12843" s="1"/>
  <c r="U715" i="12843" s="1"/>
  <c r="S704" i="12843"/>
  <c r="O804" i="12843"/>
  <c r="O842" i="12843"/>
  <c r="O851" i="12843"/>
  <c r="O856" i="12843"/>
  <c r="S802" i="12843"/>
  <c r="S806" i="12843"/>
  <c r="S854" i="12843"/>
  <c r="O795" i="12843"/>
  <c r="C939" i="12843"/>
  <c r="G169" i="12843"/>
  <c r="I169" i="12843" s="1"/>
  <c r="Q174" i="12843"/>
  <c r="F15" i="12843"/>
  <c r="U169" i="12843"/>
  <c r="Q79" i="12843"/>
  <c r="C17" i="12843"/>
  <c r="M157" i="12843"/>
  <c r="F159" i="12843"/>
  <c r="C15" i="12843"/>
  <c r="C24" i="12843"/>
  <c r="H36" i="12783" s="1"/>
  <c r="M44" i="12843"/>
  <c r="F17" i="12843"/>
  <c r="F22" i="12843"/>
  <c r="Q94" i="12843"/>
  <c r="M173" i="12843"/>
  <c r="K108" i="12843"/>
  <c r="K127" i="12843" s="1"/>
  <c r="G154" i="12843"/>
  <c r="I154" i="12843" s="1"/>
  <c r="X89" i="12843"/>
  <c r="F108" i="12843"/>
  <c r="C20" i="12843"/>
  <c r="C25" i="12843"/>
  <c r="F73" i="12843"/>
  <c r="F76" i="12843"/>
  <c r="M159" i="12843"/>
  <c r="Q173" i="12843"/>
  <c r="C22" i="12843"/>
  <c r="I139" i="12843"/>
  <c r="Q159" i="12843"/>
  <c r="U43" i="12843"/>
  <c r="K904" i="12843"/>
  <c r="S769" i="12843"/>
  <c r="O755" i="12843"/>
  <c r="O776" i="12843" s="1"/>
  <c r="G764" i="12843"/>
  <c r="K645" i="12843"/>
  <c r="O239" i="12843"/>
  <c r="O308" i="12843"/>
  <c r="O412" i="12843"/>
  <c r="O567" i="12843"/>
  <c r="Q567" i="12843" s="1"/>
  <c r="O253" i="12843"/>
  <c r="O273" i="12843"/>
  <c r="O391" i="12843"/>
  <c r="O497" i="12843"/>
  <c r="O532" i="12843"/>
  <c r="Q532" i="12843" s="1"/>
  <c r="K216" i="12843"/>
  <c r="K253" i="12843"/>
  <c r="K483" i="12843"/>
  <c r="K518" i="12843"/>
  <c r="K532" i="12843"/>
  <c r="M532" i="12843" s="1"/>
  <c r="K273" i="12843"/>
  <c r="K308" i="12843"/>
  <c r="K342" i="12843"/>
  <c r="K356" i="12843"/>
  <c r="K391" i="12843"/>
  <c r="K412" i="12843"/>
  <c r="K426" i="12843"/>
  <c r="M426" i="12843" s="1"/>
  <c r="K447" i="12843"/>
  <c r="K553" i="12843"/>
  <c r="O139" i="12843"/>
  <c r="O169" i="12843"/>
  <c r="Q169" i="12843" s="1"/>
  <c r="O154" i="12843"/>
  <c r="Q154" i="12843" s="1"/>
  <c r="K169" i="12843"/>
  <c r="M169" i="12843" s="1"/>
  <c r="G603" i="12843"/>
  <c r="I603" i="12843" s="1"/>
  <c r="O897" i="12843"/>
  <c r="F771" i="12843"/>
  <c r="F776" i="12843"/>
  <c r="O898" i="12843"/>
  <c r="F20" i="12843"/>
  <c r="M555" i="12843"/>
  <c r="U1093" i="12843"/>
  <c r="F1071" i="12843"/>
  <c r="F1093" i="12843"/>
  <c r="Q569" i="12843"/>
  <c r="U1074" i="12843"/>
  <c r="K160" i="12843"/>
  <c r="C16" i="12843"/>
  <c r="M158" i="12843"/>
  <c r="C175" i="12843"/>
  <c r="M174" i="12843"/>
  <c r="Q566" i="12843"/>
  <c r="U531" i="12843"/>
  <c r="Q460" i="12843"/>
  <c r="U566" i="12843"/>
  <c r="Q531" i="12843"/>
  <c r="U460" i="12843"/>
  <c r="U425" i="12843"/>
  <c r="Q286" i="12843"/>
  <c r="U286" i="12843"/>
  <c r="Q425" i="12843"/>
  <c r="C19" i="12843"/>
  <c r="C21" i="12843"/>
  <c r="F55" i="12843"/>
  <c r="F58" i="12843"/>
  <c r="F60" i="12843"/>
  <c r="F78" i="12843"/>
  <c r="F154" i="12843"/>
  <c r="M154" i="12843"/>
  <c r="U154" i="12843"/>
  <c r="F158" i="12843"/>
  <c r="F93" i="12843" s="1"/>
  <c r="F170" i="12843"/>
  <c r="F174" i="12843"/>
  <c r="O160" i="12843"/>
  <c r="F280" i="12843"/>
  <c r="K146" i="12843"/>
  <c r="Q158" i="12843"/>
  <c r="O176" i="12843"/>
  <c r="M172" i="12843"/>
  <c r="Q172" i="12843"/>
  <c r="M565" i="12843"/>
  <c r="G530" i="12843"/>
  <c r="I530" i="12843" s="1"/>
  <c r="M459" i="12843"/>
  <c r="G565" i="12843"/>
  <c r="I565" i="12843" s="1"/>
  <c r="M530" i="12843"/>
  <c r="G459" i="12843"/>
  <c r="I459" i="12843" s="1"/>
  <c r="M424" i="12843"/>
  <c r="M285" i="12843"/>
  <c r="G320" i="12843"/>
  <c r="G285" i="12843"/>
  <c r="I285" i="12843" s="1"/>
  <c r="G424" i="12843"/>
  <c r="I424" i="12843" s="1"/>
  <c r="G495" i="12843"/>
  <c r="G389" i="12843"/>
  <c r="G354" i="12843"/>
  <c r="G251" i="12843"/>
  <c r="F157" i="12843"/>
  <c r="F92" i="12843" s="1"/>
  <c r="F490" i="12843"/>
  <c r="S679" i="12843"/>
  <c r="S489" i="12843"/>
  <c r="O489" i="12843"/>
  <c r="F488" i="12843"/>
  <c r="F492" i="12843"/>
  <c r="F496" i="12843"/>
  <c r="F1017" i="12843"/>
  <c r="F489" i="12843"/>
  <c r="F493" i="12843"/>
  <c r="K886" i="12843"/>
  <c r="M886" i="12843" s="1"/>
  <c r="G868" i="12843"/>
  <c r="I868" i="12843" s="1"/>
  <c r="C1161" i="12843"/>
  <c r="S897" i="12843"/>
  <c r="O900" i="12843"/>
  <c r="O886" i="12843"/>
  <c r="Q886" i="12843" s="1"/>
  <c r="O901" i="12843"/>
  <c r="U977" i="12843"/>
  <c r="U1071" i="12843" s="1"/>
  <c r="S898" i="12843"/>
  <c r="Q1074" i="12843"/>
  <c r="F960" i="12843"/>
  <c r="Q1071" i="12843"/>
  <c r="U1090" i="12843"/>
  <c r="Q1093" i="12843"/>
  <c r="Q1090" i="12843"/>
  <c r="F1014" i="12843"/>
  <c r="F1188" i="12843"/>
  <c r="F89" i="12843" l="1"/>
  <c r="F94" i="12843"/>
  <c r="I89" i="12843"/>
  <c r="Q496" i="12843"/>
  <c r="S680" i="12843"/>
  <c r="O868" i="12843"/>
  <c r="Q868" i="12843" s="1"/>
  <c r="F939" i="12843"/>
  <c r="F942" i="12843"/>
  <c r="O677" i="12843"/>
  <c r="M393" i="12843"/>
  <c r="O874" i="12843"/>
  <c r="Q874" i="12843" s="1"/>
  <c r="Q392" i="12843"/>
  <c r="I389" i="12843"/>
  <c r="O277" i="12843"/>
  <c r="Q277" i="12843" s="1"/>
  <c r="Q393" i="12843"/>
  <c r="I37" i="12831"/>
  <c r="F46" i="12843"/>
  <c r="U12" i="12764" s="1"/>
  <c r="S816" i="12843"/>
  <c r="O278" i="12843"/>
  <c r="Q278" i="12843" s="1"/>
  <c r="K686" i="12843"/>
  <c r="O348" i="12843"/>
  <c r="M94" i="12843"/>
  <c r="M93" i="12843"/>
  <c r="Q93" i="12843"/>
  <c r="F19" i="12843"/>
  <c r="I18" i="12831"/>
  <c r="I21" i="12831" s="1"/>
  <c r="M92" i="12843"/>
  <c r="Q92" i="12843"/>
  <c r="F82" i="12843"/>
  <c r="U42" i="12764" s="1"/>
  <c r="H17" i="12783"/>
  <c r="U89" i="12843"/>
  <c r="Q89" i="12843"/>
  <c r="S868" i="12843"/>
  <c r="U868" i="12843" s="1"/>
  <c r="M495" i="12843"/>
  <c r="Q390" i="12843"/>
  <c r="Q391" i="12843"/>
  <c r="M391" i="12843"/>
  <c r="S487" i="12843"/>
  <c r="F21" i="12843"/>
  <c r="M392" i="12843"/>
  <c r="O681" i="12843"/>
  <c r="F64" i="12843"/>
  <c r="U26" i="12764" s="1"/>
  <c r="O870" i="12843"/>
  <c r="Q870" i="12843" s="1"/>
  <c r="O809" i="12843"/>
  <c r="O821" i="12843"/>
  <c r="O818" i="12843"/>
  <c r="Q818" i="12843" s="1"/>
  <c r="S823" i="12843"/>
  <c r="U823" i="12843" s="1"/>
  <c r="O875" i="12843"/>
  <c r="Q875" i="12843" s="1"/>
  <c r="S874" i="12843"/>
  <c r="U874" i="12843" s="1"/>
  <c r="S717" i="12843"/>
  <c r="U717" i="12843" s="1"/>
  <c r="K319" i="12843"/>
  <c r="K353" i="12843"/>
  <c r="M353" i="12843" s="1"/>
  <c r="M411" i="12843"/>
  <c r="K423" i="12843"/>
  <c r="M423" i="12843" s="1"/>
  <c r="S677" i="12843"/>
  <c r="S718" i="12843"/>
  <c r="Q404" i="12843"/>
  <c r="O418" i="12843"/>
  <c r="Q418" i="12843" s="1"/>
  <c r="O346" i="12843"/>
  <c r="Q346" i="12843" s="1"/>
  <c r="S559" i="12843"/>
  <c r="U559" i="12843" s="1"/>
  <c r="O522" i="12843"/>
  <c r="Q522" i="12843" s="1"/>
  <c r="O416" i="12843"/>
  <c r="Q416" i="12843" s="1"/>
  <c r="M446" i="12843"/>
  <c r="K458" i="12843"/>
  <c r="M458" i="12843" s="1"/>
  <c r="Q403" i="12843"/>
  <c r="O417" i="12843"/>
  <c r="Q417" i="12843" s="1"/>
  <c r="O817" i="12843"/>
  <c r="Q817" i="12843" s="1"/>
  <c r="O823" i="12843"/>
  <c r="Q823" i="12843" s="1"/>
  <c r="S875" i="12843"/>
  <c r="U875" i="12843" s="1"/>
  <c r="O716" i="12843"/>
  <c r="S716" i="12843"/>
  <c r="O679" i="12843"/>
  <c r="O715" i="12843"/>
  <c r="Q715" i="12843" s="1"/>
  <c r="O680" i="12843"/>
  <c r="O819" i="12843"/>
  <c r="Q819" i="12843" s="1"/>
  <c r="O808" i="12843"/>
  <c r="O451" i="12843"/>
  <c r="Q451" i="12843" s="1"/>
  <c r="M389" i="12843"/>
  <c r="I495" i="12843"/>
  <c r="K284" i="12843"/>
  <c r="M284" i="12843" s="1"/>
  <c r="K529" i="12843"/>
  <c r="M529" i="12843" s="1"/>
  <c r="K161" i="12843"/>
  <c r="O175" i="12843"/>
  <c r="Q175" i="12843" s="1"/>
  <c r="O452" i="12843"/>
  <c r="Q452" i="12843" s="1"/>
  <c r="Q438" i="12843"/>
  <c r="F16" i="12843"/>
  <c r="K175" i="12843"/>
  <c r="M175" i="12843" s="1"/>
  <c r="O869" i="12843"/>
  <c r="Q869" i="12843" s="1"/>
  <c r="S719" i="12843"/>
  <c r="U719" i="12843" s="1"/>
  <c r="O678" i="12843"/>
  <c r="S678" i="12843"/>
  <c r="O279" i="12843"/>
  <c r="Q279" i="12843" s="1"/>
  <c r="S819" i="12843"/>
  <c r="U819" i="12843" s="1"/>
  <c r="S808" i="12843"/>
  <c r="O314" i="12843"/>
  <c r="S488" i="12843"/>
  <c r="O488" i="12843"/>
  <c r="O313" i="12843"/>
  <c r="O347" i="12843"/>
  <c r="U496" i="12843"/>
  <c r="F171" i="12843"/>
  <c r="F177" i="12843" s="1"/>
  <c r="U10" i="12764" s="1"/>
  <c r="C176" i="12843"/>
  <c r="Q176" i="12843" s="1"/>
  <c r="O866" i="12843"/>
  <c r="Q866" i="12843" s="1"/>
  <c r="K831" i="12843"/>
  <c r="M831" i="12843" s="1"/>
  <c r="S860" i="12843"/>
  <c r="S873" i="12843"/>
  <c r="U873" i="12843" s="1"/>
  <c r="S822" i="12843"/>
  <c r="U822" i="12843" s="1"/>
  <c r="O825" i="12843"/>
  <c r="Q825" i="12843" s="1"/>
  <c r="S877" i="12843"/>
  <c r="U877" i="12843" s="1"/>
  <c r="O559" i="12843"/>
  <c r="Q559" i="12843" s="1"/>
  <c r="S522" i="12843"/>
  <c r="U522" i="12843" s="1"/>
  <c r="O871" i="12843"/>
  <c r="Q871" i="12843" s="1"/>
  <c r="O859" i="12843"/>
  <c r="O814" i="12843"/>
  <c r="Q814" i="12843" s="1"/>
  <c r="K883" i="12843"/>
  <c r="M883" i="12843" s="1"/>
  <c r="S681" i="12843"/>
  <c r="S809" i="12843"/>
  <c r="S821" i="12843"/>
  <c r="O860" i="12843"/>
  <c r="O873" i="12843"/>
  <c r="Q873" i="12843" s="1"/>
  <c r="O822" i="12843"/>
  <c r="Q822" i="12843" s="1"/>
  <c r="O718" i="12843"/>
  <c r="S825" i="12843"/>
  <c r="U825" i="12843" s="1"/>
  <c r="O877" i="12843"/>
  <c r="Q877" i="12843" s="1"/>
  <c r="O453" i="12843"/>
  <c r="Q453" i="12843" s="1"/>
  <c r="Q439" i="12843"/>
  <c r="O524" i="12843"/>
  <c r="Q524" i="12843" s="1"/>
  <c r="S524" i="12843"/>
  <c r="U524" i="12843" s="1"/>
  <c r="S557" i="12843"/>
  <c r="U557" i="12843" s="1"/>
  <c r="U543" i="12843"/>
  <c r="O557" i="12843"/>
  <c r="Q557" i="12843" s="1"/>
  <c r="Q543" i="12843"/>
  <c r="S871" i="12843"/>
  <c r="U871" i="12843" s="1"/>
  <c r="S859" i="12843"/>
  <c r="O312" i="12843"/>
  <c r="M552" i="12843"/>
  <c r="K564" i="12843"/>
  <c r="M564" i="12843" s="1"/>
  <c r="U390" i="12843"/>
  <c r="C177" i="12843"/>
  <c r="O1222" i="12843" l="1"/>
  <c r="K1222" i="12843"/>
  <c r="F25" i="12843"/>
  <c r="Q489" i="12843"/>
  <c r="M376" i="12843"/>
  <c r="S824" i="12843"/>
  <c r="U824" i="12843" s="1"/>
  <c r="O523" i="12843"/>
  <c r="Q523" i="12843" s="1"/>
  <c r="Q368" i="12843"/>
  <c r="O879" i="12843"/>
  <c r="Q879" i="12843" s="1"/>
  <c r="M494" i="12843"/>
  <c r="O828" i="12843"/>
  <c r="Q828" i="12843" s="1"/>
  <c r="S876" i="12843"/>
  <c r="U876" i="12843" s="1"/>
  <c r="O876" i="12843"/>
  <c r="Q876" i="12843" s="1"/>
  <c r="U489" i="12843"/>
  <c r="S828" i="12843"/>
  <c r="U828" i="12843" s="1"/>
  <c r="S880" i="12843"/>
  <c r="U880" i="12843" s="1"/>
  <c r="O827" i="12843"/>
  <c r="Q827" i="12843" s="1"/>
  <c r="Q381" i="12843"/>
  <c r="Q383" i="12843"/>
  <c r="S879" i="12843"/>
  <c r="U879" i="12843" s="1"/>
  <c r="O824" i="12843"/>
  <c r="Q824" i="12843" s="1"/>
  <c r="S523" i="12843"/>
  <c r="U523" i="12843" s="1"/>
  <c r="O558" i="12843"/>
  <c r="Q558" i="12843" s="1"/>
  <c r="S827" i="12843"/>
  <c r="U827" i="12843" s="1"/>
  <c r="O880" i="12843"/>
  <c r="Q880" i="12843" s="1"/>
  <c r="U487" i="12843"/>
  <c r="S558" i="12843"/>
  <c r="U558" i="12843" s="1"/>
  <c r="K176" i="12843"/>
  <c r="M176" i="12843" s="1"/>
  <c r="Q382" i="12843"/>
  <c r="Q487" i="12843"/>
  <c r="Q369" i="12843"/>
  <c r="M388" i="12843"/>
  <c r="U488" i="12843" l="1"/>
  <c r="Q488" i="12843"/>
  <c r="K739" i="12843" l="1"/>
  <c r="K684" i="12843"/>
  <c r="K722" i="12843"/>
  <c r="K764" i="12843" l="1"/>
  <c r="K844" i="12843"/>
  <c r="K685" i="12843"/>
  <c r="K723" i="12843"/>
  <c r="K868" i="12843" l="1"/>
  <c r="M868" i="12843" s="1"/>
  <c r="U215" i="12843" l="1"/>
  <c r="Q1110" i="12843" l="1"/>
  <c r="U1107" i="12843"/>
  <c r="M1107" i="12843"/>
  <c r="M1110" i="12843"/>
  <c r="U1110" i="12843"/>
  <c r="Q1107" i="12843"/>
  <c r="O592" i="12843" l="1"/>
  <c r="O591" i="12843"/>
  <c r="K592" i="12843"/>
  <c r="K591" i="12843"/>
  <c r="M113" i="12843" l="1"/>
  <c r="M605" i="12843"/>
  <c r="Q113" i="12843"/>
  <c r="Q605" i="12843"/>
  <c r="U604" i="12843"/>
  <c r="K215" i="12843"/>
  <c r="K566" i="12843" s="1"/>
  <c r="M566" i="12843" s="1"/>
  <c r="U605" i="12843"/>
  <c r="U600" i="12843"/>
  <c r="M112" i="12843"/>
  <c r="Q112" i="12843"/>
  <c r="Q604" i="12843"/>
  <c r="Q111" i="12843"/>
  <c r="M144" i="12843"/>
  <c r="M142" i="12843"/>
  <c r="Q144" i="12843"/>
  <c r="M604" i="12843"/>
  <c r="Q143" i="12843"/>
  <c r="M143" i="12843"/>
  <c r="M600" i="12843"/>
  <c r="Q142" i="12843"/>
  <c r="Q600" i="12843"/>
  <c r="U906" i="12843"/>
  <c r="M906" i="12843"/>
  <c r="Q906" i="12843"/>
  <c r="K252" i="12843" l="1"/>
  <c r="K286" i="12843"/>
  <c r="M286" i="12843" s="1"/>
  <c r="K425" i="12843"/>
  <c r="M425" i="12843" s="1"/>
  <c r="K390" i="12843"/>
  <c r="K355" i="12843"/>
  <c r="K496" i="12843"/>
  <c r="K321" i="12843"/>
  <c r="K460" i="12843"/>
  <c r="M460" i="12843" s="1"/>
  <c r="M390" i="12843" s="1"/>
  <c r="K531" i="12843"/>
  <c r="M531" i="12843" s="1"/>
  <c r="M496" i="12843" s="1"/>
  <c r="M111" i="12843"/>
  <c r="K1236" i="12843"/>
  <c r="M591" i="12843" l="1"/>
  <c r="Q591" i="12843"/>
  <c r="Q592" i="12843"/>
  <c r="M592" i="12843"/>
  <c r="F116" i="12822"/>
  <c r="H116" i="12822" l="1"/>
  <c r="F115" i="12822"/>
  <c r="F123" i="12822"/>
  <c r="F119" i="12822"/>
  <c r="F126" i="12822"/>
  <c r="F122" i="12822"/>
  <c r="F118" i="12822"/>
  <c r="F125" i="12822"/>
  <c r="F121" i="12822"/>
  <c r="F117" i="12822"/>
  <c r="F124" i="12822"/>
  <c r="F120" i="12822"/>
  <c r="H122" i="12822" l="1"/>
  <c r="H117" i="12822"/>
  <c r="H118" i="12822"/>
  <c r="H126" i="12822"/>
  <c r="H120" i="12822"/>
  <c r="H124" i="12822"/>
  <c r="H119" i="12822"/>
  <c r="H123" i="12822"/>
  <c r="H115" i="12822"/>
  <c r="H121" i="12822"/>
  <c r="H125" i="12822"/>
  <c r="F127" i="12822"/>
  <c r="D117" i="12822"/>
  <c r="D121" i="12822"/>
  <c r="D125" i="12822"/>
  <c r="D126" i="12822"/>
  <c r="D124" i="12822"/>
  <c r="D123" i="12822"/>
  <c r="D122" i="12822"/>
  <c r="D120" i="12822"/>
  <c r="D119" i="12822"/>
  <c r="D118" i="12822"/>
  <c r="D116" i="12822"/>
  <c r="D115" i="12822"/>
  <c r="H127" i="12822" l="1"/>
  <c r="D127" i="12822"/>
  <c r="B127" i="12822"/>
  <c r="H49" i="12812" l="1"/>
  <c r="AD19" i="12775"/>
  <c r="M1041" i="12843"/>
  <c r="J49" i="12811"/>
  <c r="C1043" i="12843" l="1"/>
  <c r="Q1043" i="12843" s="1"/>
  <c r="F1041" i="12843"/>
  <c r="C1044" i="12843"/>
  <c r="M1043" i="12843" l="1"/>
  <c r="Q1037" i="12843"/>
  <c r="F1037" i="12843"/>
  <c r="U1037" i="12843"/>
  <c r="F1039" i="12843"/>
  <c r="M983" i="12843"/>
  <c r="M1077" i="12843" s="1"/>
  <c r="M926" i="12843" s="1"/>
  <c r="C986" i="12843"/>
  <c r="C985" i="12843"/>
  <c r="F983" i="12843"/>
  <c r="F1042" i="12843"/>
  <c r="M1042" i="12843"/>
  <c r="Q1034" i="12843"/>
  <c r="F1034" i="12843"/>
  <c r="C1036" i="12843"/>
  <c r="U1034" i="12843"/>
  <c r="C1077" i="12843"/>
  <c r="F1044" i="12843" l="1"/>
  <c r="M985" i="12843"/>
  <c r="M1079" i="12843" s="1"/>
  <c r="Q985" i="12843"/>
  <c r="Q1079" i="12843" s="1"/>
  <c r="C1079" i="12843"/>
  <c r="F1077" i="12843"/>
  <c r="C1080" i="12843"/>
  <c r="B99" i="12822" l="1"/>
  <c r="B100" i="12822"/>
  <c r="B101" i="12822"/>
  <c r="B102" i="12822"/>
  <c r="B103" i="12822"/>
  <c r="B104" i="12822"/>
  <c r="B105" i="12822"/>
  <c r="B106" i="12822"/>
  <c r="B107" i="12822"/>
  <c r="B108" i="12822"/>
  <c r="B109" i="12822"/>
  <c r="B98" i="12822"/>
  <c r="B81" i="12822"/>
  <c r="B82" i="12822"/>
  <c r="B83" i="12822"/>
  <c r="B84" i="12822"/>
  <c r="B85" i="12822"/>
  <c r="B86" i="12822"/>
  <c r="B87" i="12822"/>
  <c r="B88" i="12822"/>
  <c r="B89" i="12822"/>
  <c r="B90" i="12822"/>
  <c r="B91" i="12822"/>
  <c r="B80" i="12822"/>
  <c r="B47" i="12822"/>
  <c r="K63" i="12859" s="1"/>
  <c r="B48" i="12822"/>
  <c r="L63" i="12859" s="1"/>
  <c r="B49" i="12822"/>
  <c r="M63" i="12859" s="1"/>
  <c r="B50" i="12822"/>
  <c r="N63" i="12859" s="1"/>
  <c r="B51" i="12822"/>
  <c r="O63" i="12859" s="1"/>
  <c r="B52" i="12822"/>
  <c r="P63" i="12859" s="1"/>
  <c r="B53" i="12822"/>
  <c r="Q63" i="12859" s="1"/>
  <c r="B54" i="12822"/>
  <c r="R63" i="12859" s="1"/>
  <c r="B55" i="12822"/>
  <c r="S63" i="12859" s="1"/>
  <c r="B56" i="12822"/>
  <c r="T63" i="12859" s="1"/>
  <c r="B57" i="12822"/>
  <c r="U63" i="12859" s="1"/>
  <c r="B46" i="12822"/>
  <c r="J63" i="12859" s="1"/>
  <c r="B29" i="12822"/>
  <c r="K62" i="12859" s="1"/>
  <c r="B30" i="12822"/>
  <c r="L62" i="12859" s="1"/>
  <c r="B31" i="12822"/>
  <c r="M62" i="12859" s="1"/>
  <c r="B32" i="12822"/>
  <c r="N62" i="12859" s="1"/>
  <c r="B33" i="12822"/>
  <c r="O62" i="12859" s="1"/>
  <c r="B34" i="12822"/>
  <c r="P62" i="12859" s="1"/>
  <c r="B35" i="12822"/>
  <c r="Q62" i="12859" s="1"/>
  <c r="B36" i="12822"/>
  <c r="R62" i="12859" s="1"/>
  <c r="B37" i="12822"/>
  <c r="S62" i="12859" s="1"/>
  <c r="B38" i="12822"/>
  <c r="T62" i="12859" s="1"/>
  <c r="B39" i="12822"/>
  <c r="U62" i="12859" s="1"/>
  <c r="B28" i="12822"/>
  <c r="J62" i="12859" s="1"/>
  <c r="K61" i="12859"/>
  <c r="L61" i="12859"/>
  <c r="M61" i="12859"/>
  <c r="N61" i="12859"/>
  <c r="O61" i="12859"/>
  <c r="P61" i="12859"/>
  <c r="Q61" i="12859"/>
  <c r="R61" i="12859"/>
  <c r="S61" i="12859"/>
  <c r="T61" i="12859"/>
  <c r="U61" i="12859"/>
  <c r="J61" i="12859"/>
  <c r="V62" i="12859" l="1"/>
  <c r="V63" i="12859"/>
  <c r="V61" i="12859"/>
  <c r="B110" i="12822"/>
  <c r="J46" i="12811" l="1"/>
  <c r="H42" i="12837" l="1"/>
  <c r="N26" i="12837"/>
  <c r="T26" i="12837" s="1"/>
  <c r="N25" i="12837"/>
  <c r="T25" i="12837" s="1"/>
  <c r="N24" i="12837"/>
  <c r="T24" i="12837" s="1"/>
  <c r="N23" i="12837"/>
  <c r="T23" i="12837" s="1"/>
  <c r="B16" i="12837"/>
  <c r="B17" i="12837" s="1"/>
  <c r="F12" i="12837"/>
  <c r="H28" i="12837" l="1"/>
  <c r="H19" i="12837"/>
  <c r="J28" i="12837"/>
  <c r="H37" i="12837"/>
  <c r="H44" i="12837" s="1"/>
  <c r="H54" i="12837"/>
  <c r="H12" i="12837"/>
  <c r="J12" i="12837" s="1"/>
  <c r="N22" i="12837"/>
  <c r="B18" i="12837"/>
  <c r="B19" i="12837" s="1"/>
  <c r="H46" i="12837" l="1"/>
  <c r="H58" i="12837"/>
  <c r="N28" i="12837"/>
  <c r="T22" i="12837"/>
  <c r="B22" i="12837"/>
  <c r="B23" i="12837" s="1"/>
  <c r="L12" i="12837"/>
  <c r="B24" i="12837" l="1"/>
  <c r="B25" i="12837" s="1"/>
  <c r="N12" i="12837"/>
  <c r="P12" i="12837" s="1"/>
  <c r="T28" i="12837"/>
  <c r="R12" i="12837" l="1"/>
  <c r="T12" i="12837" s="1"/>
  <c r="V12" i="12837" s="1"/>
  <c r="B26" i="12837"/>
  <c r="B27" i="12837" l="1"/>
  <c r="B28" i="12837" s="1"/>
  <c r="B31" i="12837" l="1"/>
  <c r="B32" i="12837"/>
  <c r="B33" i="12837" s="1"/>
  <c r="B34" i="12837" l="1"/>
  <c r="B35" i="12837" s="1"/>
  <c r="B36" i="12837" s="1"/>
  <c r="B40" i="12837" s="1"/>
  <c r="B41" i="12837" s="1"/>
  <c r="B44" i="12837" s="1"/>
  <c r="B46" i="12837" s="1"/>
  <c r="B49" i="12837" s="1"/>
  <c r="B50" i="12837" s="1"/>
  <c r="B51" i="12837" s="1"/>
  <c r="B52" i="12837" s="1"/>
  <c r="B53" i="12837" s="1"/>
  <c r="B54" i="12837" s="1"/>
  <c r="B56" i="12837" s="1"/>
  <c r="B58" i="12837" s="1"/>
  <c r="P18" i="12837" l="1"/>
  <c r="P56" i="12837"/>
  <c r="P41" i="12837" l="1"/>
  <c r="P53" i="12837"/>
  <c r="P36" i="12837"/>
  <c r="P27" i="12837"/>
  <c r="N51" i="12837" l="1"/>
  <c r="T51" i="12837" s="1"/>
  <c r="N50" i="12837"/>
  <c r="T50" i="12837" s="1"/>
  <c r="N34" i="12837"/>
  <c r="T34" i="12837" s="1"/>
  <c r="J42" i="12837" l="1"/>
  <c r="N40" i="12837"/>
  <c r="N52" i="12837"/>
  <c r="T52" i="12837" s="1"/>
  <c r="N35" i="12837"/>
  <c r="T35" i="12837" s="1"/>
  <c r="N49" i="12837"/>
  <c r="N33" i="12837"/>
  <c r="T33" i="12837" s="1"/>
  <c r="J54" i="12837" l="1"/>
  <c r="N31" i="12837"/>
  <c r="N32" i="12837"/>
  <c r="T32" i="12837" s="1"/>
  <c r="N42" i="12837"/>
  <c r="T42" i="12837" s="1"/>
  <c r="T40" i="12837"/>
  <c r="N16" i="12837"/>
  <c r="T16" i="12837" s="1"/>
  <c r="T49" i="12837"/>
  <c r="N54" i="12837"/>
  <c r="T54" i="12837" l="1"/>
  <c r="T31" i="12837"/>
  <c r="N37" i="12837"/>
  <c r="J19" i="12837"/>
  <c r="N15" i="12837"/>
  <c r="J37" i="12837"/>
  <c r="J44" i="12837" l="1"/>
  <c r="J46" i="12837"/>
  <c r="J58" i="12837"/>
  <c r="N19" i="12837"/>
  <c r="T15" i="12837"/>
  <c r="T37" i="12837"/>
  <c r="N44" i="12837"/>
  <c r="N46" i="12837"/>
  <c r="T46" i="12837" l="1"/>
  <c r="T44" i="12837"/>
  <c r="N58" i="12837"/>
  <c r="T58" i="12837" s="1"/>
  <c r="T19" i="12837"/>
  <c r="R26" i="12837" l="1"/>
  <c r="P26" i="12837"/>
  <c r="V26" i="12837" s="1"/>
  <c r="P34" i="12774" l="1"/>
  <c r="F997" i="12843" l="1"/>
  <c r="Q997" i="12843"/>
  <c r="U997" i="12843"/>
  <c r="F1052" i="12843"/>
  <c r="Q1052" i="12843"/>
  <c r="C1089" i="12843"/>
  <c r="U1052" i="12843"/>
  <c r="C1054" i="12843"/>
  <c r="C1013" i="12843"/>
  <c r="F999" i="12843"/>
  <c r="Q1055" i="12843"/>
  <c r="C1092" i="12843"/>
  <c r="F1055" i="12843"/>
  <c r="U1055" i="12843"/>
  <c r="C1016" i="12843"/>
  <c r="F994" i="12843"/>
  <c r="Q994" i="12843"/>
  <c r="C996" i="12843"/>
  <c r="U994" i="12843"/>
  <c r="F1057" i="12843"/>
  <c r="C1094" i="12843"/>
  <c r="C1018" i="12843"/>
  <c r="F1002" i="12843"/>
  <c r="M1002" i="12843"/>
  <c r="M1060" i="12843"/>
  <c r="C1097" i="12843"/>
  <c r="F1060" i="12843"/>
  <c r="C1021" i="12843"/>
  <c r="F1094" i="12843" l="1"/>
  <c r="Q1092" i="12843"/>
  <c r="F1092" i="12843"/>
  <c r="F1097" i="12843"/>
  <c r="C371" i="12843"/>
  <c r="F1250" i="12843"/>
  <c r="C1253" i="12843"/>
  <c r="C1251" i="12843" s="1"/>
  <c r="I1250" i="12843"/>
  <c r="C621" i="12843"/>
  <c r="F663" i="12843"/>
  <c r="U663" i="12843"/>
  <c r="Q663" i="12843"/>
  <c r="F682" i="12843"/>
  <c r="F687" i="12843"/>
  <c r="M687" i="12843"/>
  <c r="F707" i="12843"/>
  <c r="F724" i="12843"/>
  <c r="M724" i="12843"/>
  <c r="F402" i="12843"/>
  <c r="C405" i="12843"/>
  <c r="C367" i="12843"/>
  <c r="Q402" i="12843"/>
  <c r="F333" i="12843"/>
  <c r="C336" i="12843"/>
  <c r="F72" i="12811" s="1"/>
  <c r="Q333" i="12843"/>
  <c r="F268" i="12843"/>
  <c r="F314" i="12843"/>
  <c r="C245" i="12843"/>
  <c r="C208" i="12843" s="1"/>
  <c r="Q314" i="12843"/>
  <c r="F802" i="12843"/>
  <c r="U802" i="12843"/>
  <c r="Q802" i="12843"/>
  <c r="F1018" i="12843"/>
  <c r="F1263" i="12843"/>
  <c r="F679" i="12843"/>
  <c r="F639" i="12843" s="1"/>
  <c r="U679" i="12843"/>
  <c r="Q679" i="12843"/>
  <c r="F703" i="12843"/>
  <c r="U703" i="12843"/>
  <c r="Q703" i="12843"/>
  <c r="F725" i="12843"/>
  <c r="M725" i="12843"/>
  <c r="F347" i="12843"/>
  <c r="Q347" i="12843"/>
  <c r="F334" i="12843"/>
  <c r="Q334" i="12843"/>
  <c r="F272" i="12843"/>
  <c r="M272" i="12843"/>
  <c r="F303" i="12843"/>
  <c r="C234" i="12843"/>
  <c r="C246" i="12843"/>
  <c r="C209" i="12843" s="1"/>
  <c r="F315" i="12843"/>
  <c r="F791" i="12843"/>
  <c r="Q791" i="12843"/>
  <c r="F1016" i="12843"/>
  <c r="F1013" i="12843"/>
  <c r="C1237" i="12843"/>
  <c r="C1236" i="12843" s="1"/>
  <c r="F1234" i="12843"/>
  <c r="F1237" i="12843" s="1"/>
  <c r="U55" i="12764" s="1"/>
  <c r="F1271" i="12843"/>
  <c r="H40" i="12783"/>
  <c r="I41" i="12831"/>
  <c r="F677" i="12843"/>
  <c r="F637" i="12843" s="1"/>
  <c r="U677" i="12843"/>
  <c r="Q677" i="12843"/>
  <c r="F701" i="12843"/>
  <c r="U701" i="12843"/>
  <c r="Q701" i="12843"/>
  <c r="F718" i="12843"/>
  <c r="Q718" i="12843"/>
  <c r="U718" i="12843"/>
  <c r="F669" i="12843"/>
  <c r="C627" i="12843"/>
  <c r="F335" i="12843"/>
  <c r="Q335" i="12843"/>
  <c r="F341" i="12843"/>
  <c r="M341" i="12843"/>
  <c r="F301" i="12843"/>
  <c r="C232" i="12843"/>
  <c r="C191" i="12843" s="1"/>
  <c r="Q191" i="12843" s="1"/>
  <c r="Q301" i="12843"/>
  <c r="C250" i="12843"/>
  <c r="C213" i="12843" s="1"/>
  <c r="F319" i="12843"/>
  <c r="F250" i="12843" s="1"/>
  <c r="F213" i="12843" s="1"/>
  <c r="M319" i="12843"/>
  <c r="M250" i="12843" s="1"/>
  <c r="F1021" i="12843"/>
  <c r="F1272" i="12843"/>
  <c r="C624" i="12843"/>
  <c r="F666" i="12843"/>
  <c r="U666" i="12843"/>
  <c r="Q666" i="12843"/>
  <c r="F683" i="12843"/>
  <c r="F688" i="12843"/>
  <c r="Q688" i="12843"/>
  <c r="U688" i="12843"/>
  <c r="F709" i="12843"/>
  <c r="C712" i="12843"/>
  <c r="M709" i="12843"/>
  <c r="F720" i="12843"/>
  <c r="F673" i="12843"/>
  <c r="C631" i="12843"/>
  <c r="M673" i="12843"/>
  <c r="F548" i="12843"/>
  <c r="F437" i="12843"/>
  <c r="C440" i="12843"/>
  <c r="Q437" i="12843"/>
  <c r="F337" i="12843"/>
  <c r="C1191" i="12843"/>
  <c r="F1264" i="12843"/>
  <c r="F1286" i="12843"/>
  <c r="F661" i="12843"/>
  <c r="C619" i="12843"/>
  <c r="C664" i="12843"/>
  <c r="F46" i="12811" s="1"/>
  <c r="U661" i="12843"/>
  <c r="Q661" i="12843"/>
  <c r="F665" i="12843"/>
  <c r="C623" i="12843"/>
  <c r="Q665" i="12843"/>
  <c r="U665" i="12843"/>
  <c r="F680" i="12843"/>
  <c r="Q680" i="12843"/>
  <c r="U680" i="12843"/>
  <c r="F684" i="12843"/>
  <c r="M684" i="12843"/>
  <c r="F699" i="12843"/>
  <c r="C702" i="12843"/>
  <c r="F77" i="12811" s="1"/>
  <c r="Q699" i="12843"/>
  <c r="U699" i="12843"/>
  <c r="F704" i="12843"/>
  <c r="Q704" i="12843"/>
  <c r="U704" i="12843"/>
  <c r="F711" i="12843"/>
  <c r="M711" i="12843"/>
  <c r="F721" i="12843"/>
  <c r="F726" i="12843"/>
  <c r="Q726" i="12843"/>
  <c r="U726" i="12843"/>
  <c r="F545" i="12843"/>
  <c r="U545" i="12843"/>
  <c r="Q545" i="12843"/>
  <c r="C342" i="12843"/>
  <c r="F338" i="12843"/>
  <c r="F348" i="12843"/>
  <c r="Q348" i="12843"/>
  <c r="F265" i="12843"/>
  <c r="Q265" i="12843"/>
  <c r="F264" i="12843"/>
  <c r="Q264" i="12843"/>
  <c r="F307" i="12843"/>
  <c r="C238" i="12843"/>
  <c r="M307" i="12843"/>
  <c r="F312" i="12843"/>
  <c r="F243" i="12843" s="1"/>
  <c r="F206" i="12843" s="1"/>
  <c r="C243" i="12843"/>
  <c r="C206" i="12843" s="1"/>
  <c r="Q312" i="12843"/>
  <c r="Q243" i="12843" s="1"/>
  <c r="C1091" i="12843"/>
  <c r="F81" i="12811" s="1"/>
  <c r="C1015" i="12843"/>
  <c r="Q1089" i="12843"/>
  <c r="F1267" i="12843"/>
  <c r="F1287" i="12843"/>
  <c r="C620" i="12843"/>
  <c r="F662" i="12843"/>
  <c r="Q662" i="12843"/>
  <c r="U662" i="12843"/>
  <c r="F678" i="12843"/>
  <c r="Q678" i="12843"/>
  <c r="U678" i="12843"/>
  <c r="F681" i="12843"/>
  <c r="F641" i="12843" s="1"/>
  <c r="U681" i="12843"/>
  <c r="Q681" i="12843"/>
  <c r="F686" i="12843"/>
  <c r="M686" i="12843"/>
  <c r="F700" i="12843"/>
  <c r="Q700" i="12843"/>
  <c r="U700" i="12843"/>
  <c r="F706" i="12843"/>
  <c r="F716" i="12843"/>
  <c r="Q716" i="12843"/>
  <c r="U716" i="12843"/>
  <c r="C727" i="12843"/>
  <c r="C647" i="12843" s="1"/>
  <c r="F722" i="12843"/>
  <c r="M722" i="12843"/>
  <c r="F668" i="12843"/>
  <c r="C626" i="12843"/>
  <c r="C546" i="12843"/>
  <c r="F544" i="12843"/>
  <c r="Q544" i="12843"/>
  <c r="U544" i="12843"/>
  <c r="F349" i="12843"/>
  <c r="F266" i="12843"/>
  <c r="Q266" i="12843"/>
  <c r="F299" i="12843"/>
  <c r="C302" i="12843"/>
  <c r="F41" i="12811" s="1"/>
  <c r="C230" i="12843"/>
  <c r="Q299" i="12843"/>
  <c r="C231" i="12843"/>
  <c r="C190" i="12843" s="1"/>
  <c r="Q190" i="12843" s="1"/>
  <c r="F300" i="12843"/>
  <c r="Q300" i="12843"/>
  <c r="F313" i="12843"/>
  <c r="C244" i="12843"/>
  <c r="C207" i="12843" s="1"/>
  <c r="Q313" i="12843"/>
  <c r="F800" i="12843"/>
  <c r="U800" i="12843"/>
  <c r="Q800" i="12843"/>
  <c r="M1097" i="12843"/>
  <c r="U1092" i="12843"/>
  <c r="U1089" i="12843"/>
  <c r="F1089" i="12843"/>
  <c r="M1247" i="12843" l="1"/>
  <c r="U1248" i="12843"/>
  <c r="U1247" i="12843"/>
  <c r="Q1248" i="12843"/>
  <c r="Q108" i="12843"/>
  <c r="F244" i="12843"/>
  <c r="F207" i="12843" s="1"/>
  <c r="M1248" i="12843"/>
  <c r="M108" i="12843"/>
  <c r="Q1247" i="12843"/>
  <c r="U108" i="12843"/>
  <c r="M1161" i="12843"/>
  <c r="M1292" i="12843"/>
  <c r="Q1292" i="12843"/>
  <c r="Q1161" i="12843"/>
  <c r="F642" i="12843"/>
  <c r="F245" i="12843"/>
  <c r="F208" i="12843" s="1"/>
  <c r="F626" i="12843"/>
  <c r="Q245" i="12843"/>
  <c r="F646" i="12843"/>
  <c r="Q230" i="12843"/>
  <c r="F627" i="12843"/>
  <c r="F623" i="12843"/>
  <c r="F234" i="12843"/>
  <c r="F648" i="12843"/>
  <c r="F643" i="12843"/>
  <c r="Q232" i="12843"/>
  <c r="F644" i="12843"/>
  <c r="F979" i="12843"/>
  <c r="F1073" i="12843" s="1"/>
  <c r="C959" i="12843"/>
  <c r="Q979" i="12843"/>
  <c r="Q1073" i="12843" s="1"/>
  <c r="U979" i="12843"/>
  <c r="U1073" i="12843" s="1"/>
  <c r="C1073" i="12843"/>
  <c r="H37" i="12783"/>
  <c r="I38" i="12831"/>
  <c r="I39" i="12831"/>
  <c r="F1210" i="12843"/>
  <c r="C1062" i="12843"/>
  <c r="C1061" i="12843"/>
  <c r="M1059" i="12843"/>
  <c r="C1096" i="12843"/>
  <c r="F1059" i="12843"/>
  <c r="C1020" i="12843"/>
  <c r="F1293" i="12843"/>
  <c r="U57" i="12764" s="1"/>
  <c r="F367" i="12843"/>
  <c r="C370" i="12843"/>
  <c r="F900" i="12843"/>
  <c r="F1128" i="12843"/>
  <c r="F1136" i="12843"/>
  <c r="Q244" i="12843"/>
  <c r="Q355" i="12843"/>
  <c r="F355" i="12843"/>
  <c r="U355" i="12843"/>
  <c r="M355" i="12843"/>
  <c r="F793" i="12843"/>
  <c r="Q793" i="12843"/>
  <c r="I793" i="12843"/>
  <c r="U793" i="12843"/>
  <c r="M793" i="12843"/>
  <c r="M238" i="12843"/>
  <c r="C622" i="12843"/>
  <c r="H39" i="12783"/>
  <c r="I40" i="12831"/>
  <c r="F238" i="12843"/>
  <c r="F647" i="12843"/>
  <c r="F908" i="12843"/>
  <c r="F902" i="12843"/>
  <c r="C964" i="12843"/>
  <c r="M984" i="12843"/>
  <c r="M1078" i="12843" s="1"/>
  <c r="F984" i="12843"/>
  <c r="F1078" i="12843" s="1"/>
  <c r="C1078" i="12843"/>
  <c r="F1129" i="12843"/>
  <c r="F1137" i="12843"/>
  <c r="F1208" i="12843"/>
  <c r="F231" i="12843"/>
  <c r="F190" i="12843" s="1"/>
  <c r="F1248" i="12843"/>
  <c r="Q342" i="12843"/>
  <c r="M342" i="12843"/>
  <c r="F549" i="12843"/>
  <c r="C553" i="12843"/>
  <c r="C570" i="12843"/>
  <c r="Q689" i="12843"/>
  <c r="M689" i="12843"/>
  <c r="F619" i="12843"/>
  <c r="Q712" i="12843"/>
  <c r="M712" i="12843"/>
  <c r="F351" i="12843"/>
  <c r="C357" i="12843"/>
  <c r="Q367" i="12843"/>
  <c r="F905" i="12843"/>
  <c r="F1111" i="12843"/>
  <c r="F923" i="12843" s="1"/>
  <c r="C923" i="12843"/>
  <c r="F1135" i="12843"/>
  <c r="F1206" i="12843"/>
  <c r="F1219" i="12843"/>
  <c r="F1189" i="12843" s="1"/>
  <c r="I1219" i="12843"/>
  <c r="C1189" i="12843"/>
  <c r="C1224" i="12843"/>
  <c r="C413" i="12843"/>
  <c r="F409" i="12843"/>
  <c r="C374" i="12843"/>
  <c r="F374" i="12843" s="1"/>
  <c r="F232" i="12843"/>
  <c r="F191" i="12843" s="1"/>
  <c r="F246" i="12843"/>
  <c r="F209" i="12843" s="1"/>
  <c r="F907" i="12843"/>
  <c r="C961" i="12843"/>
  <c r="F981" i="12843"/>
  <c r="F1075" i="12843" s="1"/>
  <c r="C1075" i="12843"/>
  <c r="F1112" i="12843"/>
  <c r="F1207" i="12843"/>
  <c r="Q231" i="12843"/>
  <c r="C343" i="12843"/>
  <c r="F339" i="12843"/>
  <c r="F443" i="12843"/>
  <c r="F464" i="12843" s="1"/>
  <c r="U35" i="12764" s="1"/>
  <c r="C464" i="12843"/>
  <c r="C379" i="12843" s="1"/>
  <c r="C447" i="12843"/>
  <c r="C1190" i="12843"/>
  <c r="F631" i="12843"/>
  <c r="F350" i="12843"/>
  <c r="C356" i="12843"/>
  <c r="F621" i="12843"/>
  <c r="F897" i="12843"/>
  <c r="C899" i="12843"/>
  <c r="F80" i="12811" s="1"/>
  <c r="F909" i="12843"/>
  <c r="C978" i="12843"/>
  <c r="U976" i="12843"/>
  <c r="U1070" i="12843" s="1"/>
  <c r="F976" i="12843"/>
  <c r="C956" i="12843"/>
  <c r="Q976" i="12843"/>
  <c r="Q1070" i="12843" s="1"/>
  <c r="C1070" i="12843"/>
  <c r="F1108" i="12843"/>
  <c r="C1109" i="12843"/>
  <c r="F82" i="12811" s="1"/>
  <c r="C920" i="12843"/>
  <c r="F1132" i="12843"/>
  <c r="C1179" i="12843"/>
  <c r="C1177" i="12843" s="1"/>
  <c r="I1174" i="12843"/>
  <c r="F1174" i="12843"/>
  <c r="F1179" i="12843" s="1"/>
  <c r="U53" i="12764" s="1"/>
  <c r="F1205" i="12843"/>
  <c r="F1209" i="12843"/>
  <c r="C323" i="12843"/>
  <c r="C248" i="12843"/>
  <c r="F317" i="12843"/>
  <c r="C233" i="12843"/>
  <c r="C189" i="12843"/>
  <c r="F408" i="12843"/>
  <c r="C373" i="12843"/>
  <c r="F373" i="12843" s="1"/>
  <c r="C412" i="12843"/>
  <c r="C554" i="12843"/>
  <c r="F550" i="12843"/>
  <c r="M727" i="12843"/>
  <c r="Q727" i="12843"/>
  <c r="F638" i="12843"/>
  <c r="F620" i="12843"/>
  <c r="C1004" i="12843"/>
  <c r="M1001" i="12843"/>
  <c r="C1003" i="12843"/>
  <c r="F1001" i="12843"/>
  <c r="F1004" i="12843" s="1"/>
  <c r="C963" i="12843"/>
  <c r="C322" i="12843"/>
  <c r="C247" i="12843"/>
  <c r="F316" i="12843"/>
  <c r="F230" i="12843"/>
  <c r="F354" i="12843"/>
  <c r="M354" i="12843"/>
  <c r="I354" i="12843"/>
  <c r="F640" i="12843"/>
  <c r="C1249" i="12843"/>
  <c r="F53" i="12811" s="1"/>
  <c r="F1247" i="12843"/>
  <c r="F624" i="12843"/>
  <c r="F320" i="12843"/>
  <c r="C251" i="12843"/>
  <c r="C214" i="12843" s="1"/>
  <c r="M320" i="12843"/>
  <c r="I320" i="12843"/>
  <c r="U321" i="12843"/>
  <c r="Q321" i="12843"/>
  <c r="C252" i="12843"/>
  <c r="C215" i="12843" s="1"/>
  <c r="F321" i="12843"/>
  <c r="M321" i="12843"/>
  <c r="M251" i="12843" l="1"/>
  <c r="I30" i="12831"/>
  <c r="H29" i="12783"/>
  <c r="Q1108" i="12843"/>
  <c r="U1108" i="12843"/>
  <c r="U1111" i="12843"/>
  <c r="M1115" i="12843"/>
  <c r="M1116" i="12843"/>
  <c r="Q1111" i="12843"/>
  <c r="C743" i="12843"/>
  <c r="I44" i="12831"/>
  <c r="F251" i="12843"/>
  <c r="F214" i="12843" s="1"/>
  <c r="F1253" i="12843"/>
  <c r="U27" i="12764" s="1"/>
  <c r="C796" i="12843"/>
  <c r="F104" i="12811" s="1"/>
  <c r="Q252" i="12843"/>
  <c r="C744" i="12843"/>
  <c r="M252" i="12843"/>
  <c r="F248" i="12843"/>
  <c r="F211" i="12843" s="1"/>
  <c r="F570" i="12843"/>
  <c r="U36" i="12764" s="1"/>
  <c r="C1099" i="12843"/>
  <c r="C750" i="12843"/>
  <c r="F804" i="12843"/>
  <c r="Q804" i="12843"/>
  <c r="U804" i="12843"/>
  <c r="F845" i="12843"/>
  <c r="Q845" i="12843"/>
  <c r="F856" i="12843"/>
  <c r="U856" i="12843"/>
  <c r="Q856" i="12843"/>
  <c r="Q447" i="12843"/>
  <c r="M447" i="12843"/>
  <c r="F685" i="12843"/>
  <c r="M685" i="12843"/>
  <c r="F964" i="12843"/>
  <c r="F946" i="12843" s="1"/>
  <c r="C946" i="12843"/>
  <c r="C927" i="12843" s="1"/>
  <c r="C751" i="12843"/>
  <c r="F805" i="12843"/>
  <c r="U805" i="12843"/>
  <c r="Q805" i="12843"/>
  <c r="F846" i="12843"/>
  <c r="Q846" i="12843"/>
  <c r="F857" i="12843"/>
  <c r="U857" i="12843"/>
  <c r="Q857" i="12843"/>
  <c r="M322" i="12843"/>
  <c r="Q322" i="12843"/>
  <c r="Q1003" i="12843"/>
  <c r="M1003" i="12843"/>
  <c r="C965" i="12843"/>
  <c r="F1115" i="12843"/>
  <c r="C938" i="12843"/>
  <c r="C919" i="12843" s="1"/>
  <c r="F956" i="12843"/>
  <c r="F938" i="12843" s="1"/>
  <c r="F919" i="12843" s="1"/>
  <c r="C1072" i="12843"/>
  <c r="C958" i="12843"/>
  <c r="C249" i="12843"/>
  <c r="C324" i="12843"/>
  <c r="Q324" i="12843" s="1"/>
  <c r="F318" i="12843"/>
  <c r="F1162" i="12843"/>
  <c r="U56" i="12764" s="1"/>
  <c r="F794" i="12843"/>
  <c r="C740" i="12843"/>
  <c r="Q794" i="12843"/>
  <c r="F806" i="12843"/>
  <c r="C752" i="12843"/>
  <c r="U806" i="12843"/>
  <c r="Q806" i="12843"/>
  <c r="F842" i="12843"/>
  <c r="Q842" i="12843"/>
  <c r="C737" i="12843"/>
  <c r="F854" i="12843"/>
  <c r="Q854" i="12843"/>
  <c r="U854" i="12843"/>
  <c r="F859" i="12843"/>
  <c r="U859" i="12843"/>
  <c r="Q859" i="12843"/>
  <c r="F252" i="12843"/>
  <c r="F215" i="12843" s="1"/>
  <c r="U252" i="12843"/>
  <c r="H30" i="12783"/>
  <c r="I31" i="12831"/>
  <c r="F247" i="12843"/>
  <c r="F210" i="12843" s="1"/>
  <c r="C945" i="12843"/>
  <c r="C926" i="12843" s="1"/>
  <c r="F963" i="12843"/>
  <c r="C967" i="12843"/>
  <c r="Q412" i="12843"/>
  <c r="M412" i="12843"/>
  <c r="C192" i="12843"/>
  <c r="Q189" i="12843"/>
  <c r="C254" i="12843"/>
  <c r="C211" i="12843"/>
  <c r="C217" i="12843" s="1"/>
  <c r="F1190" i="12843"/>
  <c r="F920" i="12843"/>
  <c r="F1070" i="12843"/>
  <c r="F986" i="12843"/>
  <c r="F1080" i="12843" s="1"/>
  <c r="U25" i="12764" s="1"/>
  <c r="F1224" i="12843"/>
  <c r="Q343" i="12843"/>
  <c r="M343" i="12843"/>
  <c r="M357" i="12843"/>
  <c r="Q357" i="12843"/>
  <c r="Q553" i="12843"/>
  <c r="M553" i="12843"/>
  <c r="C728" i="12843"/>
  <c r="C648" i="12843" s="1"/>
  <c r="F723" i="12843"/>
  <c r="M723" i="12843"/>
  <c r="F340" i="12843"/>
  <c r="C344" i="12843"/>
  <c r="C359" i="12843"/>
  <c r="C1116" i="12843"/>
  <c r="F1114" i="12843"/>
  <c r="C1118" i="12843"/>
  <c r="H25" i="12783"/>
  <c r="I26" i="12831"/>
  <c r="F189" i="12843"/>
  <c r="C910" i="12843"/>
  <c r="C911" i="12843" s="1"/>
  <c r="F904" i="12843"/>
  <c r="F911" i="12843" s="1"/>
  <c r="U38" i="12764" s="1"/>
  <c r="F809" i="12843"/>
  <c r="C755" i="12843"/>
  <c r="Q809" i="12843"/>
  <c r="U809" i="12843"/>
  <c r="F851" i="12843"/>
  <c r="F746" i="12843" s="1"/>
  <c r="Q851" i="12843"/>
  <c r="U851" i="12843"/>
  <c r="C746" i="12843"/>
  <c r="C253" i="12843"/>
  <c r="C210" i="12843"/>
  <c r="C216" i="12843" s="1"/>
  <c r="M554" i="12843"/>
  <c r="Q554" i="12843"/>
  <c r="I28" i="12831"/>
  <c r="H27" i="12783"/>
  <c r="M356" i="12843"/>
  <c r="Q356" i="12843"/>
  <c r="C1193" i="12843"/>
  <c r="C1192" i="12843" s="1"/>
  <c r="C1222" i="12843"/>
  <c r="F1096" i="12843"/>
  <c r="F1062" i="12843"/>
  <c r="F1099" i="12843" s="1"/>
  <c r="U39" i="12764" s="1"/>
  <c r="M1061" i="12843"/>
  <c r="Q1061" i="12843"/>
  <c r="C1098" i="12843"/>
  <c r="F959" i="12843"/>
  <c r="F941" i="12843" s="1"/>
  <c r="F922" i="12843" s="1"/>
  <c r="C941" i="12843"/>
  <c r="C922" i="12843" s="1"/>
  <c r="C758" i="12843"/>
  <c r="F812" i="12843"/>
  <c r="M812" i="12843"/>
  <c r="F830" i="12843"/>
  <c r="F778" i="12843" s="1"/>
  <c r="C778" i="12843"/>
  <c r="C782" i="12843" s="1"/>
  <c r="F853" i="12843"/>
  <c r="F748" i="12843" s="1"/>
  <c r="U853" i="12843"/>
  <c r="Q853" i="12843"/>
  <c r="C748" i="12843"/>
  <c r="F863" i="12843"/>
  <c r="M863" i="12843"/>
  <c r="C358" i="12843"/>
  <c r="F352" i="12843"/>
  <c r="F795" i="12843"/>
  <c r="C741" i="12843"/>
  <c r="Q795" i="12843"/>
  <c r="C754" i="12843"/>
  <c r="F808" i="12843"/>
  <c r="Q808" i="12843"/>
  <c r="U808" i="12843"/>
  <c r="F803" i="12843"/>
  <c r="C749" i="12843"/>
  <c r="U803" i="12843"/>
  <c r="Q803" i="12843"/>
  <c r="F821" i="12843"/>
  <c r="F769" i="12843" s="1"/>
  <c r="C769" i="12843"/>
  <c r="U821" i="12843"/>
  <c r="Q821" i="12843"/>
  <c r="F855" i="12843"/>
  <c r="Q855" i="12843"/>
  <c r="U855" i="12843"/>
  <c r="F860" i="12843"/>
  <c r="U860" i="12843"/>
  <c r="Q860" i="12843"/>
  <c r="I251" i="12843"/>
  <c r="I214" i="12843" s="1"/>
  <c r="M323" i="12843"/>
  <c r="Q323" i="12843"/>
  <c r="C943" i="12843"/>
  <c r="C924" i="12843" s="1"/>
  <c r="F961" i="12843"/>
  <c r="F943" i="12843" s="1"/>
  <c r="F924" i="12843" s="1"/>
  <c r="Q413" i="12843"/>
  <c r="Q378" i="12843" s="1"/>
  <c r="M413" i="12843"/>
  <c r="M378" i="12843" s="1"/>
  <c r="F710" i="12843"/>
  <c r="C713" i="12843"/>
  <c r="M710" i="12843"/>
  <c r="C729" i="12843"/>
  <c r="C1024" i="12843"/>
  <c r="C1022" i="12843"/>
  <c r="F1020" i="12843"/>
  <c r="F1024" i="12843" s="1"/>
  <c r="M1096" i="12843"/>
  <c r="C15" i="12859"/>
  <c r="I15" i="12859" s="1"/>
  <c r="K88" i="12811"/>
  <c r="C940" i="12843" l="1"/>
  <c r="H28" i="12783" s="1"/>
  <c r="F49" i="12811"/>
  <c r="F1193" i="12843"/>
  <c r="U54" i="12764"/>
  <c r="Q1116" i="12843"/>
  <c r="Q139" i="12843"/>
  <c r="M139" i="12843"/>
  <c r="M89" i="12843" s="1"/>
  <c r="U139" i="12843"/>
  <c r="F1118" i="12843"/>
  <c r="U40" i="12764" s="1"/>
  <c r="M377" i="12843"/>
  <c r="F752" i="12843"/>
  <c r="F741" i="12843"/>
  <c r="F249" i="12843"/>
  <c r="F212" i="12843" s="1"/>
  <c r="M1098" i="12843"/>
  <c r="F645" i="12843"/>
  <c r="F729" i="12843"/>
  <c r="U37" i="12764" s="1"/>
  <c r="F359" i="12843"/>
  <c r="U34" i="12764" s="1"/>
  <c r="F740" i="12843"/>
  <c r="Q377" i="12843"/>
  <c r="Q1098" i="12843"/>
  <c r="C947" i="12843"/>
  <c r="F751" i="12843"/>
  <c r="F844" i="12843"/>
  <c r="F739" i="12843" s="1"/>
  <c r="I844" i="12843"/>
  <c r="I739" i="12843" s="1"/>
  <c r="Q844" i="12843"/>
  <c r="U844" i="12843"/>
  <c r="M844" i="12843"/>
  <c r="C739" i="12843"/>
  <c r="F967" i="12843"/>
  <c r="F948" i="12843" s="1"/>
  <c r="F945" i="12843"/>
  <c r="F926" i="12843" s="1"/>
  <c r="F737" i="12843"/>
  <c r="C212" i="12843"/>
  <c r="C218" i="12843" s="1"/>
  <c r="C255" i="12843"/>
  <c r="F832" i="12843"/>
  <c r="F780" i="12843" s="1"/>
  <c r="C780" i="12843"/>
  <c r="I832" i="12843"/>
  <c r="I780" i="12843" s="1"/>
  <c r="M832" i="12843"/>
  <c r="M358" i="12843"/>
  <c r="Q358" i="12843"/>
  <c r="Q728" i="12843"/>
  <c r="M728" i="12843"/>
  <c r="C847" i="12843"/>
  <c r="F754" i="12843"/>
  <c r="C764" i="12843"/>
  <c r="F816" i="12843"/>
  <c r="F764" i="12843" s="1"/>
  <c r="Q816" i="12843"/>
  <c r="I816" i="12843"/>
  <c r="I764" i="12843" s="1"/>
  <c r="M816" i="12843"/>
  <c r="U816" i="12843"/>
  <c r="C948" i="12843"/>
  <c r="Q690" i="12843"/>
  <c r="M690" i="12843"/>
  <c r="Q1192" i="12843"/>
  <c r="M1192" i="12843"/>
  <c r="Q713" i="12843"/>
  <c r="M713" i="12843"/>
  <c r="F749" i="12843"/>
  <c r="F758" i="12843"/>
  <c r="C887" i="12843"/>
  <c r="F862" i="12843"/>
  <c r="C864" i="12843"/>
  <c r="F755" i="12843"/>
  <c r="M344" i="12843"/>
  <c r="Q344" i="12843"/>
  <c r="F927" i="12843"/>
  <c r="F750" i="12843"/>
  <c r="C742" i="12843" l="1"/>
  <c r="I27" i="12831" s="1"/>
  <c r="F105" i="12811"/>
  <c r="C921" i="12843"/>
  <c r="I29" i="12831"/>
  <c r="M23" i="12843"/>
  <c r="Q23" i="12843"/>
  <c r="F887" i="12843"/>
  <c r="U48" i="12764" s="1"/>
  <c r="F929" i="12843"/>
  <c r="C929" i="12843"/>
  <c r="C928" i="12843"/>
  <c r="M864" i="12843"/>
  <c r="Q864" i="12843"/>
  <c r="H26" i="12783" l="1"/>
  <c r="E66" i="12763"/>
  <c r="E67" i="12763" s="1"/>
  <c r="E30" i="12763"/>
  <c r="E58" i="12763" l="1"/>
  <c r="E107" i="12763"/>
  <c r="E108" i="12763" s="1"/>
  <c r="G127" i="12812" l="1"/>
  <c r="D140" i="12812"/>
  <c r="D138" i="12812"/>
  <c r="D137" i="12812"/>
  <c r="D136" i="12812"/>
  <c r="D134" i="12812"/>
  <c r="D131" i="12812"/>
  <c r="D130" i="12812"/>
  <c r="D129" i="12812"/>
  <c r="D128" i="12812"/>
  <c r="D127" i="12812"/>
  <c r="D94" i="12812"/>
  <c r="D92" i="12812"/>
  <c r="D91" i="12812"/>
  <c r="D90" i="12812"/>
  <c r="D88" i="12812"/>
  <c r="D85" i="12812"/>
  <c r="D80" i="12812"/>
  <c r="D77" i="12812"/>
  <c r="D74" i="12812"/>
  <c r="D73" i="12812"/>
  <c r="D72" i="12812"/>
  <c r="G140" i="12811"/>
  <c r="AC44" i="12775" s="1"/>
  <c r="G138" i="12811"/>
  <c r="G137" i="12811"/>
  <c r="G136" i="12811"/>
  <c r="G134" i="12811"/>
  <c r="G131" i="12811"/>
  <c r="G130" i="12811"/>
  <c r="G129" i="12811"/>
  <c r="G128" i="12811"/>
  <c r="G127" i="12811"/>
  <c r="G126" i="12811"/>
  <c r="G120" i="12811"/>
  <c r="AC37" i="12775" s="1"/>
  <c r="G117" i="12811"/>
  <c r="G115" i="12811"/>
  <c r="G114" i="12811"/>
  <c r="G113" i="12811"/>
  <c r="G112" i="12811"/>
  <c r="G111" i="12811"/>
  <c r="G110" i="12811"/>
  <c r="G108" i="12811"/>
  <c r="G64" i="12811"/>
  <c r="G63" i="12811"/>
  <c r="G62" i="12811"/>
  <c r="G61" i="12811"/>
  <c r="G60" i="12811"/>
  <c r="G59" i="12811"/>
  <c r="G58" i="12811"/>
  <c r="G56" i="12811"/>
  <c r="G50" i="12811"/>
  <c r="G47" i="12811"/>
  <c r="G34" i="12811"/>
  <c r="G33" i="12811"/>
  <c r="G32" i="12811"/>
  <c r="G31" i="12811"/>
  <c r="G30" i="12811"/>
  <c r="G29" i="12811"/>
  <c r="G28" i="12811"/>
  <c r="G27" i="12811"/>
  <c r="G25" i="12811"/>
  <c r="J51" i="12859" l="1"/>
  <c r="G44" i="12811"/>
  <c r="G54" i="12811"/>
  <c r="J52" i="12859" l="1"/>
  <c r="R55" i="12859"/>
  <c r="P52" i="12859"/>
  <c r="M55" i="12859"/>
  <c r="L53" i="12859"/>
  <c r="S54" i="12859"/>
  <c r="U57" i="12859"/>
  <c r="U67" i="12859" s="1"/>
  <c r="U53" i="12859"/>
  <c r="U55" i="12859"/>
  <c r="T53" i="12859"/>
  <c r="O53" i="12859"/>
  <c r="N57" i="12859"/>
  <c r="N67" i="12859" s="1"/>
  <c r="J57" i="12859"/>
  <c r="T54" i="12859"/>
  <c r="J54" i="12859"/>
  <c r="L52" i="12859"/>
  <c r="L54" i="12859"/>
  <c r="J53" i="12859"/>
  <c r="U52" i="12859"/>
  <c r="Q53" i="12859"/>
  <c r="K57" i="12859"/>
  <c r="K67" i="12859" s="1"/>
  <c r="K54" i="12859"/>
  <c r="M53" i="12859"/>
  <c r="P55" i="12859"/>
  <c r="R54" i="12859"/>
  <c r="O54" i="12859"/>
  <c r="S57" i="12859"/>
  <c r="S67" i="12859" s="1"/>
  <c r="T55" i="12859"/>
  <c r="M54" i="12859"/>
  <c r="T52" i="12859"/>
  <c r="O52" i="12859"/>
  <c r="O55" i="12859"/>
  <c r="O57" i="12859"/>
  <c r="O67" i="12859" s="1"/>
  <c r="Q54" i="12859"/>
  <c r="R52" i="12859"/>
  <c r="L55" i="12859"/>
  <c r="M57" i="12859"/>
  <c r="M67" i="12859" s="1"/>
  <c r="N55" i="12859"/>
  <c r="Q55" i="12859"/>
  <c r="Q52" i="12859"/>
  <c r="S52" i="12859"/>
  <c r="S55" i="12859"/>
  <c r="K53" i="12859"/>
  <c r="N54" i="12859"/>
  <c r="R57" i="12859"/>
  <c r="R67" i="12859" s="1"/>
  <c r="T57" i="12859"/>
  <c r="T67" i="12859" s="1"/>
  <c r="N53" i="12859"/>
  <c r="P57" i="12859"/>
  <c r="P67" i="12859" s="1"/>
  <c r="J55" i="12859"/>
  <c r="K55" i="12859"/>
  <c r="P53" i="12859"/>
  <c r="L57" i="12859"/>
  <c r="L67" i="12859" s="1"/>
  <c r="N52" i="12859"/>
  <c r="U54" i="12859"/>
  <c r="Q57" i="12859"/>
  <c r="Q67" i="12859" s="1"/>
  <c r="S53" i="12859"/>
  <c r="M52" i="12859"/>
  <c r="P54" i="12859"/>
  <c r="R53" i="12859"/>
  <c r="K52" i="12859"/>
  <c r="R56" i="12859" l="1"/>
  <c r="R58" i="12859" s="1"/>
  <c r="M56" i="12859"/>
  <c r="M58" i="12859" s="1"/>
  <c r="M66" i="12859"/>
  <c r="N56" i="12859"/>
  <c r="N58" i="12859" s="1"/>
  <c r="N66" i="12859"/>
  <c r="S56" i="12859"/>
  <c r="S58" i="12859" s="1"/>
  <c r="S66" i="12859"/>
  <c r="R66" i="12859"/>
  <c r="Q56" i="12859"/>
  <c r="Q58" i="12859" s="1"/>
  <c r="Q66" i="12859"/>
  <c r="L56" i="12859"/>
  <c r="L58" i="12859" s="1"/>
  <c r="L66" i="12859"/>
  <c r="V54" i="12859"/>
  <c r="P56" i="12859"/>
  <c r="P58" i="12859" s="1"/>
  <c r="P66" i="12859"/>
  <c r="V55" i="12859"/>
  <c r="K56" i="12859"/>
  <c r="K58" i="12859" s="1"/>
  <c r="O56" i="12859"/>
  <c r="O58" i="12859" s="1"/>
  <c r="O66" i="12859"/>
  <c r="U56" i="12859"/>
  <c r="U58" i="12859" s="1"/>
  <c r="U66" i="12859"/>
  <c r="V57" i="12859"/>
  <c r="C35" i="12859" s="1"/>
  <c r="C36" i="12859" s="1"/>
  <c r="J67" i="12859"/>
  <c r="V67" i="12859" s="1"/>
  <c r="J56" i="12859"/>
  <c r="V52" i="12859"/>
  <c r="J66" i="12859"/>
  <c r="K66" i="12859"/>
  <c r="T56" i="12859"/>
  <c r="T58" i="12859" s="1"/>
  <c r="T66" i="12859"/>
  <c r="V53" i="12859"/>
  <c r="I1206" i="12843"/>
  <c r="I1207" i="12843"/>
  <c r="I1213" i="12843"/>
  <c r="I1215" i="12843"/>
  <c r="V56" i="12859" l="1"/>
  <c r="C22" i="12859" s="1"/>
  <c r="J58" i="12859"/>
  <c r="V58" i="12859" s="1"/>
  <c r="K589" i="12843"/>
  <c r="K602" i="12843" s="1"/>
  <c r="K590" i="12843"/>
  <c r="K603" i="12843" s="1"/>
  <c r="V66" i="12859"/>
  <c r="M905" i="12843"/>
  <c r="K737" i="12843"/>
  <c r="G762" i="12843"/>
  <c r="K791" i="12843"/>
  <c r="G842" i="12843"/>
  <c r="G791" i="12843"/>
  <c r="I1137" i="12843"/>
  <c r="I1132" i="12843"/>
  <c r="M590" i="12843" l="1"/>
  <c r="M603" i="12843"/>
  <c r="M602" i="12843"/>
  <c r="M589" i="12843"/>
  <c r="I791" i="12843"/>
  <c r="G814" i="12843"/>
  <c r="I814" i="12843" s="1"/>
  <c r="G866" i="12843"/>
  <c r="I866" i="12843" s="1"/>
  <c r="I842" i="12843"/>
  <c r="K814" i="12843"/>
  <c r="M814" i="12843" s="1"/>
  <c r="M791" i="12843"/>
  <c r="K762" i="12843"/>
  <c r="K842" i="12843"/>
  <c r="I762" i="12843" l="1"/>
  <c r="S740" i="12843"/>
  <c r="K866" i="12843"/>
  <c r="M866" i="12843" s="1"/>
  <c r="M842" i="12843"/>
  <c r="S741" i="12843"/>
  <c r="S737" i="12843"/>
  <c r="I737" i="12843"/>
  <c r="S762" i="12843" l="1"/>
  <c r="S842" i="12843"/>
  <c r="S791" i="12843"/>
  <c r="S765" i="12843"/>
  <c r="S794" i="12843"/>
  <c r="S845" i="12843"/>
  <c r="S766" i="12843"/>
  <c r="S846" i="12843"/>
  <c r="S795" i="12843"/>
  <c r="S870" i="12843" l="1"/>
  <c r="U870" i="12843" s="1"/>
  <c r="U846" i="12843"/>
  <c r="U794" i="12843"/>
  <c r="S817" i="12843"/>
  <c r="U817" i="12843" s="1"/>
  <c r="S814" i="12843"/>
  <c r="U814" i="12843" s="1"/>
  <c r="U791" i="12843"/>
  <c r="S866" i="12843"/>
  <c r="U866" i="12843" s="1"/>
  <c r="U842" i="12843"/>
  <c r="S818" i="12843"/>
  <c r="U818" i="12843" s="1"/>
  <c r="U795" i="12843"/>
  <c r="U845" i="12843"/>
  <c r="S869" i="12843"/>
  <c r="U869" i="12843" s="1"/>
  <c r="V28" i="12771" l="1"/>
  <c r="R27" i="12770"/>
  <c r="O578" i="12843" l="1"/>
  <c r="O594" i="12843" s="1"/>
  <c r="O583" i="12843"/>
  <c r="O580" i="12843"/>
  <c r="O596" i="12843" s="1"/>
  <c r="Q898" i="12843"/>
  <c r="O579" i="12843"/>
  <c r="O595" i="12843" s="1"/>
  <c r="Q901" i="12843"/>
  <c r="O582" i="12843"/>
  <c r="O597" i="12843" s="1"/>
  <c r="Q897" i="12843"/>
  <c r="Q900" i="12843"/>
  <c r="O598" i="12843"/>
  <c r="Q582" i="12843" l="1"/>
  <c r="Q594" i="12843"/>
  <c r="U901" i="12843"/>
  <c r="Q596" i="12843"/>
  <c r="Q583" i="12843"/>
  <c r="S580" i="12843"/>
  <c r="S596" i="12843" s="1"/>
  <c r="S582" i="12843"/>
  <c r="S597" i="12843" s="1"/>
  <c r="Q595" i="12843"/>
  <c r="S579" i="12843"/>
  <c r="Q598" i="12843"/>
  <c r="S578" i="12843"/>
  <c r="S594" i="12843" s="1"/>
  <c r="S583" i="12843"/>
  <c r="S598" i="12843" s="1"/>
  <c r="U898" i="12843"/>
  <c r="Q597" i="12843"/>
  <c r="U897" i="12843"/>
  <c r="U900" i="12843"/>
  <c r="Q580" i="12843"/>
  <c r="Q499" i="12843" s="1"/>
  <c r="Q579" i="12843"/>
  <c r="Q498" i="12843" s="1"/>
  <c r="Q578" i="12843"/>
  <c r="Q497" i="12843" s="1"/>
  <c r="S189" i="12843"/>
  <c r="S595" i="12843"/>
  <c r="S191" i="12843"/>
  <c r="S190" i="12843"/>
  <c r="U594" i="12843" l="1"/>
  <c r="U597" i="12843"/>
  <c r="U596" i="12843"/>
  <c r="U582" i="12843"/>
  <c r="U595" i="12843"/>
  <c r="U598" i="12843"/>
  <c r="U583" i="12843"/>
  <c r="U579" i="12843"/>
  <c r="U498" i="12843" s="1"/>
  <c r="U580" i="12843"/>
  <c r="U499" i="12843" s="1"/>
  <c r="U578" i="12843"/>
  <c r="U497" i="12843" s="1"/>
  <c r="S232" i="12843"/>
  <c r="S245" i="12843" s="1"/>
  <c r="S404" i="12843"/>
  <c r="S208" i="12843"/>
  <c r="S369" i="12843"/>
  <c r="S383" i="12843" s="1"/>
  <c r="S301" i="12843"/>
  <c r="S266" i="12843"/>
  <c r="S439" i="12843"/>
  <c r="S335" i="12843"/>
  <c r="U191" i="12843"/>
  <c r="S206" i="12843"/>
  <c r="S299" i="12843"/>
  <c r="S437" i="12843"/>
  <c r="S230" i="12843"/>
  <c r="S243" i="12843" s="1"/>
  <c r="S333" i="12843"/>
  <c r="S367" i="12843"/>
  <c r="S381" i="12843" s="1"/>
  <c r="S264" i="12843"/>
  <c r="S402" i="12843"/>
  <c r="U189" i="12843"/>
  <c r="S438" i="12843"/>
  <c r="S207" i="12843"/>
  <c r="S265" i="12843"/>
  <c r="S403" i="12843"/>
  <c r="S300" i="12843"/>
  <c r="S334" i="12843"/>
  <c r="S368" i="12843"/>
  <c r="S382" i="12843" s="1"/>
  <c r="S231" i="12843"/>
  <c r="S244" i="12843" s="1"/>
  <c r="U190" i="12843"/>
  <c r="U334" i="12843" l="1"/>
  <c r="S347" i="12843"/>
  <c r="U347" i="12843" s="1"/>
  <c r="U264" i="12843"/>
  <c r="S277" i="12843"/>
  <c r="U277" i="12843" s="1"/>
  <c r="U437" i="12843"/>
  <c r="S451" i="12843"/>
  <c r="U451" i="12843" s="1"/>
  <c r="U335" i="12843"/>
  <c r="S348" i="12843"/>
  <c r="U348" i="12843" s="1"/>
  <c r="U300" i="12843"/>
  <c r="S313" i="12843"/>
  <c r="U313" i="12843" s="1"/>
  <c r="S452" i="12843"/>
  <c r="U452" i="12843" s="1"/>
  <c r="U438" i="12843"/>
  <c r="S312" i="12843"/>
  <c r="U312" i="12843" s="1"/>
  <c r="U299" i="12843"/>
  <c r="U439" i="12843"/>
  <c r="S453" i="12843"/>
  <c r="U453" i="12843" s="1"/>
  <c r="U403" i="12843"/>
  <c r="S417" i="12843"/>
  <c r="U417" i="12843" s="1"/>
  <c r="U333" i="12843"/>
  <c r="S346" i="12843"/>
  <c r="U346" i="12843" s="1"/>
  <c r="S279" i="12843"/>
  <c r="U279" i="12843" s="1"/>
  <c r="U266" i="12843"/>
  <c r="S418" i="12843"/>
  <c r="U418" i="12843" s="1"/>
  <c r="U404" i="12843"/>
  <c r="U265" i="12843"/>
  <c r="S278" i="12843"/>
  <c r="U278" i="12843" s="1"/>
  <c r="S416" i="12843"/>
  <c r="U416" i="12843" s="1"/>
  <c r="U402" i="12843"/>
  <c r="S314" i="12843"/>
  <c r="U314" i="12843" s="1"/>
  <c r="U301" i="12843"/>
  <c r="U369" i="12843" l="1"/>
  <c r="U367" i="12843"/>
  <c r="U381" i="12843"/>
  <c r="U243" i="12843"/>
  <c r="U232" i="12843"/>
  <c r="U382" i="12843"/>
  <c r="U230" i="12843"/>
  <c r="U244" i="12843"/>
  <c r="K587" i="12843"/>
  <c r="U383" i="12843"/>
  <c r="U245" i="12843"/>
  <c r="U368" i="12843"/>
  <c r="U231" i="12843"/>
  <c r="M587" i="12843" l="1"/>
  <c r="K588" i="12843"/>
  <c r="K608" i="12843" s="1"/>
  <c r="D33" i="12833"/>
  <c r="D28" i="12833"/>
  <c r="D23" i="12833"/>
  <c r="D16" i="12833"/>
  <c r="D32" i="12833"/>
  <c r="D29" i="12833"/>
  <c r="D27" i="12833"/>
  <c r="D25" i="12833"/>
  <c r="D22" i="12833"/>
  <c r="D20" i="12833"/>
  <c r="D17" i="12833"/>
  <c r="D15" i="12833"/>
  <c r="D11" i="12833"/>
  <c r="D10" i="12833"/>
  <c r="D31" i="12833"/>
  <c r="D26" i="12833"/>
  <c r="D21" i="12833"/>
  <c r="D19" i="12833"/>
  <c r="D14" i="12833"/>
  <c r="D12" i="12833"/>
  <c r="F33" i="12833"/>
  <c r="F31" i="12833"/>
  <c r="F28" i="12833"/>
  <c r="F26" i="12833"/>
  <c r="F23" i="12833"/>
  <c r="F21" i="12833"/>
  <c r="F19" i="12833"/>
  <c r="F16" i="12833"/>
  <c r="H16" i="12833" s="1"/>
  <c r="F14" i="12833"/>
  <c r="F12" i="12833"/>
  <c r="F32" i="12833"/>
  <c r="F29" i="12833"/>
  <c r="F27" i="12833"/>
  <c r="F25" i="12833"/>
  <c r="F22" i="12833"/>
  <c r="F20" i="12833"/>
  <c r="F17" i="12833"/>
  <c r="F15" i="12833"/>
  <c r="F11" i="12833"/>
  <c r="F10" i="12833"/>
  <c r="K601" i="12843" l="1"/>
  <c r="H26" i="12833"/>
  <c r="M601" i="12843"/>
  <c r="M608" i="12843"/>
  <c r="M588" i="12843"/>
  <c r="H33" i="12833"/>
  <c r="M904" i="12843"/>
  <c r="M909" i="12843"/>
  <c r="H11" i="12833"/>
  <c r="H32" i="12833"/>
  <c r="H22" i="12833"/>
  <c r="H15" i="12833"/>
  <c r="H12" i="12833"/>
  <c r="H25" i="12833"/>
  <c r="H10" i="12833"/>
  <c r="H20" i="12833"/>
  <c r="H29" i="12833"/>
  <c r="H17" i="12833"/>
  <c r="H27" i="12833"/>
  <c r="H14" i="12833"/>
  <c r="H23" i="12833"/>
  <c r="H21" i="12833"/>
  <c r="H28" i="12833"/>
  <c r="H19" i="12833"/>
  <c r="H31" i="12833"/>
  <c r="I1290" i="12843" l="1"/>
  <c r="I1288" i="12843"/>
  <c r="I1287" i="12843"/>
  <c r="I1286" i="12843"/>
  <c r="I1284" i="12843"/>
  <c r="I1283" i="12843"/>
  <c r="I1281" i="12843"/>
  <c r="I1280" i="12843"/>
  <c r="I1279" i="12843"/>
  <c r="I1276" i="12843"/>
  <c r="I1275" i="12843"/>
  <c r="I1273" i="12843"/>
  <c r="I1272" i="12843"/>
  <c r="I1271" i="12843"/>
  <c r="I1268" i="12843"/>
  <c r="I1267" i="12843"/>
  <c r="I1264" i="12843"/>
  <c r="I1265" i="12843"/>
  <c r="I1263" i="12843"/>
  <c r="I1175" i="12843" l="1"/>
  <c r="H44" i="12831"/>
  <c r="H34" i="12831"/>
  <c r="H21" i="12831"/>
  <c r="B21" i="12831"/>
  <c r="B24" i="12831" l="1"/>
  <c r="B25" i="12831" s="1"/>
  <c r="H46" i="12831"/>
  <c r="H50" i="12831" s="1"/>
  <c r="B26" i="12831" l="1"/>
  <c r="B27" i="12831" l="1"/>
  <c r="B28" i="12831" l="1"/>
  <c r="B29" i="12831"/>
  <c r="B30" i="12831" l="1"/>
  <c r="B31" i="12831" l="1"/>
  <c r="B34" i="12831" s="1"/>
  <c r="B37" i="12831" s="1"/>
  <c r="B38" i="12831" s="1"/>
  <c r="B39" i="12831" s="1"/>
  <c r="B40" i="12831" s="1"/>
  <c r="B41" i="12831" s="1"/>
  <c r="B44" i="12831" s="1"/>
  <c r="B46" i="12831" s="1"/>
  <c r="V1116" i="12843" l="1"/>
  <c r="V759" i="12843"/>
  <c r="V965" i="12843" l="1"/>
  <c r="S1116" i="12843" l="1"/>
  <c r="V1022" i="12843"/>
  <c r="U1116" i="12843" l="1"/>
  <c r="K33" i="12811"/>
  <c r="L33" i="12811" s="1"/>
  <c r="K32" i="12811"/>
  <c r="L32" i="12811" s="1"/>
  <c r="D22" i="12775"/>
  <c r="K14" i="12812" l="1"/>
  <c r="B92" i="12822" l="1"/>
  <c r="D91" i="12822"/>
  <c r="D90" i="12822"/>
  <c r="D89" i="12822"/>
  <c r="D88" i="12822"/>
  <c r="D87" i="12822"/>
  <c r="D86" i="12822"/>
  <c r="D85" i="12822"/>
  <c r="D84" i="12822"/>
  <c r="D83" i="12822"/>
  <c r="D82" i="12822"/>
  <c r="D81" i="12822"/>
  <c r="D80" i="12822"/>
  <c r="B58" i="12822"/>
  <c r="B40" i="12822"/>
  <c r="C39" i="12822"/>
  <c r="K27" i="12822"/>
  <c r="K45" i="12822" s="1"/>
  <c r="K62" i="12822" s="1"/>
  <c r="X62" i="12822" s="1"/>
  <c r="B22" i="12822"/>
  <c r="C10" i="12822"/>
  <c r="D21" i="12822" l="1"/>
  <c r="C109" i="12822"/>
  <c r="C108" i="12822"/>
  <c r="C101" i="12822"/>
  <c r="C105" i="12822"/>
  <c r="C104" i="12822"/>
  <c r="D99" i="12822"/>
  <c r="C100" i="12822"/>
  <c r="D104" i="12822"/>
  <c r="D108" i="12822"/>
  <c r="C103" i="12822"/>
  <c r="D100" i="12822"/>
  <c r="D101" i="12822"/>
  <c r="D105" i="12822"/>
  <c r="D109" i="12822"/>
  <c r="C106" i="12822"/>
  <c r="C107" i="12822"/>
  <c r="C98" i="12822"/>
  <c r="D102" i="12822"/>
  <c r="D106" i="12822"/>
  <c r="C102" i="12822"/>
  <c r="D98" i="12822"/>
  <c r="C99" i="12822"/>
  <c r="G99" i="12822" s="1"/>
  <c r="D103" i="12822"/>
  <c r="D107" i="12822"/>
  <c r="G107" i="12822" s="1"/>
  <c r="O74" i="12822"/>
  <c r="O72" i="12822"/>
  <c r="O70" i="12822"/>
  <c r="O68" i="12822"/>
  <c r="O66" i="12822"/>
  <c r="O64" i="12822"/>
  <c r="B74" i="12822"/>
  <c r="B72" i="12822"/>
  <c r="B70" i="12822"/>
  <c r="B68" i="12822"/>
  <c r="B66" i="12822"/>
  <c r="B64" i="12822"/>
  <c r="O73" i="12822"/>
  <c r="O71" i="12822"/>
  <c r="O69" i="12822"/>
  <c r="O67" i="12822"/>
  <c r="O65" i="12822"/>
  <c r="O63" i="12822"/>
  <c r="B73" i="12822"/>
  <c r="B71" i="12822"/>
  <c r="B69" i="12822"/>
  <c r="B67" i="12822"/>
  <c r="B65" i="12822"/>
  <c r="B63" i="12822"/>
  <c r="D28" i="12822"/>
  <c r="D29" i="12822"/>
  <c r="D30" i="12822"/>
  <c r="C11" i="12822"/>
  <c r="C21" i="12822"/>
  <c r="C12" i="12822"/>
  <c r="D10" i="12822"/>
  <c r="D11" i="12822"/>
  <c r="D12" i="12822"/>
  <c r="C13" i="12822"/>
  <c r="C17" i="12822"/>
  <c r="C834" i="12843"/>
  <c r="C15" i="12822"/>
  <c r="C19" i="12822"/>
  <c r="J15" i="12811"/>
  <c r="D14" i="12822"/>
  <c r="D16" i="12822"/>
  <c r="D18" i="12822"/>
  <c r="D20" i="12822"/>
  <c r="J13" i="12811"/>
  <c r="J14" i="12811"/>
  <c r="D92" i="12822"/>
  <c r="C136" i="12822" s="1"/>
  <c r="B136" i="12822"/>
  <c r="J104" i="12811"/>
  <c r="D13" i="12822"/>
  <c r="C14" i="12822"/>
  <c r="D15" i="12822"/>
  <c r="C16" i="12822"/>
  <c r="D17" i="12822"/>
  <c r="C18" i="12822"/>
  <c r="D19" i="12822"/>
  <c r="C20" i="12822"/>
  <c r="C28" i="12822"/>
  <c r="C29" i="12822"/>
  <c r="C30" i="12822"/>
  <c r="D31" i="12822"/>
  <c r="D32" i="12822"/>
  <c r="D33" i="12822"/>
  <c r="D34" i="12822"/>
  <c r="D35" i="12822"/>
  <c r="D36" i="12822"/>
  <c r="D37" i="12822"/>
  <c r="D38" i="12822"/>
  <c r="D39" i="12822"/>
  <c r="G39" i="12822" s="1"/>
  <c r="C31" i="12822"/>
  <c r="C32" i="12822"/>
  <c r="C33" i="12822"/>
  <c r="C34" i="12822"/>
  <c r="C35" i="12822"/>
  <c r="C36" i="12822"/>
  <c r="C37" i="12822"/>
  <c r="C38" i="12822"/>
  <c r="C57" i="12822"/>
  <c r="D65" i="12822" l="1"/>
  <c r="E74" i="12822"/>
  <c r="C64" i="12822"/>
  <c r="E66" i="12822"/>
  <c r="P63" i="12822"/>
  <c r="P74" i="12822"/>
  <c r="E63" i="12822"/>
  <c r="G101" i="12822"/>
  <c r="G106" i="12822"/>
  <c r="D74" i="12822"/>
  <c r="D66" i="12822"/>
  <c r="G108" i="12822"/>
  <c r="G15" i="12822"/>
  <c r="G30" i="12822"/>
  <c r="G12" i="12822"/>
  <c r="E65" i="12822"/>
  <c r="C74" i="12822"/>
  <c r="C757" i="12843"/>
  <c r="C759" i="12843" s="1"/>
  <c r="F811" i="12843"/>
  <c r="F834" i="12843" s="1"/>
  <c r="U47" i="12764" s="1"/>
  <c r="R63" i="12822"/>
  <c r="Q759" i="12843"/>
  <c r="G21" i="12822"/>
  <c r="G29" i="12822"/>
  <c r="G18" i="12822"/>
  <c r="D110" i="12822"/>
  <c r="G105" i="12822"/>
  <c r="C783" i="12843"/>
  <c r="G11" i="12822"/>
  <c r="Q74" i="12822"/>
  <c r="G104" i="12822"/>
  <c r="R74" i="12822"/>
  <c r="G100" i="12822"/>
  <c r="C110" i="12822"/>
  <c r="G98" i="12822"/>
  <c r="E64" i="12822"/>
  <c r="G14" i="12822"/>
  <c r="G102" i="12822"/>
  <c r="G109" i="12822"/>
  <c r="G103" i="12822"/>
  <c r="G36" i="12822"/>
  <c r="G32" i="12822"/>
  <c r="G38" i="12822"/>
  <c r="G34" i="12822"/>
  <c r="G20" i="12822"/>
  <c r="G16" i="12822"/>
  <c r="G10" i="12822"/>
  <c r="Q63" i="12822"/>
  <c r="G17" i="12822"/>
  <c r="D64" i="12822"/>
  <c r="G19" i="12822"/>
  <c r="C56" i="12822"/>
  <c r="C52" i="12822"/>
  <c r="G37" i="12822"/>
  <c r="G35" i="12822"/>
  <c r="G33" i="12822"/>
  <c r="G31" i="12822"/>
  <c r="C66" i="12822"/>
  <c r="C65" i="12822"/>
  <c r="C54" i="12822"/>
  <c r="C50" i="12822"/>
  <c r="D40" i="12822"/>
  <c r="D22" i="12822"/>
  <c r="C63" i="12822"/>
  <c r="D63" i="12822"/>
  <c r="H104" i="12812"/>
  <c r="D73" i="12822"/>
  <c r="E73" i="12822"/>
  <c r="C73" i="12822"/>
  <c r="D72" i="12822"/>
  <c r="E72" i="12822"/>
  <c r="C72" i="12822"/>
  <c r="D71" i="12822"/>
  <c r="E71" i="12822"/>
  <c r="C71" i="12822"/>
  <c r="D70" i="12822"/>
  <c r="E70" i="12822"/>
  <c r="C70" i="12822"/>
  <c r="D69" i="12822"/>
  <c r="E69" i="12822"/>
  <c r="C69" i="12822"/>
  <c r="D68" i="12822"/>
  <c r="E68" i="12822"/>
  <c r="C68" i="12822"/>
  <c r="D67" i="12822"/>
  <c r="E67" i="12822"/>
  <c r="C67" i="12822"/>
  <c r="R73" i="12822"/>
  <c r="P73" i="12822"/>
  <c r="Q73" i="12822"/>
  <c r="R72" i="12822"/>
  <c r="P72" i="12822"/>
  <c r="Q72" i="12822"/>
  <c r="R71" i="12822"/>
  <c r="P71" i="12822"/>
  <c r="Q71" i="12822"/>
  <c r="R70" i="12822"/>
  <c r="P70" i="12822"/>
  <c r="Q70" i="12822"/>
  <c r="R69" i="12822"/>
  <c r="P69" i="12822"/>
  <c r="Q69" i="12822"/>
  <c r="R68" i="12822"/>
  <c r="P68" i="12822"/>
  <c r="Q68" i="12822"/>
  <c r="R67" i="12822"/>
  <c r="P67" i="12822"/>
  <c r="Q67" i="12822"/>
  <c r="R64" i="12822"/>
  <c r="P64" i="12822"/>
  <c r="Q64" i="12822"/>
  <c r="C40" i="12822"/>
  <c r="G28" i="12822"/>
  <c r="C55" i="12822"/>
  <c r="C53" i="12822"/>
  <c r="C51" i="12822"/>
  <c r="C49" i="12822"/>
  <c r="C47" i="12822"/>
  <c r="B75" i="12822"/>
  <c r="D55" i="12822"/>
  <c r="D53" i="12822"/>
  <c r="D51" i="12822"/>
  <c r="D49" i="12822"/>
  <c r="C46" i="12822"/>
  <c r="G13" i="12822"/>
  <c r="Q66" i="12822"/>
  <c r="R66" i="12822"/>
  <c r="P66" i="12822"/>
  <c r="D48" i="12822"/>
  <c r="D46" i="12822"/>
  <c r="D47" i="12822"/>
  <c r="R65" i="12822"/>
  <c r="P65" i="12822"/>
  <c r="Q65" i="12822"/>
  <c r="D56" i="12822"/>
  <c r="D54" i="12822"/>
  <c r="D52" i="12822"/>
  <c r="D50" i="12822"/>
  <c r="C48" i="12822"/>
  <c r="O75" i="12822"/>
  <c r="AD11" i="12775" s="1"/>
  <c r="AD12" i="12775" s="1"/>
  <c r="D57" i="12822"/>
  <c r="G57" i="12822" s="1"/>
  <c r="C22" i="12822"/>
  <c r="B134" i="12822" l="1"/>
  <c r="AD14" i="12775"/>
  <c r="AD22" i="12775" s="1"/>
  <c r="AD44" i="12775" s="1"/>
  <c r="F783" i="12843"/>
  <c r="J18" i="12811"/>
  <c r="J20" i="12811" s="1"/>
  <c r="I66" i="12822"/>
  <c r="I74" i="12822"/>
  <c r="I64" i="12822"/>
  <c r="I65" i="12822"/>
  <c r="V63" i="12822"/>
  <c r="F757" i="12843"/>
  <c r="I63" i="12822"/>
  <c r="V74" i="12822"/>
  <c r="G50" i="12822"/>
  <c r="E75" i="12822"/>
  <c r="G54" i="12822"/>
  <c r="G110" i="12822"/>
  <c r="G56" i="12822"/>
  <c r="G40" i="12822"/>
  <c r="H14" i="12812" s="1"/>
  <c r="G52" i="12822"/>
  <c r="G22" i="12822"/>
  <c r="G48" i="12822"/>
  <c r="G47" i="12822"/>
  <c r="C75" i="12822"/>
  <c r="V66" i="12822"/>
  <c r="J41" i="12811"/>
  <c r="B132" i="12822"/>
  <c r="R75" i="12822"/>
  <c r="V67" i="12822"/>
  <c r="V69" i="12822"/>
  <c r="V71" i="12822"/>
  <c r="V73" i="12822"/>
  <c r="I67" i="12822"/>
  <c r="D75" i="12822"/>
  <c r="I69" i="12822"/>
  <c r="Q75" i="12822"/>
  <c r="I71" i="12822"/>
  <c r="I73" i="12822"/>
  <c r="V65" i="12822"/>
  <c r="G49" i="12822"/>
  <c r="G53" i="12822"/>
  <c r="V64" i="12822"/>
  <c r="V68" i="12822"/>
  <c r="V70" i="12822"/>
  <c r="V72" i="12822"/>
  <c r="I68" i="12822"/>
  <c r="I70" i="12822"/>
  <c r="I72" i="12822"/>
  <c r="C58" i="12822"/>
  <c r="C90" i="12843" s="1"/>
  <c r="G46" i="12822"/>
  <c r="D58" i="12822"/>
  <c r="C91" i="12843" s="1"/>
  <c r="G51" i="12822"/>
  <c r="G55" i="12822"/>
  <c r="P75" i="12822"/>
  <c r="C273" i="12843" s="1"/>
  <c r="D132" i="12822" l="1"/>
  <c r="C674" i="12843"/>
  <c r="H46" i="12812"/>
  <c r="H13" i="12812"/>
  <c r="I75" i="12822"/>
  <c r="V75" i="12822"/>
  <c r="G58" i="12822"/>
  <c r="C132" i="12822" l="1"/>
  <c r="F305" i="12843"/>
  <c r="C147" i="12843"/>
  <c r="F109" i="12843"/>
  <c r="F140" i="12843"/>
  <c r="C95" i="12843"/>
  <c r="M95" i="12843" s="1"/>
  <c r="C114" i="12843"/>
  <c r="C145" i="12843"/>
  <c r="C116" i="12843"/>
  <c r="M672" i="12843"/>
  <c r="Q114" i="12843"/>
  <c r="C134" i="12822"/>
  <c r="F671" i="12843"/>
  <c r="F629" i="12843" s="1"/>
  <c r="C629" i="12843"/>
  <c r="C632" i="12843" s="1"/>
  <c r="M671" i="12843"/>
  <c r="C287" i="12843"/>
  <c r="F304" i="12843"/>
  <c r="F270" i="12843"/>
  <c r="M674" i="12843"/>
  <c r="Q674" i="12843"/>
  <c r="H15" i="12812"/>
  <c r="H18" i="12812"/>
  <c r="H41" i="12812"/>
  <c r="C146" i="12843" l="1"/>
  <c r="H20" i="12812"/>
  <c r="E132" i="12822"/>
  <c r="C325" i="12843"/>
  <c r="F672" i="12843"/>
  <c r="F630" i="12843" s="1"/>
  <c r="C309" i="12843"/>
  <c r="M309" i="12843" s="1"/>
  <c r="C115" i="12843"/>
  <c r="F141" i="12843"/>
  <c r="F147" i="12843" s="1"/>
  <c r="U8" i="12764" s="1"/>
  <c r="C675" i="12843"/>
  <c r="M675" i="12843" s="1"/>
  <c r="C162" i="12843"/>
  <c r="C99" i="12843" s="1"/>
  <c r="C630" i="12843"/>
  <c r="C633" i="12843" s="1"/>
  <c r="C691" i="12843"/>
  <c r="F110" i="12843"/>
  <c r="Q95" i="12843"/>
  <c r="C160" i="12843"/>
  <c r="M160" i="12843" s="1"/>
  <c r="F155" i="12843"/>
  <c r="F90" i="12843" s="1"/>
  <c r="Q115" i="12843"/>
  <c r="C236" i="12843"/>
  <c r="C240" i="12843" s="1"/>
  <c r="M273" i="12843"/>
  <c r="C274" i="12843"/>
  <c r="Q274" i="12843" s="1"/>
  <c r="F269" i="12843"/>
  <c r="F235" i="12843" s="1"/>
  <c r="C288" i="12843"/>
  <c r="M288" i="12843" s="1"/>
  <c r="M254" i="12843" s="1"/>
  <c r="C235" i="12843"/>
  <c r="C239" i="12843" s="1"/>
  <c r="C308" i="12843"/>
  <c r="Q308" i="12843" s="1"/>
  <c r="C289" i="12843"/>
  <c r="F306" i="12843"/>
  <c r="C310" i="12843"/>
  <c r="Q287" i="12843"/>
  <c r="Q253" i="12843" s="1"/>
  <c r="M287" i="12843"/>
  <c r="M253" i="12843" s="1"/>
  <c r="F236" i="12843"/>
  <c r="F116" i="12843" l="1"/>
  <c r="C651" i="12843"/>
  <c r="C649" i="12843"/>
  <c r="F691" i="12843"/>
  <c r="U24" i="12764" s="1"/>
  <c r="Q309" i="12843"/>
  <c r="Q240" i="12843" s="1"/>
  <c r="Q160" i="12843"/>
  <c r="Q675" i="12843"/>
  <c r="C161" i="12843"/>
  <c r="Q161" i="12843" s="1"/>
  <c r="F156" i="12843"/>
  <c r="F162" i="12843" s="1"/>
  <c r="C96" i="12843"/>
  <c r="Q96" i="12843" s="1"/>
  <c r="Q273" i="12843"/>
  <c r="Q239" i="12843" s="1"/>
  <c r="M274" i="12843"/>
  <c r="M240" i="12843" s="1"/>
  <c r="Q288" i="12843"/>
  <c r="Q254" i="12843" s="1"/>
  <c r="C275" i="12843"/>
  <c r="Q275" i="12843" s="1"/>
  <c r="M308" i="12843"/>
  <c r="M239" i="12843" s="1"/>
  <c r="C290" i="12843"/>
  <c r="C256" i="12843" s="1"/>
  <c r="C237" i="12843"/>
  <c r="C241" i="12843" s="1"/>
  <c r="F271" i="12843"/>
  <c r="F290" i="12843" s="1"/>
  <c r="U13" i="12764" s="1"/>
  <c r="Y13" i="12764" s="1"/>
  <c r="M289" i="12843"/>
  <c r="Q289" i="12843"/>
  <c r="Q255" i="12843" s="1"/>
  <c r="Q310" i="12843"/>
  <c r="M310" i="12843"/>
  <c r="F325" i="12843"/>
  <c r="U20" i="12764" s="1"/>
  <c r="F91" i="12843" l="1"/>
  <c r="U7" i="12764"/>
  <c r="F99" i="12843"/>
  <c r="F651" i="12843"/>
  <c r="U9" i="12764"/>
  <c r="M161" i="12843"/>
  <c r="M96" i="12843"/>
  <c r="M275" i="12843"/>
  <c r="M241" i="12843" s="1"/>
  <c r="F237" i="12843"/>
  <c r="Q241" i="12843"/>
  <c r="F256" i="12843"/>
  <c r="P20" i="12774" l="1"/>
  <c r="M780" i="12843" l="1"/>
  <c r="D82" i="12812"/>
  <c r="G82" i="12811"/>
  <c r="F23" i="12811"/>
  <c r="U781" i="12843" l="1"/>
  <c r="Q781" i="12843"/>
  <c r="M1173" i="12843"/>
  <c r="F86" i="12811"/>
  <c r="F132" i="12811"/>
  <c r="F142" i="12811" s="1"/>
  <c r="E12" i="12775" l="1"/>
  <c r="F12" i="12775"/>
  <c r="G12" i="12775"/>
  <c r="H12" i="12775"/>
  <c r="I12" i="12775"/>
  <c r="J12" i="12775"/>
  <c r="K12" i="12775"/>
  <c r="L12" i="12775"/>
  <c r="M12" i="12775"/>
  <c r="N12" i="12775"/>
  <c r="O12" i="12775"/>
  <c r="P11" i="12775"/>
  <c r="E12" i="12774"/>
  <c r="F12" i="12774"/>
  <c r="G12" i="12774"/>
  <c r="H12" i="12774"/>
  <c r="I12" i="12774"/>
  <c r="J12" i="12774"/>
  <c r="K12" i="12774"/>
  <c r="L12" i="12774"/>
  <c r="M12" i="12774"/>
  <c r="N12" i="12774"/>
  <c r="O12" i="12774"/>
  <c r="D12" i="12774"/>
  <c r="P11" i="12774"/>
  <c r="N81" i="12763" l="1"/>
  <c r="I81" i="12763"/>
  <c r="AA82" i="12764"/>
  <c r="P82" i="12764"/>
  <c r="L82" i="12764"/>
  <c r="E134" i="12813"/>
  <c r="E133" i="12813"/>
  <c r="E132" i="12813"/>
  <c r="E131" i="12813"/>
  <c r="E130" i="12813"/>
  <c r="E129" i="12813"/>
  <c r="E128" i="12813"/>
  <c r="E127" i="12813"/>
  <c r="E112" i="12813"/>
  <c r="E96" i="12813"/>
  <c r="E95" i="12813"/>
  <c r="E94" i="12813"/>
  <c r="E93" i="12813"/>
  <c r="E90" i="12813"/>
  <c r="E89" i="12813"/>
  <c r="E88" i="12813"/>
  <c r="E87" i="12813"/>
  <c r="E86" i="12813"/>
  <c r="E85" i="12813"/>
  <c r="E66" i="12813"/>
  <c r="E65" i="12813"/>
  <c r="E64" i="12813"/>
  <c r="E63" i="12813"/>
  <c r="E62" i="12813"/>
  <c r="E61" i="12813"/>
  <c r="E60" i="12813"/>
  <c r="E59" i="12813"/>
  <c r="E58" i="12813"/>
  <c r="E57" i="12813"/>
  <c r="E56" i="12813"/>
  <c r="E55" i="12813"/>
  <c r="C29" i="12763" l="1"/>
  <c r="C27" i="12763"/>
  <c r="C22" i="12763"/>
  <c r="C7" i="12764"/>
  <c r="G81" i="12811"/>
  <c r="C56" i="12764"/>
  <c r="C56" i="12763"/>
  <c r="C54" i="12764"/>
  <c r="C55" i="12764"/>
  <c r="C53" i="12764"/>
  <c r="C57" i="12764"/>
  <c r="C13" i="12764"/>
  <c r="C7" i="12763"/>
  <c r="C9" i="12763"/>
  <c r="C11" i="12763"/>
  <c r="C54" i="12763"/>
  <c r="C8" i="12763"/>
  <c r="C10" i="12763"/>
  <c r="C12" i="12763"/>
  <c r="C53" i="12763"/>
  <c r="C55" i="12763"/>
  <c r="G109" i="12764" s="1"/>
  <c r="C8" i="12764"/>
  <c r="C10" i="12764"/>
  <c r="C12" i="12764"/>
  <c r="C89" i="12764"/>
  <c r="C9" i="12764"/>
  <c r="C11" i="12764"/>
  <c r="R38" i="12764"/>
  <c r="G81" i="12764" l="1"/>
  <c r="G84" i="12764"/>
  <c r="G83" i="12764"/>
  <c r="G89" i="12764"/>
  <c r="G80" i="12764"/>
  <c r="C88" i="12763"/>
  <c r="G88" i="12764"/>
  <c r="G87" i="12764"/>
  <c r="C16" i="12763"/>
  <c r="C16" i="12764"/>
  <c r="C65" i="12763"/>
  <c r="J65" i="12764"/>
  <c r="H65" i="12764"/>
  <c r="E75" i="12764"/>
  <c r="J75" i="12764"/>
  <c r="H75" i="12764"/>
  <c r="E93" i="12764"/>
  <c r="C49" i="12763"/>
  <c r="C43" i="12763"/>
  <c r="J100" i="12764"/>
  <c r="C112" i="12764"/>
  <c r="S27" i="12764"/>
  <c r="E109" i="12764"/>
  <c r="H109" i="12764"/>
  <c r="J109" i="12764"/>
  <c r="E76" i="12764"/>
  <c r="H76" i="12764"/>
  <c r="J76" i="12764"/>
  <c r="C104" i="12764"/>
  <c r="E94" i="12764"/>
  <c r="J94" i="12764"/>
  <c r="H94" i="12764"/>
  <c r="C65" i="12764"/>
  <c r="E82" i="12764"/>
  <c r="H82" i="12764"/>
  <c r="J82" i="12764"/>
  <c r="E108" i="12764"/>
  <c r="E73" i="12764"/>
  <c r="J73" i="12764"/>
  <c r="H73" i="12764"/>
  <c r="C58" i="12763"/>
  <c r="C49" i="12764"/>
  <c r="J81" i="12764"/>
  <c r="C30" i="12763"/>
  <c r="E87" i="12764"/>
  <c r="D81" i="12812"/>
  <c r="C58" i="12764"/>
  <c r="C43" i="12764"/>
  <c r="C60" i="12764" s="1"/>
  <c r="C30" i="12764"/>
  <c r="C81" i="12763"/>
  <c r="G14" i="12763"/>
  <c r="J14" i="12763" s="1"/>
  <c r="L14" i="12763" s="1"/>
  <c r="C82" i="12764"/>
  <c r="G90" i="12764" l="1"/>
  <c r="G79" i="12764"/>
  <c r="G30" i="12764"/>
  <c r="G82" i="12764"/>
  <c r="G16" i="12764"/>
  <c r="G108" i="12764"/>
  <c r="G110" i="12764" s="1"/>
  <c r="G58" i="12764"/>
  <c r="H83" i="12764"/>
  <c r="H84" i="12764"/>
  <c r="J83" i="12764"/>
  <c r="J84" i="12764"/>
  <c r="E83" i="12764"/>
  <c r="E84" i="12764"/>
  <c r="R15" i="12764"/>
  <c r="T15" i="12764" s="1"/>
  <c r="J16" i="12764"/>
  <c r="H88" i="12764"/>
  <c r="H89" i="12764"/>
  <c r="H16" i="12764"/>
  <c r="E69" i="12764"/>
  <c r="E71" i="12764" s="1"/>
  <c r="E16" i="12764"/>
  <c r="J88" i="12764"/>
  <c r="J89" i="12764"/>
  <c r="E88" i="12764"/>
  <c r="E89" i="12764"/>
  <c r="H87" i="12764"/>
  <c r="AE15" i="12764"/>
  <c r="X15" i="12764"/>
  <c r="F20" i="12811"/>
  <c r="F38" i="12811" s="1"/>
  <c r="J87" i="12764"/>
  <c r="H80" i="12764"/>
  <c r="J77" i="12764"/>
  <c r="E110" i="12764"/>
  <c r="H66" i="12764"/>
  <c r="H67" i="12764" s="1"/>
  <c r="H81" i="12764"/>
  <c r="H43" i="12764"/>
  <c r="J80" i="12764"/>
  <c r="J66" i="12764"/>
  <c r="J67" i="12764" s="1"/>
  <c r="J99" i="12764"/>
  <c r="J102" i="12764" s="1"/>
  <c r="J108" i="12764"/>
  <c r="J110" i="12764" s="1"/>
  <c r="J58" i="12764"/>
  <c r="H108" i="12764"/>
  <c r="H110" i="12764" s="1"/>
  <c r="H58" i="12764"/>
  <c r="H99" i="12764"/>
  <c r="J43" i="12764"/>
  <c r="E79" i="12764"/>
  <c r="S13" i="12764"/>
  <c r="E80" i="12764"/>
  <c r="S37" i="12764"/>
  <c r="H93" i="12764"/>
  <c r="H95" i="12764" s="1"/>
  <c r="H49" i="12764"/>
  <c r="E95" i="12764"/>
  <c r="E77" i="12764"/>
  <c r="H69" i="12764"/>
  <c r="H71" i="12764" s="1"/>
  <c r="J93" i="12764"/>
  <c r="J95" i="12764" s="1"/>
  <c r="J49" i="12764"/>
  <c r="J79" i="12764"/>
  <c r="J30" i="12764"/>
  <c r="H79" i="12764"/>
  <c r="H30" i="12764"/>
  <c r="E81" i="12764"/>
  <c r="J69" i="12764"/>
  <c r="J71" i="12764" s="1"/>
  <c r="H77" i="12764"/>
  <c r="H100" i="12764"/>
  <c r="C60" i="12763"/>
  <c r="N89" i="12764"/>
  <c r="K14" i="12763"/>
  <c r="I18" i="12811" s="1"/>
  <c r="I173" i="12813"/>
  <c r="H173" i="12813"/>
  <c r="J172" i="12813"/>
  <c r="J174" i="12813" s="1"/>
  <c r="I172" i="12813"/>
  <c r="H172" i="12813"/>
  <c r="H163" i="12813"/>
  <c r="K142" i="12812"/>
  <c r="E140" i="12812"/>
  <c r="I140" i="12812" s="1"/>
  <c r="N140" i="12811" s="1"/>
  <c r="F138" i="12812"/>
  <c r="I138" i="12812" s="1"/>
  <c r="N138" i="12811" s="1"/>
  <c r="M137" i="12811"/>
  <c r="F136" i="12812"/>
  <c r="I134" i="12812"/>
  <c r="N134" i="12811" s="1"/>
  <c r="M134" i="12811"/>
  <c r="H132" i="12812"/>
  <c r="H142" i="12812" s="1"/>
  <c r="E20" i="12809" s="1"/>
  <c r="G131" i="12812"/>
  <c r="S131" i="12812" s="1"/>
  <c r="M131" i="12811"/>
  <c r="G130" i="12812"/>
  <c r="M130" i="12811"/>
  <c r="G129" i="12812"/>
  <c r="M129" i="12811"/>
  <c r="G128" i="12812"/>
  <c r="M128" i="12811"/>
  <c r="M127" i="12811"/>
  <c r="G126" i="12812"/>
  <c r="M126" i="12811"/>
  <c r="K122" i="12812"/>
  <c r="G118" i="12812"/>
  <c r="I118" i="12812" s="1"/>
  <c r="N118" i="12811" s="1"/>
  <c r="P118" i="12811" s="1"/>
  <c r="Q118" i="12811" s="1"/>
  <c r="M115" i="12811"/>
  <c r="F114" i="12812"/>
  <c r="I114" i="12812" s="1"/>
  <c r="N114" i="12811" s="1"/>
  <c r="M113" i="12811"/>
  <c r="F112" i="12812"/>
  <c r="I112" i="12812" s="1"/>
  <c r="N112" i="12811" s="1"/>
  <c r="M111" i="12811"/>
  <c r="F110" i="12812"/>
  <c r="F161" i="12812" s="1"/>
  <c r="I108" i="12812"/>
  <c r="H106" i="12812"/>
  <c r="H122" i="12812" s="1"/>
  <c r="E19" i="12809" s="1"/>
  <c r="K105" i="12812"/>
  <c r="K104" i="12812"/>
  <c r="M104" i="12811"/>
  <c r="K100" i="12812"/>
  <c r="D98" i="12812"/>
  <c r="E98" i="12812" s="1"/>
  <c r="I98" i="12812" s="1"/>
  <c r="N98" i="12811" s="1"/>
  <c r="F95" i="12812"/>
  <c r="M94" i="12811"/>
  <c r="F92" i="12812"/>
  <c r="I92" i="12812" s="1"/>
  <c r="N92" i="12811" s="1"/>
  <c r="M91" i="12811"/>
  <c r="F90" i="12812"/>
  <c r="I88" i="12812"/>
  <c r="N88" i="12811" s="1"/>
  <c r="H86" i="12812"/>
  <c r="G85" i="12812"/>
  <c r="D86" i="12812"/>
  <c r="H83" i="12812"/>
  <c r="K82" i="12812"/>
  <c r="G82" i="12812"/>
  <c r="M82" i="12811"/>
  <c r="K81" i="12812"/>
  <c r="G81" i="12812"/>
  <c r="M81" i="12811"/>
  <c r="G80" i="12812"/>
  <c r="M80" i="12811"/>
  <c r="H78" i="12812"/>
  <c r="K77" i="12812"/>
  <c r="G77" i="12812"/>
  <c r="D78" i="12812"/>
  <c r="H75" i="12812"/>
  <c r="K74" i="12812"/>
  <c r="G74" i="12812"/>
  <c r="M74" i="12811"/>
  <c r="K73" i="12812"/>
  <c r="G73" i="12812"/>
  <c r="M73" i="12811"/>
  <c r="K72" i="12812"/>
  <c r="G72" i="12812"/>
  <c r="M72" i="12811"/>
  <c r="K69" i="12812"/>
  <c r="E67" i="12812"/>
  <c r="I67" i="12812" s="1"/>
  <c r="N67" i="12811" s="1"/>
  <c r="F64" i="12812"/>
  <c r="I64" i="12812" s="1"/>
  <c r="N64" i="12811" s="1"/>
  <c r="M63" i="12811"/>
  <c r="M61" i="12811"/>
  <c r="F60" i="12812"/>
  <c r="I60" i="12812" s="1"/>
  <c r="N60" i="12811" s="1"/>
  <c r="M59" i="12811"/>
  <c r="F58" i="12812"/>
  <c r="I58" i="12812" s="1"/>
  <c r="N58" i="12811" s="1"/>
  <c r="I56" i="12812"/>
  <c r="N56" i="12811" s="1"/>
  <c r="H54" i="12812"/>
  <c r="M53" i="12811"/>
  <c r="M52" i="12811"/>
  <c r="H50" i="12812"/>
  <c r="K49" i="12812"/>
  <c r="D50" i="12812"/>
  <c r="K46" i="12812"/>
  <c r="M46" i="12811"/>
  <c r="M47" i="12811" s="1"/>
  <c r="K43" i="12812"/>
  <c r="M43" i="12811"/>
  <c r="K42" i="12812"/>
  <c r="M42" i="12811"/>
  <c r="K41" i="12812"/>
  <c r="K38" i="12812"/>
  <c r="G34" i="12812"/>
  <c r="I34" i="12812" s="1"/>
  <c r="M33" i="12811"/>
  <c r="M31" i="12811"/>
  <c r="M29" i="12811"/>
  <c r="F28" i="12812"/>
  <c r="M27" i="12811"/>
  <c r="I25" i="12812"/>
  <c r="N25" i="12811" s="1"/>
  <c r="H23" i="12812"/>
  <c r="G22" i="12812"/>
  <c r="D23" i="12812"/>
  <c r="K18" i="12812"/>
  <c r="M18" i="12811"/>
  <c r="K17" i="12812"/>
  <c r="M17" i="12811"/>
  <c r="K16" i="12812"/>
  <c r="M16" i="12811"/>
  <c r="K15" i="12812"/>
  <c r="M15" i="12811"/>
  <c r="M14" i="12811"/>
  <c r="M13" i="12811"/>
  <c r="A6" i="12812"/>
  <c r="H140" i="12811"/>
  <c r="K140" i="12811" s="1"/>
  <c r="K138" i="12811"/>
  <c r="L138" i="12811" s="1"/>
  <c r="K137" i="12811"/>
  <c r="K136" i="12811"/>
  <c r="K134" i="12811"/>
  <c r="J132" i="12811"/>
  <c r="J142" i="12811" s="1"/>
  <c r="E131" i="12811"/>
  <c r="E128" i="12811"/>
  <c r="E127" i="12811"/>
  <c r="H120" i="12811"/>
  <c r="K120" i="12811" s="1"/>
  <c r="K117" i="12811"/>
  <c r="L117" i="12811" s="1"/>
  <c r="K115" i="12811"/>
  <c r="L115" i="12811" s="1"/>
  <c r="K114" i="12811"/>
  <c r="L114" i="12811" s="1"/>
  <c r="K113" i="12811"/>
  <c r="L113" i="12811" s="1"/>
  <c r="K112" i="12811"/>
  <c r="K111" i="12811"/>
  <c r="K110" i="12811"/>
  <c r="N108" i="12811"/>
  <c r="K108" i="12811"/>
  <c r="L108" i="12811" s="1"/>
  <c r="J106" i="12811"/>
  <c r="J122" i="12811" s="1"/>
  <c r="G98" i="12811"/>
  <c r="AC33" i="12775" s="1"/>
  <c r="K95" i="12811"/>
  <c r="G95" i="12811"/>
  <c r="K94" i="12811"/>
  <c r="G94" i="12811"/>
  <c r="K92" i="12811"/>
  <c r="G92" i="12811"/>
  <c r="K91" i="12811"/>
  <c r="G91" i="12811"/>
  <c r="K90" i="12811"/>
  <c r="G90" i="12811"/>
  <c r="G88" i="12811"/>
  <c r="L88" i="12811" s="1"/>
  <c r="J86" i="12811"/>
  <c r="G85" i="12811"/>
  <c r="J83" i="12811"/>
  <c r="G80" i="12811"/>
  <c r="J78" i="12811"/>
  <c r="G77" i="12811"/>
  <c r="J75" i="12811"/>
  <c r="G74" i="12811"/>
  <c r="G73" i="12811"/>
  <c r="E73" i="12811"/>
  <c r="G72" i="12811"/>
  <c r="H67" i="12811"/>
  <c r="K67" i="12811" s="1"/>
  <c r="K64" i="12811"/>
  <c r="L64" i="12811" s="1"/>
  <c r="K63" i="12811"/>
  <c r="L63" i="12811" s="1"/>
  <c r="K62" i="12811"/>
  <c r="K61" i="12811"/>
  <c r="L61" i="12811" s="1"/>
  <c r="K60" i="12811"/>
  <c r="L60" i="12811" s="1"/>
  <c r="K59" i="12811"/>
  <c r="K58" i="12811"/>
  <c r="K56" i="12811"/>
  <c r="J54" i="12811"/>
  <c r="E52" i="12811"/>
  <c r="J50" i="12811"/>
  <c r="D47" i="12811"/>
  <c r="E42" i="12811"/>
  <c r="M41" i="12811"/>
  <c r="K34" i="12811"/>
  <c r="K31" i="12811"/>
  <c r="K30" i="12811"/>
  <c r="K29" i="12811"/>
  <c r="K25" i="12811"/>
  <c r="J23" i="12811"/>
  <c r="E18" i="12811"/>
  <c r="E16" i="12811"/>
  <c r="E15" i="12811"/>
  <c r="E14" i="12811"/>
  <c r="A6" i="12811"/>
  <c r="F24" i="12810"/>
  <c r="F23" i="12810"/>
  <c r="B6" i="12810"/>
  <c r="A6" i="12809"/>
  <c r="I90" i="12812" l="1"/>
  <c r="N90" i="12811" s="1"/>
  <c r="I95" i="12812"/>
  <c r="N95" i="12811" s="1"/>
  <c r="N84" i="12764"/>
  <c r="R84" i="12764" s="1"/>
  <c r="T84" i="12764" s="1"/>
  <c r="G60" i="12764"/>
  <c r="F152" i="12812" s="1"/>
  <c r="G85" i="12764"/>
  <c r="G116" i="12764" s="1"/>
  <c r="E90" i="12764"/>
  <c r="J90" i="12764"/>
  <c r="J85" i="12764"/>
  <c r="H85" i="12764"/>
  <c r="H90" i="12764"/>
  <c r="E85" i="12764"/>
  <c r="R14" i="12764"/>
  <c r="T14" i="12764" s="1"/>
  <c r="S14" i="12764"/>
  <c r="F18" i="12812" s="1"/>
  <c r="S7" i="12764"/>
  <c r="N16" i="12764"/>
  <c r="R89" i="12764"/>
  <c r="T89" i="12764" s="1"/>
  <c r="S89" i="12764"/>
  <c r="X89" i="12764"/>
  <c r="G20" i="12812"/>
  <c r="M20" i="12811"/>
  <c r="E20" i="12811"/>
  <c r="R7" i="12764"/>
  <c r="H102" i="12764"/>
  <c r="J60" i="12764"/>
  <c r="F154" i="12812" s="1"/>
  <c r="H60" i="12764"/>
  <c r="F153" i="12812" s="1"/>
  <c r="R13" i="12764"/>
  <c r="T13" i="12764" s="1"/>
  <c r="J100" i="12811"/>
  <c r="F1302" i="12843"/>
  <c r="G47" i="12812"/>
  <c r="G50" i="12812"/>
  <c r="M105" i="12811"/>
  <c r="M106" i="12811" s="1"/>
  <c r="G86" i="12812"/>
  <c r="G78" i="12812"/>
  <c r="H100" i="12812"/>
  <c r="E18" i="12809" s="1"/>
  <c r="J108" i="12812"/>
  <c r="L108" i="12812" s="1"/>
  <c r="M108" i="12812" s="1"/>
  <c r="O108" i="12811" s="1"/>
  <c r="P108" i="12811" s="1"/>
  <c r="L29" i="12811"/>
  <c r="L30" i="12811"/>
  <c r="L31" i="12811"/>
  <c r="L34" i="12811"/>
  <c r="J56" i="12812"/>
  <c r="L56" i="12812" s="1"/>
  <c r="M56" i="12812" s="1"/>
  <c r="O56" i="12811" s="1"/>
  <c r="P56" i="12811" s="1"/>
  <c r="J88" i="12812"/>
  <c r="L88" i="12812" s="1"/>
  <c r="M88" i="12812" s="1"/>
  <c r="O88" i="12811" s="1"/>
  <c r="P88" i="12811" s="1"/>
  <c r="F62" i="12812"/>
  <c r="I62" i="12812" s="1"/>
  <c r="J62" i="12812" s="1"/>
  <c r="F32" i="12812"/>
  <c r="I32" i="12812" s="1"/>
  <c r="N32" i="12811" s="1"/>
  <c r="M32" i="12811"/>
  <c r="L25" i="12811"/>
  <c r="L56" i="12811"/>
  <c r="L92" i="12811"/>
  <c r="L94" i="12811"/>
  <c r="L95" i="12811"/>
  <c r="L134" i="12811"/>
  <c r="D50" i="12811"/>
  <c r="F30" i="12812"/>
  <c r="D23" i="12811"/>
  <c r="E22" i="12811"/>
  <c r="E23" i="12811" s="1"/>
  <c r="E126" i="12811"/>
  <c r="E129" i="12811"/>
  <c r="E130" i="12811"/>
  <c r="D86" i="12811"/>
  <c r="E85" i="12811"/>
  <c r="E86" i="12811" s="1"/>
  <c r="D78" i="12811"/>
  <c r="D44" i="12811"/>
  <c r="E120" i="12812"/>
  <c r="I120" i="12812" s="1"/>
  <c r="N120" i="12811" s="1"/>
  <c r="M36" i="12811"/>
  <c r="I36" i="12812"/>
  <c r="N36" i="12811" s="1"/>
  <c r="H98" i="12811"/>
  <c r="H36" i="12811"/>
  <c r="G106" i="12812"/>
  <c r="L67" i="12811"/>
  <c r="M30" i="12811"/>
  <c r="M88" i="12811"/>
  <c r="M95" i="12811"/>
  <c r="M58" i="12811"/>
  <c r="M64" i="12811"/>
  <c r="M28" i="12811"/>
  <c r="M34" i="12811"/>
  <c r="M77" i="12811"/>
  <c r="M78" i="12811" s="1"/>
  <c r="M22" i="12811"/>
  <c r="M23" i="12811" s="1"/>
  <c r="M49" i="12811"/>
  <c r="M50" i="12811" s="1"/>
  <c r="M90" i="12811"/>
  <c r="M92" i="12811"/>
  <c r="M120" i="12811"/>
  <c r="M136" i="12811"/>
  <c r="M138" i="12811"/>
  <c r="M140" i="12811"/>
  <c r="M98" i="12811"/>
  <c r="M67" i="12811"/>
  <c r="L140" i="12811"/>
  <c r="L120" i="12811"/>
  <c r="H168" i="12813"/>
  <c r="D54" i="12811"/>
  <c r="G44" i="12812"/>
  <c r="J38" i="12811"/>
  <c r="J44" i="12811"/>
  <c r="J47" i="12811"/>
  <c r="M85" i="12811"/>
  <c r="M86" i="12811" s="1"/>
  <c r="M110" i="12811"/>
  <c r="M112" i="12811"/>
  <c r="M114" i="12811"/>
  <c r="M25" i="12811"/>
  <c r="M56" i="12811"/>
  <c r="M60" i="12811"/>
  <c r="M62" i="12811"/>
  <c r="M108" i="12811"/>
  <c r="G132" i="12812"/>
  <c r="G142" i="12812" s="1"/>
  <c r="H174" i="12813"/>
  <c r="G23" i="12812"/>
  <c r="D106" i="12811"/>
  <c r="G54" i="12812"/>
  <c r="G106" i="12811"/>
  <c r="D83" i="12811"/>
  <c r="M75" i="12811"/>
  <c r="G75" i="12811"/>
  <c r="M54" i="12811"/>
  <c r="I174" i="12813"/>
  <c r="M44" i="12811"/>
  <c r="D83" i="12812"/>
  <c r="G86" i="12811"/>
  <c r="M132" i="12811"/>
  <c r="I136" i="12812"/>
  <c r="J136" i="12812" s="1"/>
  <c r="L136" i="12812" s="1"/>
  <c r="M136" i="12812" s="1"/>
  <c r="N136" i="12812" s="1"/>
  <c r="N136" i="12811"/>
  <c r="G78" i="12811"/>
  <c r="J138" i="12812"/>
  <c r="L138" i="12812" s="1"/>
  <c r="M138" i="12812" s="1"/>
  <c r="N138" i="12812" s="1"/>
  <c r="G23" i="12811"/>
  <c r="D75" i="12811"/>
  <c r="G83" i="12811"/>
  <c r="M83" i="12811"/>
  <c r="D132" i="12811"/>
  <c r="D142" i="12811" s="1"/>
  <c r="D38" i="12812"/>
  <c r="D54" i="12812"/>
  <c r="G75" i="12812"/>
  <c r="G83" i="12812"/>
  <c r="N34" i="12811"/>
  <c r="J34" i="12812"/>
  <c r="D47" i="12812"/>
  <c r="J58" i="12812"/>
  <c r="J114" i="12812"/>
  <c r="G132" i="12811"/>
  <c r="J25" i="12812"/>
  <c r="D44" i="12812"/>
  <c r="J60" i="12812"/>
  <c r="J64" i="12812"/>
  <c r="J92" i="12812"/>
  <c r="J112" i="12812"/>
  <c r="J118" i="12812"/>
  <c r="F27" i="12812"/>
  <c r="I28" i="12812"/>
  <c r="F29" i="12812"/>
  <c r="F31" i="12812"/>
  <c r="F160" i="12812" s="1"/>
  <c r="F33" i="12812"/>
  <c r="F163" i="12812" s="1"/>
  <c r="F137" i="12812"/>
  <c r="J67" i="12812"/>
  <c r="D75" i="12812"/>
  <c r="J98" i="12812"/>
  <c r="D106" i="12812"/>
  <c r="D132" i="12812"/>
  <c r="J134" i="12812"/>
  <c r="J140" i="12812"/>
  <c r="F59" i="12812"/>
  <c r="I59" i="12812" s="1"/>
  <c r="F61" i="12812"/>
  <c r="I61" i="12812" s="1"/>
  <c r="J61" i="12812" s="1"/>
  <c r="G63" i="12812"/>
  <c r="I63" i="12812" s="1"/>
  <c r="F91" i="12812"/>
  <c r="I91" i="12812" s="1"/>
  <c r="G94" i="12812"/>
  <c r="I94" i="12812" s="1"/>
  <c r="J94" i="12812" s="1"/>
  <c r="I110" i="12812"/>
  <c r="F111" i="12812"/>
  <c r="F113" i="12812"/>
  <c r="I113" i="12812" s="1"/>
  <c r="G115" i="12812"/>
  <c r="I115" i="12812" s="1"/>
  <c r="J115" i="12812" s="1"/>
  <c r="I168" i="12813"/>
  <c r="J95" i="12812" l="1"/>
  <c r="L95" i="12812" s="1"/>
  <c r="M95" i="12812" s="1"/>
  <c r="C692" i="12843"/>
  <c r="AC18" i="12775" s="1"/>
  <c r="C117" i="12843"/>
  <c r="C133" i="12843"/>
  <c r="C134" i="12843" s="1"/>
  <c r="G122" i="12811"/>
  <c r="D19" i="12810" s="1"/>
  <c r="H105" i="12811"/>
  <c r="H104" i="12811"/>
  <c r="F157" i="12812"/>
  <c r="J90" i="12812"/>
  <c r="L90" i="12812" s="1"/>
  <c r="M90" i="12812" s="1"/>
  <c r="F158" i="12812"/>
  <c r="D142" i="12812"/>
  <c r="E126" i="12812"/>
  <c r="E130" i="12812"/>
  <c r="E127" i="12812"/>
  <c r="E128" i="12812"/>
  <c r="E129" i="12812"/>
  <c r="E131" i="12812"/>
  <c r="I131" i="12812" s="1"/>
  <c r="N131" i="12811" s="1"/>
  <c r="D122" i="12812"/>
  <c r="E104" i="12812"/>
  <c r="E105" i="12812"/>
  <c r="F692" i="12843"/>
  <c r="H128" i="12811"/>
  <c r="H127" i="12811"/>
  <c r="H129" i="12811"/>
  <c r="H130" i="12811"/>
  <c r="H131" i="12811"/>
  <c r="K131" i="12811" s="1"/>
  <c r="L131" i="12811" s="1"/>
  <c r="G142" i="12811"/>
  <c r="D20" i="12810" s="1"/>
  <c r="H126" i="12811"/>
  <c r="H85" i="12811"/>
  <c r="H82" i="12811"/>
  <c r="H81" i="12811"/>
  <c r="E85" i="12812"/>
  <c r="H80" i="12811"/>
  <c r="H72" i="12811"/>
  <c r="H77" i="12811"/>
  <c r="H74" i="12811"/>
  <c r="H73" i="12811"/>
  <c r="E77" i="12812"/>
  <c r="E82" i="12812"/>
  <c r="E81" i="12812"/>
  <c r="E80" i="12812"/>
  <c r="E72" i="12812"/>
  <c r="E73" i="12812"/>
  <c r="E74" i="12812"/>
  <c r="S84" i="12764"/>
  <c r="E116" i="12764"/>
  <c r="G117" i="12764"/>
  <c r="H116" i="12764"/>
  <c r="H117" i="12764" s="1"/>
  <c r="J116" i="12764"/>
  <c r="J117" i="12764" s="1"/>
  <c r="G38" i="12811"/>
  <c r="I111" i="12812"/>
  <c r="J111" i="12812" s="1"/>
  <c r="L111" i="12812" s="1"/>
  <c r="M111" i="12812" s="1"/>
  <c r="O111" i="12811" s="1"/>
  <c r="J168" i="12813"/>
  <c r="I1302" i="12843"/>
  <c r="M1302" i="12843" s="1"/>
  <c r="O48" i="12831"/>
  <c r="Q48" i="12831" s="1"/>
  <c r="L47" i="12783"/>
  <c r="K36" i="12811"/>
  <c r="L36" i="12811" s="1"/>
  <c r="K98" i="12811"/>
  <c r="L98" i="12811" s="1"/>
  <c r="J69" i="12811"/>
  <c r="J145" i="12811" s="1"/>
  <c r="I30" i="12812"/>
  <c r="N30" i="12811" s="1"/>
  <c r="N62" i="12811"/>
  <c r="D69" i="12811"/>
  <c r="J120" i="12812"/>
  <c r="L120" i="12812" s="1"/>
  <c r="M120" i="12812" s="1"/>
  <c r="N120" i="12812" s="1"/>
  <c r="D38" i="12811"/>
  <c r="E38" i="12811"/>
  <c r="E132" i="12811"/>
  <c r="E142" i="12811" s="1"/>
  <c r="J36" i="12812"/>
  <c r="L36" i="12812" s="1"/>
  <c r="M36" i="12812" s="1"/>
  <c r="O36" i="12811" s="1"/>
  <c r="P36" i="12811" s="1"/>
  <c r="Q36" i="12811" s="1"/>
  <c r="Q88" i="12811"/>
  <c r="M38" i="12811"/>
  <c r="C16" i="12809" s="1"/>
  <c r="M142" i="12811"/>
  <c r="C20" i="12809" s="1"/>
  <c r="G38" i="12812"/>
  <c r="D122" i="12811"/>
  <c r="D100" i="12811"/>
  <c r="G69" i="12811"/>
  <c r="D100" i="12812"/>
  <c r="Q56" i="12811"/>
  <c r="M100" i="12811"/>
  <c r="C18" i="12809" s="1"/>
  <c r="M69" i="12811"/>
  <c r="C17" i="12809" s="1"/>
  <c r="M122" i="12811"/>
  <c r="C19" i="12809" s="1"/>
  <c r="Q108" i="12811"/>
  <c r="G100" i="12811"/>
  <c r="D69" i="12812"/>
  <c r="L94" i="12812"/>
  <c r="M94" i="12812" s="1"/>
  <c r="O94" i="12811" s="1"/>
  <c r="L61" i="12812"/>
  <c r="M61" i="12812" s="1"/>
  <c r="O61" i="12811" s="1"/>
  <c r="L115" i="12812"/>
  <c r="M115" i="12812" s="1"/>
  <c r="O115" i="12811" s="1"/>
  <c r="N113" i="12811"/>
  <c r="J110" i="12812"/>
  <c r="N110" i="12811"/>
  <c r="N91" i="12811"/>
  <c r="N63" i="12811"/>
  <c r="N59" i="12811"/>
  <c r="L134" i="12812"/>
  <c r="M134" i="12812" s="1"/>
  <c r="J32" i="12812"/>
  <c r="N28" i="12811"/>
  <c r="J28" i="12812"/>
  <c r="L34" i="12812"/>
  <c r="M34" i="12812" s="1"/>
  <c r="J91" i="12812"/>
  <c r="G100" i="12812"/>
  <c r="J63" i="12812"/>
  <c r="J59" i="12812"/>
  <c r="N108" i="12812"/>
  <c r="N88" i="12812"/>
  <c r="N56" i="12812"/>
  <c r="J113" i="12812"/>
  <c r="P108" i="12812"/>
  <c r="Q108" i="12812" s="1"/>
  <c r="G122" i="12812"/>
  <c r="P88" i="12812"/>
  <c r="Q88" i="12812" s="1"/>
  <c r="P56" i="12812"/>
  <c r="Q56" i="12812" s="1"/>
  <c r="G69" i="12812"/>
  <c r="F162" i="12812"/>
  <c r="N115" i="12811"/>
  <c r="N94" i="12811"/>
  <c r="N61" i="12811"/>
  <c r="P138" i="12812"/>
  <c r="Q138" i="12812" s="1"/>
  <c r="O138" i="12811"/>
  <c r="P138" i="12811" s="1"/>
  <c r="Q138" i="12811" s="1"/>
  <c r="P136" i="12812"/>
  <c r="Q136" i="12812" s="1"/>
  <c r="O136" i="12811"/>
  <c r="P136" i="12811" s="1"/>
  <c r="Q136" i="12811" s="1"/>
  <c r="L140" i="12812"/>
  <c r="M140" i="12812" s="1"/>
  <c r="N140" i="12812" s="1"/>
  <c r="L98" i="12812"/>
  <c r="M98" i="12812" s="1"/>
  <c r="N98" i="12812" s="1"/>
  <c r="L67" i="12812"/>
  <c r="M67" i="12812" s="1"/>
  <c r="N67" i="12812" s="1"/>
  <c r="I137" i="12812"/>
  <c r="N137" i="12811"/>
  <c r="I33" i="12812"/>
  <c r="N33" i="12811" s="1"/>
  <c r="I31" i="12812"/>
  <c r="I29" i="12812"/>
  <c r="I27" i="12812"/>
  <c r="L118" i="12812"/>
  <c r="M118" i="12812" s="1"/>
  <c r="N118" i="12812" s="1"/>
  <c r="L112" i="12812"/>
  <c r="M112" i="12812" s="1"/>
  <c r="N112" i="12812" s="1"/>
  <c r="L92" i="12812"/>
  <c r="M92" i="12812" s="1"/>
  <c r="N92" i="12812" s="1"/>
  <c r="L64" i="12812"/>
  <c r="M64" i="12812" s="1"/>
  <c r="N64" i="12812" s="1"/>
  <c r="L60" i="12812"/>
  <c r="M60" i="12812" s="1"/>
  <c r="N60" i="12812" s="1"/>
  <c r="L25" i="12812"/>
  <c r="M25" i="12812" s="1"/>
  <c r="N25" i="12812" s="1"/>
  <c r="L114" i="12812"/>
  <c r="M114" i="12812" s="1"/>
  <c r="L62" i="12812"/>
  <c r="M62" i="12812" s="1"/>
  <c r="L58" i="12812"/>
  <c r="M58" i="12812" s="1"/>
  <c r="F159" i="12812"/>
  <c r="AC6" i="12775" l="1"/>
  <c r="J131" i="12812"/>
  <c r="L131" i="12812" s="1"/>
  <c r="M131" i="12812" s="1"/>
  <c r="P131" i="12812" s="1"/>
  <c r="Q131" i="12812" s="1"/>
  <c r="S48" i="12831"/>
  <c r="N111" i="12811"/>
  <c r="P111" i="12811" s="1"/>
  <c r="Q111" i="12811" s="1"/>
  <c r="J30" i="12812"/>
  <c r="L30" i="12812" s="1"/>
  <c r="M30" i="12812" s="1"/>
  <c r="D16" i="12810"/>
  <c r="D18" i="12810"/>
  <c r="D17" i="12810"/>
  <c r="N36" i="12812"/>
  <c r="P36" i="12812"/>
  <c r="Q36" i="12812" s="1"/>
  <c r="P115" i="12812"/>
  <c r="Q115" i="12812" s="1"/>
  <c r="P61" i="12811"/>
  <c r="Q61" i="12811" s="1"/>
  <c r="P111" i="12812"/>
  <c r="Q111" i="12812" s="1"/>
  <c r="D145" i="12811"/>
  <c r="D145" i="12812"/>
  <c r="P61" i="12812"/>
  <c r="Q61" i="12812" s="1"/>
  <c r="M145" i="12811"/>
  <c r="G145" i="12811"/>
  <c r="P94" i="12811"/>
  <c r="Q94" i="12811" s="1"/>
  <c r="P94" i="12812"/>
  <c r="Q94" i="12812" s="1"/>
  <c r="P115" i="12811"/>
  <c r="Q115" i="12811" s="1"/>
  <c r="G145" i="12812"/>
  <c r="O58" i="12811"/>
  <c r="P58" i="12811" s="1"/>
  <c r="Q58" i="12811" s="1"/>
  <c r="P58" i="12812"/>
  <c r="Q58" i="12812" s="1"/>
  <c r="O62" i="12811"/>
  <c r="P62" i="12811" s="1"/>
  <c r="Q62" i="12811" s="1"/>
  <c r="P62" i="12812"/>
  <c r="Q62" i="12812" s="1"/>
  <c r="O90" i="12811"/>
  <c r="P90" i="12811" s="1"/>
  <c r="Q90" i="12811" s="1"/>
  <c r="P90" i="12812"/>
  <c r="Q90" i="12812" s="1"/>
  <c r="O95" i="12811"/>
  <c r="P95" i="12811" s="1"/>
  <c r="Q95" i="12811" s="1"/>
  <c r="P95" i="12812"/>
  <c r="Q95" i="12812" s="1"/>
  <c r="O114" i="12811"/>
  <c r="P114" i="12811" s="1"/>
  <c r="Q114" i="12811" s="1"/>
  <c r="P114" i="12812"/>
  <c r="Q114" i="12812" s="1"/>
  <c r="J137" i="12812"/>
  <c r="L59" i="12812"/>
  <c r="M59" i="12812" s="1"/>
  <c r="N59" i="12812" s="1"/>
  <c r="H44" i="12812"/>
  <c r="O34" i="12811"/>
  <c r="P34" i="12811" s="1"/>
  <c r="Q34" i="12811" s="1"/>
  <c r="P34" i="12812"/>
  <c r="Q34" i="12812" s="1"/>
  <c r="C21" i="12809"/>
  <c r="C25" i="12809" s="1"/>
  <c r="L28" i="12812"/>
  <c r="M28" i="12812" s="1"/>
  <c r="N28" i="12812" s="1"/>
  <c r="L32" i="12812"/>
  <c r="M32" i="12812" s="1"/>
  <c r="O134" i="12811"/>
  <c r="P134" i="12811" s="1"/>
  <c r="Q134" i="12811" s="1"/>
  <c r="P134" i="12812"/>
  <c r="Q134" i="12812" s="1"/>
  <c r="P25" i="12812"/>
  <c r="Q25" i="12812" s="1"/>
  <c r="O25" i="12811"/>
  <c r="P25" i="12811" s="1"/>
  <c r="Q25" i="12811" s="1"/>
  <c r="O60" i="12811"/>
  <c r="P60" i="12811" s="1"/>
  <c r="Q60" i="12811" s="1"/>
  <c r="P60" i="12812"/>
  <c r="Q60" i="12812" s="1"/>
  <c r="O64" i="12811"/>
  <c r="P64" i="12811" s="1"/>
  <c r="Q64" i="12811" s="1"/>
  <c r="P64" i="12812"/>
  <c r="Q64" i="12812" s="1"/>
  <c r="O92" i="12811"/>
  <c r="P92" i="12811" s="1"/>
  <c r="Q92" i="12811" s="1"/>
  <c r="P92" i="12812"/>
  <c r="Q92" i="12812" s="1"/>
  <c r="O112" i="12811"/>
  <c r="P112" i="12811" s="1"/>
  <c r="Q112" i="12811" s="1"/>
  <c r="P112" i="12812"/>
  <c r="Q112" i="12812" s="1"/>
  <c r="O117" i="12811"/>
  <c r="P117" i="12811" s="1"/>
  <c r="Q117" i="12811" s="1"/>
  <c r="P118" i="12812"/>
  <c r="Q118" i="12812" s="1"/>
  <c r="N27" i="12811"/>
  <c r="J27" i="12812"/>
  <c r="N29" i="12811"/>
  <c r="J29" i="12812"/>
  <c r="N31" i="12811"/>
  <c r="J31" i="12812"/>
  <c r="J33" i="12812"/>
  <c r="P67" i="12812"/>
  <c r="Q67" i="12812" s="1"/>
  <c r="O67" i="12811"/>
  <c r="P67" i="12811" s="1"/>
  <c r="Q67" i="12811" s="1"/>
  <c r="P98" i="12812"/>
  <c r="Q98" i="12812" s="1"/>
  <c r="O98" i="12811"/>
  <c r="P98" i="12811" s="1"/>
  <c r="Q98" i="12811" s="1"/>
  <c r="P140" i="12812"/>
  <c r="Q140" i="12812" s="1"/>
  <c r="O140" i="12811"/>
  <c r="P140" i="12811" s="1"/>
  <c r="Q140" i="12811" s="1"/>
  <c r="L113" i="12812"/>
  <c r="M113" i="12812" s="1"/>
  <c r="N113" i="12812" s="1"/>
  <c r="L63" i="12812"/>
  <c r="M63" i="12812" s="1"/>
  <c r="N63" i="12812" s="1"/>
  <c r="L91" i="12812"/>
  <c r="M91" i="12812" s="1"/>
  <c r="N91" i="12812" s="1"/>
  <c r="O120" i="12811"/>
  <c r="P120" i="12811" s="1"/>
  <c r="Q120" i="12811" s="1"/>
  <c r="P120" i="12812"/>
  <c r="Q120" i="12812" s="1"/>
  <c r="L110" i="12812"/>
  <c r="M110" i="12812" s="1"/>
  <c r="N110" i="12812" s="1"/>
  <c r="N58" i="12812"/>
  <c r="N62" i="12812"/>
  <c r="N90" i="12812"/>
  <c r="N95" i="12812"/>
  <c r="N114" i="12812"/>
  <c r="N34" i="12812"/>
  <c r="N134" i="12812"/>
  <c r="N111" i="12812"/>
  <c r="N115" i="12812"/>
  <c r="N61" i="12812"/>
  <c r="N94" i="12812"/>
  <c r="T6" i="12775" l="1"/>
  <c r="G52" i="12775" s="1"/>
  <c r="R6" i="12775"/>
  <c r="E52" i="12775" s="1"/>
  <c r="S6" i="12775"/>
  <c r="F52" i="12775" s="1"/>
  <c r="AA6" i="12775"/>
  <c r="N52" i="12775" s="1"/>
  <c r="Z6" i="12775"/>
  <c r="M52" i="12775" s="1"/>
  <c r="X6" i="12775"/>
  <c r="K52" i="12775" s="1"/>
  <c r="V6" i="12775"/>
  <c r="I52" i="12775" s="1"/>
  <c r="Y6" i="12775"/>
  <c r="L52" i="12775" s="1"/>
  <c r="W6" i="12775"/>
  <c r="J52" i="12775" s="1"/>
  <c r="U6" i="12775"/>
  <c r="H52" i="12775" s="1"/>
  <c r="Q6" i="12775"/>
  <c r="D52" i="12775" s="1"/>
  <c r="AB6" i="12775"/>
  <c r="O52" i="12775" s="1"/>
  <c r="N131" i="12812"/>
  <c r="O131" i="12811"/>
  <c r="P131" i="12811" s="1"/>
  <c r="Q131" i="12811" s="1"/>
  <c r="D21" i="12810"/>
  <c r="D25" i="12810" s="1"/>
  <c r="P32" i="12812"/>
  <c r="Q32" i="12812" s="1"/>
  <c r="O32" i="12811"/>
  <c r="P32" i="12811" s="1"/>
  <c r="Q32" i="12811" s="1"/>
  <c r="N30" i="12812"/>
  <c r="N32" i="12812"/>
  <c r="L29" i="12812"/>
  <c r="M29" i="12812" s="1"/>
  <c r="N29" i="12812" s="1"/>
  <c r="O110" i="12811"/>
  <c r="P110" i="12811" s="1"/>
  <c r="Q110" i="12811" s="1"/>
  <c r="P110" i="12812"/>
  <c r="Q110" i="12812" s="1"/>
  <c r="O30" i="12811"/>
  <c r="P30" i="12811" s="1"/>
  <c r="Q30" i="12811" s="1"/>
  <c r="P30" i="12812"/>
  <c r="Q30" i="12812" s="1"/>
  <c r="H38" i="12812"/>
  <c r="O91" i="12811"/>
  <c r="P91" i="12811" s="1"/>
  <c r="Q91" i="12811" s="1"/>
  <c r="P91" i="12812"/>
  <c r="Q91" i="12812" s="1"/>
  <c r="O63" i="12811"/>
  <c r="P63" i="12811" s="1"/>
  <c r="Q63" i="12811" s="1"/>
  <c r="P63" i="12812"/>
  <c r="Q63" i="12812" s="1"/>
  <c r="O113" i="12811"/>
  <c r="P113" i="12811" s="1"/>
  <c r="Q113" i="12811" s="1"/>
  <c r="P113" i="12812"/>
  <c r="Q113" i="12812" s="1"/>
  <c r="L33" i="12812"/>
  <c r="M33" i="12812" s="1"/>
  <c r="L31" i="12812"/>
  <c r="M31" i="12812" s="1"/>
  <c r="N31" i="12812" s="1"/>
  <c r="L27" i="12812"/>
  <c r="M27" i="12812" s="1"/>
  <c r="N27" i="12812" s="1"/>
  <c r="H47" i="12812"/>
  <c r="H69" i="12812" s="1"/>
  <c r="E17" i="12809" s="1"/>
  <c r="O28" i="12811"/>
  <c r="P28" i="12811" s="1"/>
  <c r="Q28" i="12811" s="1"/>
  <c r="P28" i="12812"/>
  <c r="Q28" i="12812" s="1"/>
  <c r="O59" i="12811"/>
  <c r="P59" i="12811" s="1"/>
  <c r="Q59" i="12811" s="1"/>
  <c r="P59" i="12812"/>
  <c r="Q59" i="12812" s="1"/>
  <c r="L137" i="12812"/>
  <c r="M137" i="12812" s="1"/>
  <c r="N137" i="12812" s="1"/>
  <c r="P33" i="12812" l="1"/>
  <c r="Q33" i="12812" s="1"/>
  <c r="O33" i="12811"/>
  <c r="P33" i="12811" s="1"/>
  <c r="Q33" i="12811" s="1"/>
  <c r="N33" i="12812"/>
  <c r="H145" i="12812"/>
  <c r="E16" i="12809"/>
  <c r="E21" i="12809" s="1"/>
  <c r="E25" i="12809" s="1"/>
  <c r="O29" i="12811"/>
  <c r="P29" i="12811" s="1"/>
  <c r="Q29" i="12811" s="1"/>
  <c r="P29" i="12812"/>
  <c r="Q29" i="12812" s="1"/>
  <c r="O137" i="12811"/>
  <c r="P137" i="12811" s="1"/>
  <c r="Q137" i="12811" s="1"/>
  <c r="P137" i="12812"/>
  <c r="Q137" i="12812" s="1"/>
  <c r="O27" i="12811"/>
  <c r="P27" i="12811" s="1"/>
  <c r="Q27" i="12811" s="1"/>
  <c r="P27" i="12812"/>
  <c r="Q27" i="12812" s="1"/>
  <c r="O31" i="12811"/>
  <c r="P31" i="12811" s="1"/>
  <c r="Q31" i="12811" s="1"/>
  <c r="P31" i="12812"/>
  <c r="Q31" i="12812" s="1"/>
  <c r="I1233" i="12843" l="1"/>
  <c r="I1234" i="12843"/>
  <c r="I1189" i="12843" s="1"/>
  <c r="I1217" i="12843"/>
  <c r="I1216" i="12843"/>
  <c r="I1214" i="12843"/>
  <c r="I1208" i="12843" l="1"/>
  <c r="I1209" i="12843"/>
  <c r="I1210" i="12843"/>
  <c r="I1205" i="12843"/>
  <c r="I1190" i="12843" l="1"/>
  <c r="I98" i="12763" l="1"/>
  <c r="G40" i="12763"/>
  <c r="K40" i="12763" l="1"/>
  <c r="I82" i="12811" s="1"/>
  <c r="J40" i="12763"/>
  <c r="L40" i="12763" s="1"/>
  <c r="I1154" i="12843" l="1"/>
  <c r="I1155" i="12843"/>
  <c r="I1156" i="12843"/>
  <c r="I1157" i="12843"/>
  <c r="I1158" i="12843"/>
  <c r="I1159" i="12843"/>
  <c r="I1153" i="12843"/>
  <c r="I1129" i="12843"/>
  <c r="I1130" i="12843"/>
  <c r="I1131" i="12843"/>
  <c r="I1133" i="12843"/>
  <c r="I1134" i="12843"/>
  <c r="I1135" i="12843"/>
  <c r="I1136" i="12843"/>
  <c r="I1128" i="12843"/>
  <c r="G43" i="12843" l="1"/>
  <c r="I43" i="12843" s="1"/>
  <c r="G79" i="12843"/>
  <c r="I79" i="12843" s="1"/>
  <c r="G61" i="12843"/>
  <c r="I61" i="12843" s="1"/>
  <c r="K22" i="12843" l="1"/>
  <c r="K61" i="12843" s="1"/>
  <c r="M61" i="12843" s="1"/>
  <c r="I22" i="12843"/>
  <c r="P15" i="12775"/>
  <c r="P9" i="12774"/>
  <c r="P7" i="12775"/>
  <c r="K43" i="12843" l="1"/>
  <c r="M43" i="12843" s="1"/>
  <c r="K79" i="12843"/>
  <c r="M79" i="12843" s="1"/>
  <c r="W29" i="12764"/>
  <c r="Y29" i="12764" s="1"/>
  <c r="W28" i="12764"/>
  <c r="Y28" i="12764" s="1"/>
  <c r="W11" i="12764"/>
  <c r="W73" i="12764" l="1"/>
  <c r="W83" i="12764"/>
  <c r="W88" i="12764"/>
  <c r="W89" i="12764"/>
  <c r="Y89" i="12764" s="1"/>
  <c r="AE89" i="12764" s="1"/>
  <c r="E81" i="12811" l="1"/>
  <c r="C414" i="12843" l="1"/>
  <c r="Q960" i="12843" l="1"/>
  <c r="Q957" i="12843"/>
  <c r="U960" i="12843"/>
  <c r="U957" i="12843"/>
  <c r="U959" i="12843"/>
  <c r="U956" i="12843"/>
  <c r="Q956" i="12843"/>
  <c r="Q959" i="12843"/>
  <c r="C375" i="12843"/>
  <c r="F375" i="12843" s="1"/>
  <c r="F410" i="12843"/>
  <c r="F429" i="12843" s="1"/>
  <c r="C429" i="12843"/>
  <c r="C394" i="12843" s="1"/>
  <c r="M414" i="12843"/>
  <c r="M379" i="12843" s="1"/>
  <c r="Q414" i="12843"/>
  <c r="Q379" i="12843" s="1"/>
  <c r="M1203" i="12843"/>
  <c r="I1188" i="12843"/>
  <c r="F394" i="12843" l="1"/>
  <c r="U21" i="12764"/>
  <c r="M1021" i="12843"/>
  <c r="U1017" i="12843"/>
  <c r="U942" i="12843" s="1"/>
  <c r="U923" i="12843" s="1"/>
  <c r="U1013" i="12843"/>
  <c r="U938" i="12843" s="1"/>
  <c r="U919" i="12843" s="1"/>
  <c r="U1014" i="12843"/>
  <c r="U939" i="12843" s="1"/>
  <c r="U920" i="12843" s="1"/>
  <c r="Q1016" i="12843"/>
  <c r="Q941" i="12843" s="1"/>
  <c r="Q922" i="12843" s="1"/>
  <c r="Q1017" i="12843"/>
  <c r="Q942" i="12843" s="1"/>
  <c r="Q923" i="12843" s="1"/>
  <c r="U1016" i="12843"/>
  <c r="U941" i="12843" s="1"/>
  <c r="U922" i="12843" s="1"/>
  <c r="M964" i="12843"/>
  <c r="Q1013" i="12843"/>
  <c r="Q938" i="12843" s="1"/>
  <c r="Q919" i="12843" s="1"/>
  <c r="Q1014" i="12843"/>
  <c r="Q939" i="12843" s="1"/>
  <c r="Q920" i="12843" s="1"/>
  <c r="M946" i="12843" l="1"/>
  <c r="M927" i="12843" s="1"/>
  <c r="M1022" i="12843"/>
  <c r="Q1022" i="12843"/>
  <c r="G1061" i="12843"/>
  <c r="I1061" i="12843" s="1"/>
  <c r="I1022" i="12843"/>
  <c r="G1043" i="12843"/>
  <c r="I1043" i="12843" s="1"/>
  <c r="W39" i="12764"/>
  <c r="Y39" i="12764" l="1"/>
  <c r="S1022" i="12843"/>
  <c r="S1043" i="12843" s="1"/>
  <c r="U1043" i="12843" s="1"/>
  <c r="P73" i="12764"/>
  <c r="L73" i="12764"/>
  <c r="AA100" i="12764"/>
  <c r="P100" i="12764"/>
  <c r="L100" i="12764"/>
  <c r="AA83" i="12764"/>
  <c r="U83" i="12764"/>
  <c r="P83" i="12764"/>
  <c r="AA81" i="12764"/>
  <c r="AA12" i="12764"/>
  <c r="AC28" i="12764"/>
  <c r="AB28" i="12764"/>
  <c r="L83" i="12764"/>
  <c r="N82" i="12763"/>
  <c r="I82" i="12763"/>
  <c r="N70" i="12763"/>
  <c r="I70" i="12763"/>
  <c r="E15" i="12791"/>
  <c r="E16" i="12791"/>
  <c r="E17" i="12791"/>
  <c r="E19" i="12791"/>
  <c r="E20" i="12791"/>
  <c r="E21" i="12791"/>
  <c r="E23" i="12791"/>
  <c r="E24" i="12791"/>
  <c r="E25" i="12791"/>
  <c r="E27" i="12791"/>
  <c r="E28" i="12791"/>
  <c r="E29" i="12791"/>
  <c r="D32" i="12774"/>
  <c r="E32" i="12774"/>
  <c r="F32" i="12774"/>
  <c r="G32" i="12774"/>
  <c r="H32" i="12774"/>
  <c r="I32" i="12774"/>
  <c r="J32" i="12774"/>
  <c r="K32" i="12774"/>
  <c r="L32" i="12774"/>
  <c r="M32" i="12774"/>
  <c r="N32" i="12774"/>
  <c r="O32" i="12774"/>
  <c r="D22" i="12774"/>
  <c r="E22" i="12774"/>
  <c r="F22" i="12774"/>
  <c r="G22" i="12774"/>
  <c r="H22" i="12774"/>
  <c r="I22" i="12774"/>
  <c r="J22" i="12774"/>
  <c r="K22" i="12774"/>
  <c r="L22" i="12774"/>
  <c r="M22" i="12774"/>
  <c r="N22" i="12774"/>
  <c r="O22" i="12774"/>
  <c r="D36" i="12774"/>
  <c r="E36" i="12774"/>
  <c r="F36" i="12774"/>
  <c r="G36" i="12774"/>
  <c r="H36" i="12774"/>
  <c r="I36" i="12774"/>
  <c r="J36" i="12774"/>
  <c r="K36" i="12774"/>
  <c r="L36" i="12774"/>
  <c r="M36" i="12774"/>
  <c r="N36" i="12774"/>
  <c r="O36" i="12774"/>
  <c r="D43" i="12774"/>
  <c r="E43" i="12774"/>
  <c r="F43" i="12774"/>
  <c r="G43" i="12774"/>
  <c r="H43" i="12774"/>
  <c r="I43" i="12774"/>
  <c r="J43" i="12774"/>
  <c r="K43" i="12774"/>
  <c r="L43" i="12774"/>
  <c r="M43" i="12774"/>
  <c r="N43" i="12774"/>
  <c r="O43" i="12774"/>
  <c r="C477" i="12843"/>
  <c r="C193" i="12843" s="1"/>
  <c r="E105" i="12811"/>
  <c r="D32" i="12775"/>
  <c r="D45" i="12775" s="1"/>
  <c r="E32" i="12775"/>
  <c r="F32" i="12775"/>
  <c r="G32" i="12775"/>
  <c r="H32" i="12775"/>
  <c r="I32" i="12775"/>
  <c r="J32" i="12775"/>
  <c r="K32" i="12775"/>
  <c r="L32" i="12775"/>
  <c r="M32" i="12775"/>
  <c r="N32" i="12775"/>
  <c r="O32" i="12775"/>
  <c r="B20" i="12783"/>
  <c r="B23" i="12783" s="1"/>
  <c r="B24" i="12783" s="1"/>
  <c r="C33" i="12787"/>
  <c r="D33" i="12787" s="1"/>
  <c r="C50" i="12787"/>
  <c r="C67" i="12787"/>
  <c r="C59" i="12787"/>
  <c r="C76" i="12787"/>
  <c r="E33" i="12787"/>
  <c r="E50" i="12787"/>
  <c r="E67" i="12787"/>
  <c r="E34" i="12787"/>
  <c r="C34" i="12787"/>
  <c r="D34" i="12787" s="1"/>
  <c r="E35" i="12787"/>
  <c r="G35" i="12787" s="1"/>
  <c r="E37" i="12787"/>
  <c r="C37" i="12787"/>
  <c r="E38" i="12787"/>
  <c r="C38" i="12787"/>
  <c r="E39" i="12787"/>
  <c r="C39" i="12787"/>
  <c r="E40" i="12787"/>
  <c r="C40" i="12787"/>
  <c r="E51" i="12787"/>
  <c r="C51" i="12787"/>
  <c r="E52" i="12787"/>
  <c r="C52" i="12787"/>
  <c r="E54" i="12787"/>
  <c r="C54" i="12787"/>
  <c r="E55" i="12787"/>
  <c r="C55" i="12787"/>
  <c r="E56" i="12787"/>
  <c r="C56" i="12787"/>
  <c r="E57" i="12787"/>
  <c r="C57" i="12787"/>
  <c r="E68" i="12787"/>
  <c r="C68" i="12787"/>
  <c r="E69" i="12787"/>
  <c r="C69" i="12787"/>
  <c r="E71" i="12787"/>
  <c r="C71" i="12787"/>
  <c r="E72" i="12787"/>
  <c r="C72" i="12787"/>
  <c r="E73" i="12787"/>
  <c r="C73" i="12787"/>
  <c r="E74" i="12787"/>
  <c r="C74" i="12787"/>
  <c r="D35" i="12787"/>
  <c r="I23" i="12787"/>
  <c r="I40" i="12787" s="1"/>
  <c r="C58" i="12787"/>
  <c r="C75" i="12787"/>
  <c r="D24" i="12787"/>
  <c r="D25" i="12787"/>
  <c r="D27" i="12787" s="1"/>
  <c r="E22" i="12775"/>
  <c r="F22" i="12775"/>
  <c r="G22" i="12775"/>
  <c r="H22" i="12775"/>
  <c r="I22" i="12775"/>
  <c r="J22" i="12775"/>
  <c r="K22" i="12775"/>
  <c r="L22" i="12775"/>
  <c r="M22" i="12775"/>
  <c r="N22" i="12775"/>
  <c r="O22" i="12775"/>
  <c r="D44" i="12787"/>
  <c r="D61" i="12787"/>
  <c r="D78" i="12787"/>
  <c r="C96" i="12787"/>
  <c r="C109" i="12787"/>
  <c r="D96" i="12787"/>
  <c r="D83" i="12787" s="1"/>
  <c r="M83" i="12787" s="1"/>
  <c r="E96" i="12787"/>
  <c r="E109" i="12787"/>
  <c r="E122" i="12787"/>
  <c r="G122" i="12787" s="1"/>
  <c r="E135" i="12787"/>
  <c r="G135" i="12787" s="1"/>
  <c r="I96" i="12787"/>
  <c r="I109" i="12787"/>
  <c r="I122" i="12787"/>
  <c r="K122" i="12787" s="1"/>
  <c r="I135" i="12787"/>
  <c r="K135" i="12787" s="1"/>
  <c r="O83" i="12787"/>
  <c r="C110" i="12787"/>
  <c r="C111" i="12787" s="1"/>
  <c r="D97" i="12787"/>
  <c r="D84" i="12787" s="1"/>
  <c r="E97" i="12787"/>
  <c r="E123" i="12787"/>
  <c r="H123" i="12787" s="1"/>
  <c r="E110" i="12787"/>
  <c r="G110" i="12787" s="1"/>
  <c r="E136" i="12787"/>
  <c r="G136" i="12787" s="1"/>
  <c r="I97" i="12787"/>
  <c r="I123" i="12787"/>
  <c r="I110" i="12787"/>
  <c r="K110" i="12787" s="1"/>
  <c r="I136" i="12787"/>
  <c r="K136" i="12787" s="1"/>
  <c r="O84" i="12787"/>
  <c r="Q84" i="12787"/>
  <c r="C137" i="12787"/>
  <c r="C141" i="12787" s="1"/>
  <c r="E98" i="12787"/>
  <c r="E124" i="12787"/>
  <c r="H124" i="12787" s="1"/>
  <c r="E111" i="12787"/>
  <c r="H111" i="12787" s="1"/>
  <c r="E137" i="12787"/>
  <c r="G137" i="12787" s="1"/>
  <c r="I85" i="12787"/>
  <c r="I98" i="12787" s="1"/>
  <c r="C86" i="12787"/>
  <c r="D86" i="12787"/>
  <c r="M86" i="12787" s="1"/>
  <c r="E99" i="12787"/>
  <c r="G99" i="12787" s="1"/>
  <c r="E112" i="12787"/>
  <c r="G112" i="12787" s="1"/>
  <c r="E125" i="12787"/>
  <c r="G125" i="12787" s="1"/>
  <c r="E138" i="12787"/>
  <c r="G138" i="12787" s="1"/>
  <c r="I99" i="12787"/>
  <c r="K99" i="12787" s="1"/>
  <c r="I112" i="12787"/>
  <c r="K112" i="12787" s="1"/>
  <c r="I125" i="12787"/>
  <c r="K125" i="12787" s="1"/>
  <c r="I138" i="12787"/>
  <c r="K138" i="12787" s="1"/>
  <c r="O86" i="12787"/>
  <c r="C87" i="12787"/>
  <c r="D87" i="12787"/>
  <c r="E100" i="12787"/>
  <c r="G100" i="12787" s="1"/>
  <c r="E113" i="12787"/>
  <c r="G113" i="12787" s="1"/>
  <c r="E126" i="12787"/>
  <c r="G126" i="12787" s="1"/>
  <c r="E139" i="12787"/>
  <c r="G139" i="12787" s="1"/>
  <c r="I87" i="12787"/>
  <c r="I100" i="12787" s="1"/>
  <c r="K100" i="12787" s="1"/>
  <c r="C88" i="12787"/>
  <c r="D88" i="12787"/>
  <c r="I88" i="12787"/>
  <c r="O88" i="12787" s="1"/>
  <c r="D90" i="12787"/>
  <c r="H90" i="12787"/>
  <c r="D117" i="12787"/>
  <c r="D130" i="12787"/>
  <c r="D143" i="12787"/>
  <c r="C149" i="12787"/>
  <c r="C387" i="12787"/>
  <c r="D384" i="12787" s="1"/>
  <c r="E384" i="12787"/>
  <c r="G384" i="12787" s="1"/>
  <c r="E413" i="12787"/>
  <c r="G413" i="12787" s="1"/>
  <c r="D413" i="12787"/>
  <c r="I149" i="12787"/>
  <c r="O149" i="12787" s="1"/>
  <c r="C356" i="12787"/>
  <c r="C150" i="12787" s="1"/>
  <c r="D414" i="12787"/>
  <c r="E385" i="12787"/>
  <c r="G385" i="12787" s="1"/>
  <c r="E414" i="12787"/>
  <c r="G414" i="12787" s="1"/>
  <c r="I154" i="12787"/>
  <c r="I150" i="12787" s="1"/>
  <c r="I356" i="12787" s="1"/>
  <c r="I367" i="12787" s="1"/>
  <c r="E211" i="12787"/>
  <c r="H211" i="12787" s="1"/>
  <c r="E239" i="12787"/>
  <c r="E249" i="12787" s="1"/>
  <c r="G249" i="12787" s="1"/>
  <c r="C239" i="12787"/>
  <c r="C240" i="12787"/>
  <c r="E296" i="12787"/>
  <c r="E307" i="12787" s="1"/>
  <c r="G307" i="12787" s="1"/>
  <c r="C300" i="12787"/>
  <c r="C271" i="12787" s="1"/>
  <c r="C296" i="12787"/>
  <c r="C299" i="12787" s="1"/>
  <c r="E325" i="12787"/>
  <c r="G325" i="12787" s="1"/>
  <c r="D325" i="12787"/>
  <c r="E212" i="12787"/>
  <c r="H212" i="12787" s="1"/>
  <c r="E240" i="12787"/>
  <c r="E250" i="12787" s="1"/>
  <c r="G250" i="12787" s="1"/>
  <c r="E297" i="12787"/>
  <c r="H297" i="12787" s="1"/>
  <c r="E326" i="12787"/>
  <c r="E337" i="12787" s="1"/>
  <c r="G337" i="12787" s="1"/>
  <c r="I211" i="12787"/>
  <c r="C211" i="12787"/>
  <c r="C183" i="12787" s="1"/>
  <c r="I239" i="12787"/>
  <c r="I249" i="12787" s="1"/>
  <c r="K249" i="12787" s="1"/>
  <c r="I296" i="12787"/>
  <c r="I307" i="12787" s="1"/>
  <c r="K307" i="12787" s="1"/>
  <c r="I325" i="12787"/>
  <c r="K325" i="12787" s="1"/>
  <c r="C212" i="12787"/>
  <c r="C214" i="12787" s="1"/>
  <c r="C357" i="12787"/>
  <c r="C151" i="12787" s="1"/>
  <c r="C390" i="12787"/>
  <c r="C361" i="12787" s="1"/>
  <c r="C391" i="12787"/>
  <c r="C362" i="12787" s="1"/>
  <c r="E386" i="12787"/>
  <c r="G386" i="12787" s="1"/>
  <c r="E415" i="12787"/>
  <c r="E426" i="12787" s="1"/>
  <c r="G426" i="12787" s="1"/>
  <c r="I386" i="12787"/>
  <c r="K386" i="12787" s="1"/>
  <c r="I415" i="12787"/>
  <c r="K415" i="12787" s="1"/>
  <c r="O151" i="12787"/>
  <c r="C213" i="12787"/>
  <c r="E213" i="12787"/>
  <c r="E241" i="12787"/>
  <c r="E251" i="12787" s="1"/>
  <c r="G251" i="12787" s="1"/>
  <c r="C244" i="12787"/>
  <c r="C245" i="12787"/>
  <c r="C241" i="12787"/>
  <c r="E298" i="12787"/>
  <c r="E309" i="12787" s="1"/>
  <c r="G309" i="12787" s="1"/>
  <c r="E327" i="12787"/>
  <c r="H327" i="12787" s="1"/>
  <c r="I213" i="12787"/>
  <c r="I223" i="12787" s="1"/>
  <c r="I241" i="12787"/>
  <c r="K241" i="12787" s="1"/>
  <c r="I298" i="12787"/>
  <c r="K298" i="12787" s="1"/>
  <c r="I327" i="12787"/>
  <c r="K327" i="12787" s="1"/>
  <c r="E216" i="12787"/>
  <c r="E225" i="12787" s="1"/>
  <c r="E244" i="12787"/>
  <c r="E253" i="12787" s="1"/>
  <c r="G253" i="12787" s="1"/>
  <c r="E302" i="12787"/>
  <c r="E311" i="12787" s="1"/>
  <c r="G311" i="12787" s="1"/>
  <c r="C302" i="12787"/>
  <c r="C303" i="12787"/>
  <c r="E331" i="12787"/>
  <c r="C331" i="12787"/>
  <c r="C333" i="12787" s="1"/>
  <c r="E390" i="12787"/>
  <c r="E419" i="12787"/>
  <c r="G419" i="12787" s="1"/>
  <c r="C434" i="12787"/>
  <c r="D421" i="12787" s="1"/>
  <c r="E217" i="12787"/>
  <c r="E226" i="12787" s="1"/>
  <c r="E245" i="12787"/>
  <c r="E254" i="12787" s="1"/>
  <c r="G254" i="12787" s="1"/>
  <c r="E303" i="12787"/>
  <c r="E312" i="12787" s="1"/>
  <c r="G312" i="12787" s="1"/>
  <c r="E332" i="12787"/>
  <c r="H332" i="12787" s="1"/>
  <c r="E189" i="12787"/>
  <c r="E391" i="12787" s="1"/>
  <c r="E218" i="12787"/>
  <c r="E227" i="12787" s="1"/>
  <c r="E246" i="12787"/>
  <c r="E255" i="12787" s="1"/>
  <c r="G255" i="12787" s="1"/>
  <c r="E304" i="12787"/>
  <c r="E333" i="12787"/>
  <c r="H333" i="12787" s="1"/>
  <c r="E392" i="12787"/>
  <c r="E401" i="12787" s="1"/>
  <c r="G401" i="12787" s="1"/>
  <c r="E421" i="12787"/>
  <c r="G421" i="12787" s="1"/>
  <c r="I216" i="12787"/>
  <c r="I225" i="12787" s="1"/>
  <c r="I244" i="12787"/>
  <c r="I302" i="12787"/>
  <c r="K302" i="12787" s="1"/>
  <c r="I331" i="12787"/>
  <c r="I390" i="12787"/>
  <c r="I399" i="12787" s="1"/>
  <c r="K399" i="12787" s="1"/>
  <c r="I419" i="12787"/>
  <c r="K419" i="12787" s="1"/>
  <c r="I160" i="12787"/>
  <c r="I303" i="12787" s="1"/>
  <c r="I161" i="12787"/>
  <c r="I304" i="12787" s="1"/>
  <c r="I313" i="12787" s="1"/>
  <c r="K313" i="12787" s="1"/>
  <c r="O153" i="12787"/>
  <c r="C215" i="12787"/>
  <c r="E215" i="12787"/>
  <c r="E224" i="12787" s="1"/>
  <c r="E243" i="12787"/>
  <c r="E252" i="12787" s="1"/>
  <c r="G252" i="12787" s="1"/>
  <c r="C243" i="12787"/>
  <c r="E301" i="12787"/>
  <c r="H301" i="12787" s="1"/>
  <c r="E330" i="12787"/>
  <c r="H330" i="12787" s="1"/>
  <c r="E389" i="12787"/>
  <c r="G389" i="12787" s="1"/>
  <c r="E418" i="12787"/>
  <c r="E427" i="12787" s="1"/>
  <c r="G427" i="12787" s="1"/>
  <c r="I215" i="12787"/>
  <c r="I224" i="12787" s="1"/>
  <c r="I243" i="12787"/>
  <c r="I252" i="12787" s="1"/>
  <c r="K252" i="12787" s="1"/>
  <c r="I301" i="12787"/>
  <c r="K301" i="12787" s="1"/>
  <c r="I330" i="12787"/>
  <c r="K330" i="12787" s="1"/>
  <c r="I389" i="12787"/>
  <c r="K389" i="12787" s="1"/>
  <c r="I418" i="12787"/>
  <c r="K418" i="12787" s="1"/>
  <c r="C268" i="12787"/>
  <c r="D268" i="12787"/>
  <c r="G326" i="12787"/>
  <c r="C269" i="12787"/>
  <c r="D269" i="12787"/>
  <c r="O155" i="12787"/>
  <c r="C388" i="12787"/>
  <c r="C359" i="12787" s="1"/>
  <c r="D271" i="12787"/>
  <c r="D416" i="12787"/>
  <c r="D358" i="12787" s="1"/>
  <c r="C272" i="12787"/>
  <c r="C360" i="12787"/>
  <c r="D272" i="12787"/>
  <c r="O158" i="12787"/>
  <c r="O159" i="12787"/>
  <c r="C363" i="12787"/>
  <c r="C219" i="12787"/>
  <c r="C247" i="12787"/>
  <c r="C276" i="12787"/>
  <c r="C364" i="12787"/>
  <c r="E219" i="12787"/>
  <c r="E247" i="12787"/>
  <c r="E256" i="12787" s="1"/>
  <c r="G256" i="12787" s="1"/>
  <c r="E305" i="12787"/>
  <c r="G305" i="12787" s="1"/>
  <c r="E334" i="12787"/>
  <c r="G334" i="12787" s="1"/>
  <c r="E393" i="12787"/>
  <c r="G393" i="12787" s="1"/>
  <c r="E422" i="12787"/>
  <c r="G422" i="12787" s="1"/>
  <c r="I219" i="12787"/>
  <c r="I228" i="12787" s="1"/>
  <c r="I247" i="12787"/>
  <c r="I256" i="12787" s="1"/>
  <c r="K256" i="12787" s="1"/>
  <c r="I305" i="12787"/>
  <c r="K305" i="12787" s="1"/>
  <c r="I334" i="12787"/>
  <c r="K334" i="12787" s="1"/>
  <c r="I393" i="12787"/>
  <c r="K393" i="12787" s="1"/>
  <c r="I422" i="12787"/>
  <c r="K422" i="12787" s="1"/>
  <c r="O162" i="12787"/>
  <c r="C221" i="12787"/>
  <c r="C193" i="12787" s="1"/>
  <c r="C164" i="12787" s="1"/>
  <c r="E164" i="12787"/>
  <c r="E221" i="12787"/>
  <c r="H221" i="12787" s="1"/>
  <c r="D424" i="12787"/>
  <c r="I164" i="12787"/>
  <c r="I221" i="12787"/>
  <c r="C222" i="12787"/>
  <c r="C194" i="12787" s="1"/>
  <c r="C165" i="12787" s="1"/>
  <c r="E165" i="12787"/>
  <c r="E222" i="12787"/>
  <c r="H222" i="12787" s="1"/>
  <c r="D425" i="12787"/>
  <c r="C223" i="12787"/>
  <c r="C195" i="12787" s="1"/>
  <c r="C166" i="12787" s="1"/>
  <c r="E166" i="12787"/>
  <c r="E223" i="12787"/>
  <c r="I166" i="12787"/>
  <c r="I251" i="12787"/>
  <c r="K251" i="12787" s="1"/>
  <c r="I397" i="12787"/>
  <c r="K397" i="12787" s="1"/>
  <c r="C224" i="12787"/>
  <c r="C196" i="12787" s="1"/>
  <c r="C167" i="12787" s="1"/>
  <c r="E167" i="12787"/>
  <c r="D427" i="12787"/>
  <c r="I167" i="12787"/>
  <c r="C225" i="12787"/>
  <c r="C197" i="12787" s="1"/>
  <c r="C168" i="12787" s="1"/>
  <c r="E168" i="12787"/>
  <c r="E340" i="12787"/>
  <c r="G340" i="12787" s="1"/>
  <c r="D428" i="12787"/>
  <c r="I168" i="12787"/>
  <c r="C226" i="12787"/>
  <c r="C198" i="12787" s="1"/>
  <c r="C169" i="12787" s="1"/>
  <c r="E169" i="12787"/>
  <c r="D429" i="12787"/>
  <c r="E170" i="12787"/>
  <c r="E313" i="12787"/>
  <c r="G313" i="12787" s="1"/>
  <c r="D430" i="12787"/>
  <c r="C228" i="12787"/>
  <c r="C200" i="12787" s="1"/>
  <c r="C171" i="12787" s="1"/>
  <c r="E171" i="12787"/>
  <c r="D431" i="12787"/>
  <c r="I171" i="12787"/>
  <c r="C229" i="12787"/>
  <c r="C201" i="12787" s="1"/>
  <c r="C172" i="12787" s="1"/>
  <c r="E172" i="12787"/>
  <c r="E229" i="12787" s="1"/>
  <c r="D403" i="12787"/>
  <c r="D432" i="12787"/>
  <c r="I172" i="12787"/>
  <c r="I229" i="12787" s="1"/>
  <c r="C230" i="12787"/>
  <c r="C202" i="12787" s="1"/>
  <c r="C173" i="12787" s="1"/>
  <c r="E173" i="12787"/>
  <c r="E230" i="12787" s="1"/>
  <c r="D433" i="12787"/>
  <c r="I173" i="12787"/>
  <c r="I230" i="12787" s="1"/>
  <c r="D203" i="12787"/>
  <c r="D288" i="12787"/>
  <c r="D376" i="12787"/>
  <c r="D204" i="12787"/>
  <c r="D289" i="12787"/>
  <c r="D377" i="12787"/>
  <c r="H204" i="12787"/>
  <c r="H289" i="12787"/>
  <c r="H377" i="12787"/>
  <c r="E183" i="12787"/>
  <c r="E193" i="12787" s="1"/>
  <c r="I183" i="12787"/>
  <c r="I193" i="12787" s="1"/>
  <c r="E184" i="12787"/>
  <c r="E194" i="12787" s="1"/>
  <c r="E185" i="12787"/>
  <c r="E195" i="12787" s="1"/>
  <c r="I185" i="12787"/>
  <c r="I195" i="12787" s="1"/>
  <c r="E187" i="12787"/>
  <c r="E196" i="12787" s="1"/>
  <c r="I187" i="12787"/>
  <c r="I196" i="12787" s="1"/>
  <c r="E188" i="12787"/>
  <c r="E197" i="12787" s="1"/>
  <c r="I188" i="12787"/>
  <c r="I197" i="12787" s="1"/>
  <c r="E190" i="12787"/>
  <c r="E199" i="12787" s="1"/>
  <c r="E191" i="12787"/>
  <c r="E200" i="12787" s="1"/>
  <c r="I191" i="12787"/>
  <c r="I200" i="12787" s="1"/>
  <c r="D214" i="12787"/>
  <c r="D233" i="12787"/>
  <c r="D261" i="12787"/>
  <c r="E267" i="12787"/>
  <c r="E278" i="12787" s="1"/>
  <c r="I267" i="12787"/>
  <c r="I278" i="12787" s="1"/>
  <c r="E268" i="12787"/>
  <c r="E279" i="12787" s="1"/>
  <c r="E269" i="12787"/>
  <c r="I269" i="12787"/>
  <c r="I280" i="12787" s="1"/>
  <c r="E272" i="12787"/>
  <c r="E281" i="12787" s="1"/>
  <c r="I272" i="12787"/>
  <c r="I281" i="12787" s="1"/>
  <c r="E273" i="12787"/>
  <c r="E282" i="12787" s="1"/>
  <c r="I273" i="12787"/>
  <c r="I282" i="12787" s="1"/>
  <c r="E274" i="12787"/>
  <c r="E283" i="12787" s="1"/>
  <c r="E275" i="12787"/>
  <c r="E284" i="12787" s="1"/>
  <c r="E276" i="12787"/>
  <c r="E285" i="12787" s="1"/>
  <c r="I276" i="12787"/>
  <c r="I285" i="12787" s="1"/>
  <c r="E280" i="12787"/>
  <c r="D319" i="12787"/>
  <c r="C328" i="12787"/>
  <c r="D328" i="12787" s="1"/>
  <c r="D348" i="12787"/>
  <c r="C355" i="12787"/>
  <c r="E355" i="12787"/>
  <c r="E366" i="12787" s="1"/>
  <c r="I355" i="12787"/>
  <c r="I366" i="12787" s="1"/>
  <c r="E356" i="12787"/>
  <c r="E367" i="12787" s="1"/>
  <c r="E357" i="12787"/>
  <c r="E368" i="12787" s="1"/>
  <c r="I357" i="12787"/>
  <c r="I368" i="12787" s="1"/>
  <c r="C416" i="12787"/>
  <c r="C358" i="12787" s="1"/>
  <c r="E360" i="12787"/>
  <c r="E369" i="12787" s="1"/>
  <c r="I360" i="12787"/>
  <c r="I369" i="12787" s="1"/>
  <c r="E361" i="12787"/>
  <c r="E370" i="12787" s="1"/>
  <c r="I361" i="12787"/>
  <c r="I370" i="12787" s="1"/>
  <c r="E363" i="12787"/>
  <c r="E372" i="12787" s="1"/>
  <c r="E364" i="12787"/>
  <c r="E373" i="12787" s="1"/>
  <c r="I364" i="12787"/>
  <c r="I373" i="12787" s="1"/>
  <c r="D407" i="12787"/>
  <c r="D436" i="12787"/>
  <c r="E443" i="12787"/>
  <c r="G443" i="12787" s="1"/>
  <c r="H443" i="12787"/>
  <c r="I443" i="12766"/>
  <c r="I443" i="12787" s="1"/>
  <c r="K443" i="12787" s="1"/>
  <c r="E444" i="12787"/>
  <c r="G444" i="12787" s="1"/>
  <c r="H444" i="12787"/>
  <c r="I444" i="12766"/>
  <c r="I444" i="12787" s="1"/>
  <c r="K444" i="12787" s="1"/>
  <c r="E445" i="12787"/>
  <c r="G445" i="12787" s="1"/>
  <c r="H445" i="12787"/>
  <c r="I445" i="12766"/>
  <c r="I445" i="12787" s="1"/>
  <c r="K445" i="12787" s="1"/>
  <c r="C446" i="12787"/>
  <c r="D446" i="12787"/>
  <c r="E447" i="12787"/>
  <c r="G447" i="12787" s="1"/>
  <c r="H447" i="12787"/>
  <c r="I447" i="12766"/>
  <c r="I447" i="12787" s="1"/>
  <c r="K447" i="12787" s="1"/>
  <c r="E448" i="12787"/>
  <c r="G448" i="12787" s="1"/>
  <c r="H448" i="12787"/>
  <c r="I448" i="12766"/>
  <c r="I448" i="12787" s="1"/>
  <c r="K448" i="12787" s="1"/>
  <c r="E450" i="12787"/>
  <c r="G450" i="12787" s="1"/>
  <c r="H450" i="12787"/>
  <c r="I450" i="12766"/>
  <c r="I450" i="12787" s="1"/>
  <c r="K450" i="12787" s="1"/>
  <c r="E452" i="12787"/>
  <c r="G452" i="12787" s="1"/>
  <c r="H452" i="12787"/>
  <c r="I452" i="12766"/>
  <c r="I452" i="12787" s="1"/>
  <c r="K452" i="12787" s="1"/>
  <c r="E453" i="12787"/>
  <c r="G453" i="12787" s="1"/>
  <c r="H453" i="12787"/>
  <c r="I491" i="12766"/>
  <c r="I453" i="12766" s="1"/>
  <c r="E454" i="12787"/>
  <c r="G454" i="12787" s="1"/>
  <c r="H454" i="12787"/>
  <c r="I454" i="12787"/>
  <c r="K454" i="12787" s="1"/>
  <c r="E455" i="12787"/>
  <c r="G455" i="12787" s="1"/>
  <c r="H455" i="12787"/>
  <c r="I455" i="12787"/>
  <c r="K455" i="12787" s="1"/>
  <c r="E494" i="12787"/>
  <c r="E457" i="12787" s="1"/>
  <c r="G457" i="12787" s="1"/>
  <c r="H457" i="12787"/>
  <c r="E495" i="12787"/>
  <c r="E458" i="12787" s="1"/>
  <c r="G458" i="12787" s="1"/>
  <c r="H458" i="12787"/>
  <c r="E496" i="12787"/>
  <c r="E459" i="12787" s="1"/>
  <c r="G459" i="12787" s="1"/>
  <c r="H459" i="12787"/>
  <c r="E497" i="12787"/>
  <c r="E460" i="12787" s="1"/>
  <c r="G460" i="12787" s="1"/>
  <c r="H460" i="12787"/>
  <c r="E498" i="12787"/>
  <c r="E461" i="12787" s="1"/>
  <c r="G461" i="12787" s="1"/>
  <c r="H461" i="12787"/>
  <c r="E499" i="12787"/>
  <c r="E462" i="12787" s="1"/>
  <c r="G462" i="12787" s="1"/>
  <c r="H462" i="12787"/>
  <c r="E501" i="12787"/>
  <c r="E463" i="12787" s="1"/>
  <c r="G463" i="12787" s="1"/>
  <c r="H463" i="12787"/>
  <c r="E502" i="12787"/>
  <c r="E464" i="12787" s="1"/>
  <c r="G464" i="12787" s="1"/>
  <c r="H464" i="12787"/>
  <c r="E503" i="12787"/>
  <c r="E465" i="12787" s="1"/>
  <c r="G465" i="12787" s="1"/>
  <c r="H465" i="12787"/>
  <c r="I465" i="12787"/>
  <c r="K465" i="12787" s="1"/>
  <c r="E466" i="12787"/>
  <c r="G466" i="12787" s="1"/>
  <c r="H466" i="12787"/>
  <c r="I466" i="12787"/>
  <c r="K466" i="12787" s="1"/>
  <c r="G467" i="12787"/>
  <c r="H467" i="12787"/>
  <c r="K467" i="12787"/>
  <c r="G468" i="12787"/>
  <c r="H468" i="12787"/>
  <c r="K468" i="12787"/>
  <c r="E470" i="12787"/>
  <c r="H471" i="12787"/>
  <c r="C472" i="12787"/>
  <c r="C474" i="12787" s="1"/>
  <c r="D472" i="12787"/>
  <c r="D474" i="12787" s="1"/>
  <c r="C514" i="12787"/>
  <c r="C548" i="12787"/>
  <c r="D480" i="12787"/>
  <c r="M480" i="12787" s="1"/>
  <c r="E514" i="12787"/>
  <c r="E548" i="12787"/>
  <c r="E562" i="12787" s="1"/>
  <c r="I514" i="12787"/>
  <c r="I528" i="12787" s="1"/>
  <c r="K528" i="12787" s="1"/>
  <c r="I548" i="12787"/>
  <c r="I562" i="12787" s="1"/>
  <c r="K562" i="12787" s="1"/>
  <c r="O480" i="12787"/>
  <c r="C518" i="12787"/>
  <c r="E518" i="12787"/>
  <c r="E552" i="12787"/>
  <c r="E565" i="12787" s="1"/>
  <c r="G565" i="12787" s="1"/>
  <c r="C558" i="12787"/>
  <c r="C559" i="12787" s="1"/>
  <c r="C574" i="12787" s="1"/>
  <c r="C552" i="12787"/>
  <c r="C484" i="12787" s="1"/>
  <c r="C519" i="12787"/>
  <c r="E519" i="12787"/>
  <c r="E532" i="12787" s="1"/>
  <c r="G532" i="12787" s="1"/>
  <c r="E553" i="12787"/>
  <c r="E566" i="12787" s="1"/>
  <c r="G566" i="12787" s="1"/>
  <c r="C553" i="12787"/>
  <c r="I515" i="12787"/>
  <c r="C515" i="12787"/>
  <c r="I549" i="12787"/>
  <c r="I563" i="12787" s="1"/>
  <c r="K563" i="12787" s="1"/>
  <c r="C549" i="12787"/>
  <c r="I516" i="12787"/>
  <c r="I530" i="12787" s="1"/>
  <c r="C516" i="12787"/>
  <c r="I550" i="12787"/>
  <c r="I564" i="12787" s="1"/>
  <c r="K564" i="12787" s="1"/>
  <c r="C550" i="12787"/>
  <c r="I518" i="12787"/>
  <c r="I552" i="12787"/>
  <c r="I519" i="12787"/>
  <c r="I532" i="12787" s="1"/>
  <c r="K532" i="12787" s="1"/>
  <c r="I553" i="12787"/>
  <c r="E515" i="12787"/>
  <c r="E549" i="12787"/>
  <c r="E516" i="12787"/>
  <c r="E550" i="12787"/>
  <c r="H550" i="12787" s="1"/>
  <c r="D481" i="12787"/>
  <c r="M481" i="12787" s="1"/>
  <c r="O481" i="12787"/>
  <c r="D482" i="12787"/>
  <c r="O482" i="12787"/>
  <c r="E524" i="12787"/>
  <c r="E558" i="12787"/>
  <c r="E525" i="12787"/>
  <c r="E536" i="12787" s="1"/>
  <c r="E559" i="12787"/>
  <c r="I524" i="12787"/>
  <c r="I558" i="12787"/>
  <c r="I491" i="12787"/>
  <c r="O491" i="12787" s="1"/>
  <c r="C521" i="12787"/>
  <c r="E521" i="12787"/>
  <c r="E522" i="12787" s="1"/>
  <c r="E555" i="12787"/>
  <c r="E567" i="12787" s="1"/>
  <c r="C555" i="12787"/>
  <c r="I521" i="12787"/>
  <c r="I533" i="12787" s="1"/>
  <c r="I555" i="12787"/>
  <c r="O484" i="12787"/>
  <c r="O485" i="12787"/>
  <c r="O487" i="12787"/>
  <c r="C488" i="12787"/>
  <c r="E488" i="12787"/>
  <c r="E500" i="12787" s="1"/>
  <c r="I488" i="12787"/>
  <c r="O490" i="12787"/>
  <c r="C526" i="12787"/>
  <c r="C560" i="12787"/>
  <c r="E526" i="12787"/>
  <c r="E560" i="12787"/>
  <c r="E571" i="12787" s="1"/>
  <c r="I526" i="12787"/>
  <c r="I560" i="12787"/>
  <c r="O492" i="12787"/>
  <c r="C494" i="12787"/>
  <c r="D494" i="12787"/>
  <c r="I494" i="12787"/>
  <c r="C529" i="12787"/>
  <c r="C495" i="12787" s="1"/>
  <c r="D495" i="12787"/>
  <c r="I495" i="12787"/>
  <c r="I529" i="12787"/>
  <c r="C530" i="12787"/>
  <c r="C496" i="12787" s="1"/>
  <c r="D496" i="12787"/>
  <c r="I496" i="12787"/>
  <c r="C531" i="12787"/>
  <c r="C497" i="12787" s="1"/>
  <c r="E531" i="12787"/>
  <c r="I497" i="12787"/>
  <c r="I531" i="12787"/>
  <c r="C498" i="12787"/>
  <c r="I498" i="12787"/>
  <c r="C533" i="12787"/>
  <c r="C567" i="12787"/>
  <c r="I499" i="12787"/>
  <c r="C500" i="12787"/>
  <c r="C535" i="12787"/>
  <c r="C536" i="12787" s="1"/>
  <c r="C569" i="12787"/>
  <c r="E535" i="12787"/>
  <c r="I501" i="12787"/>
  <c r="I535" i="12787"/>
  <c r="K535" i="12787" s="1"/>
  <c r="C537" i="12787"/>
  <c r="C571" i="12787"/>
  <c r="I503" i="12787"/>
  <c r="C538" i="12787"/>
  <c r="C572" i="12787"/>
  <c r="D504" i="12787"/>
  <c r="E504" i="12787"/>
  <c r="E538" i="12787" s="1"/>
  <c r="I504" i="12787"/>
  <c r="I538" i="12787" s="1"/>
  <c r="C539" i="12787"/>
  <c r="C573" i="12787"/>
  <c r="E505" i="12787"/>
  <c r="E539" i="12787" s="1"/>
  <c r="I505" i="12787"/>
  <c r="I539" i="12787" s="1"/>
  <c r="D506" i="12787"/>
  <c r="D507" i="12787"/>
  <c r="H507" i="12787"/>
  <c r="D517" i="12787"/>
  <c r="D551" i="12787"/>
  <c r="C633" i="12787"/>
  <c r="C582" i="12787" s="1"/>
  <c r="D582" i="12787"/>
  <c r="E633" i="12787"/>
  <c r="E684" i="12787"/>
  <c r="G684" i="12787" s="1"/>
  <c r="I582" i="12787"/>
  <c r="I633" i="12787" s="1"/>
  <c r="E635" i="12787"/>
  <c r="H635" i="12787" s="1"/>
  <c r="E686" i="12787"/>
  <c r="H686" i="12787" s="1"/>
  <c r="E636" i="12787"/>
  <c r="H636" i="12787" s="1"/>
  <c r="E687" i="12787"/>
  <c r="H687" i="12787" s="1"/>
  <c r="E637" i="12787"/>
  <c r="H637" i="12787" s="1"/>
  <c r="E688" i="12787"/>
  <c r="H688" i="12787" s="1"/>
  <c r="E642" i="12787"/>
  <c r="H642" i="12787" s="1"/>
  <c r="E693" i="12787"/>
  <c r="G693" i="12787" s="1"/>
  <c r="C704" i="12787"/>
  <c r="C727" i="12787" s="1"/>
  <c r="E644" i="12787"/>
  <c r="H644" i="12787" s="1"/>
  <c r="E695" i="12787"/>
  <c r="E714" i="12787" s="1"/>
  <c r="G714" i="12787" s="1"/>
  <c r="C695" i="12787"/>
  <c r="E645" i="12787"/>
  <c r="H645" i="12787" s="1"/>
  <c r="E696" i="12787"/>
  <c r="C696" i="12787"/>
  <c r="E646" i="12787"/>
  <c r="H646" i="12787" s="1"/>
  <c r="E697" i="12787"/>
  <c r="E716" i="12787" s="1"/>
  <c r="G716" i="12787" s="1"/>
  <c r="C697" i="12787"/>
  <c r="E647" i="12787"/>
  <c r="H647" i="12787" s="1"/>
  <c r="E698" i="12787"/>
  <c r="H698" i="12787" s="1"/>
  <c r="E648" i="12787"/>
  <c r="H648" i="12787" s="1"/>
  <c r="E699" i="12787"/>
  <c r="H699" i="12787" s="1"/>
  <c r="I635" i="12787"/>
  <c r="I658" i="12787" s="1"/>
  <c r="K658" i="12787" s="1"/>
  <c r="C635" i="12787"/>
  <c r="I686" i="12787"/>
  <c r="K686" i="12787" s="1"/>
  <c r="I585" i="12787"/>
  <c r="I636" i="12787" s="1"/>
  <c r="C636" i="12787"/>
  <c r="C585" i="12787" s="1"/>
  <c r="I586" i="12787"/>
  <c r="I688" i="12787" s="1"/>
  <c r="C637" i="12787"/>
  <c r="C586" i="12787" s="1"/>
  <c r="I591" i="12787"/>
  <c r="K589" i="12787" s="1"/>
  <c r="C642" i="12787"/>
  <c r="C591" i="12787" s="1"/>
  <c r="I593" i="12787"/>
  <c r="I644" i="12787" s="1"/>
  <c r="C644" i="12787"/>
  <c r="I594" i="12787"/>
  <c r="I645" i="12787" s="1"/>
  <c r="C645" i="12787"/>
  <c r="I595" i="12787"/>
  <c r="I646" i="12787" s="1"/>
  <c r="C646" i="12787"/>
  <c r="I596" i="12787"/>
  <c r="I597" i="12787"/>
  <c r="D584" i="12787"/>
  <c r="M584" i="12787" s="1"/>
  <c r="E653" i="12787"/>
  <c r="E672" i="12787" s="1"/>
  <c r="G672" i="12787" s="1"/>
  <c r="C653" i="12787"/>
  <c r="C676" i="12787" s="1"/>
  <c r="E704" i="12787"/>
  <c r="E723" i="12787" s="1"/>
  <c r="I602" i="12787"/>
  <c r="I653" i="12787" s="1"/>
  <c r="D585" i="12787"/>
  <c r="D586" i="12787"/>
  <c r="C689" i="12787"/>
  <c r="D587" i="12787"/>
  <c r="C639" i="12787"/>
  <c r="C690" i="12787"/>
  <c r="D588" i="12787"/>
  <c r="C640" i="12787"/>
  <c r="C691" i="12787"/>
  <c r="D589" i="12787"/>
  <c r="C596" i="12787"/>
  <c r="D596" i="12787"/>
  <c r="C597" i="12787"/>
  <c r="D597" i="12787"/>
  <c r="C599" i="12787"/>
  <c r="E599" i="12787"/>
  <c r="E618" i="12787" s="1"/>
  <c r="C600" i="12787"/>
  <c r="E600" i="12787"/>
  <c r="E619" i="12787" s="1"/>
  <c r="C654" i="12787"/>
  <c r="C705" i="12787"/>
  <c r="E654" i="12787"/>
  <c r="E673" i="12787" s="1"/>
  <c r="G673" i="12787" s="1"/>
  <c r="E705" i="12787"/>
  <c r="I654" i="12787"/>
  <c r="I705" i="12787"/>
  <c r="O603" i="12787"/>
  <c r="C605" i="12787"/>
  <c r="D605" i="12787"/>
  <c r="E605" i="12787"/>
  <c r="C607" i="12787"/>
  <c r="D607" i="12787"/>
  <c r="E607" i="12787"/>
  <c r="I607" i="12787"/>
  <c r="C608" i="12787"/>
  <c r="D608" i="12787"/>
  <c r="E608" i="12787"/>
  <c r="C609" i="12787"/>
  <c r="D609" i="12787"/>
  <c r="E609" i="12787"/>
  <c r="C610" i="12787"/>
  <c r="E610" i="12787"/>
  <c r="C612" i="12787"/>
  <c r="E612" i="12787"/>
  <c r="C613" i="12787"/>
  <c r="E613" i="12787"/>
  <c r="C614" i="12787"/>
  <c r="E614" i="12787"/>
  <c r="C615" i="12787"/>
  <c r="D615" i="12787"/>
  <c r="E615" i="12787"/>
  <c r="C616" i="12787"/>
  <c r="D616" i="12787"/>
  <c r="E616" i="12787"/>
  <c r="C618" i="12787"/>
  <c r="C619" i="12787"/>
  <c r="C723" i="12787"/>
  <c r="C621" i="12787" s="1"/>
  <c r="E621" i="12787"/>
  <c r="C622" i="12787"/>
  <c r="E622" i="12787"/>
  <c r="I622" i="12787"/>
  <c r="C725" i="12787"/>
  <c r="C623" i="12787" s="1"/>
  <c r="D623" i="12787"/>
  <c r="E623" i="12787"/>
  <c r="E674" i="12787" s="1"/>
  <c r="I623" i="12787"/>
  <c r="I674" i="12787" s="1"/>
  <c r="K674" i="12787" s="1"/>
  <c r="C726" i="12787"/>
  <c r="C624" i="12787" s="1"/>
  <c r="E624" i="12787"/>
  <c r="E675" i="12787" s="1"/>
  <c r="G675" i="12787" s="1"/>
  <c r="I624" i="12787"/>
  <c r="I675" i="12787" s="1"/>
  <c r="K675" i="12787" s="1"/>
  <c r="D625" i="12787"/>
  <c r="P34" i="12775"/>
  <c r="P35" i="12775"/>
  <c r="D626" i="12787"/>
  <c r="H626" i="12787"/>
  <c r="D678" i="12787"/>
  <c r="D729" i="12787"/>
  <c r="E794" i="12787"/>
  <c r="E735" i="12787" s="1"/>
  <c r="I735" i="12787"/>
  <c r="K735" i="12787" s="1"/>
  <c r="E795" i="12787"/>
  <c r="E805" i="12787" s="1"/>
  <c r="I736" i="12787"/>
  <c r="K736" i="12787" s="1"/>
  <c r="C737" i="12787"/>
  <c r="D737" i="12787"/>
  <c r="E737" i="12787"/>
  <c r="I737" i="12787"/>
  <c r="C738" i="12787"/>
  <c r="C758" i="12787"/>
  <c r="E797" i="12787"/>
  <c r="E738" i="12787" s="1"/>
  <c r="I738" i="12787"/>
  <c r="I748" i="12787" s="1"/>
  <c r="K748" i="12787" s="1"/>
  <c r="E798" i="12787"/>
  <c r="E739" i="12787" s="1"/>
  <c r="E749" i="12787" s="1"/>
  <c r="I739" i="12787"/>
  <c r="K739" i="12787" s="1"/>
  <c r="C740" i="12787"/>
  <c r="E799" i="12787"/>
  <c r="E740" i="12787" s="1"/>
  <c r="I740" i="12787"/>
  <c r="I756" i="12787" s="1"/>
  <c r="K756" i="12787" s="1"/>
  <c r="E801" i="12787"/>
  <c r="E742" i="12787" s="1"/>
  <c r="I742" i="12787"/>
  <c r="K742" i="12787" s="1"/>
  <c r="E802" i="12787"/>
  <c r="E743" i="12787" s="1"/>
  <c r="I743" i="12787"/>
  <c r="K743" i="12787" s="1"/>
  <c r="G744" i="12787"/>
  <c r="H744" i="12787"/>
  <c r="K744" i="12787"/>
  <c r="M744" i="12787"/>
  <c r="E745" i="12787"/>
  <c r="I745" i="12787"/>
  <c r="C747" i="12787"/>
  <c r="C749" i="12787"/>
  <c r="E811" i="12787"/>
  <c r="E839" i="12787" s="1"/>
  <c r="H839" i="12787" s="1"/>
  <c r="I783" i="12787"/>
  <c r="I811" i="12787" s="1"/>
  <c r="I753" i="12787" s="1"/>
  <c r="K753" i="12787" s="1"/>
  <c r="E812" i="12787"/>
  <c r="E754" i="12787" s="1"/>
  <c r="G754" i="12787" s="1"/>
  <c r="I784" i="12787"/>
  <c r="I812" i="12787" s="1"/>
  <c r="C822" i="12787"/>
  <c r="C824" i="12787" s="1"/>
  <c r="C850" i="12787"/>
  <c r="D794" i="12787"/>
  <c r="D766" i="12787" s="1"/>
  <c r="E877" i="12787"/>
  <c r="H877" i="12787" s="1"/>
  <c r="I822" i="12787"/>
  <c r="I850" i="12787"/>
  <c r="I860" i="12787" s="1"/>
  <c r="K860" i="12787" s="1"/>
  <c r="K877" i="12787"/>
  <c r="O766" i="12787"/>
  <c r="C851" i="12787"/>
  <c r="C795" i="12787" s="1"/>
  <c r="C767" i="12787" s="1"/>
  <c r="D795" i="12787"/>
  <c r="D767" i="12787" s="1"/>
  <c r="M767" i="12787" s="1"/>
  <c r="E878" i="12787"/>
  <c r="G878" i="12787" s="1"/>
  <c r="I823" i="12787"/>
  <c r="K823" i="12787" s="1"/>
  <c r="I851" i="12787"/>
  <c r="K878" i="12787"/>
  <c r="O767" i="12787"/>
  <c r="C825" i="12787"/>
  <c r="C829" i="12787"/>
  <c r="C841" i="12787" s="1"/>
  <c r="C857" i="12787"/>
  <c r="C853" i="12787"/>
  <c r="E880" i="12787"/>
  <c r="E889" i="12787" s="1"/>
  <c r="G889" i="12787" s="1"/>
  <c r="C826" i="12787"/>
  <c r="C854" i="12787"/>
  <c r="E881" i="12787"/>
  <c r="E890" i="12787" s="1"/>
  <c r="C896" i="12787"/>
  <c r="D881" i="12787" s="1"/>
  <c r="I825" i="12787"/>
  <c r="I853" i="12787"/>
  <c r="K880" i="12787"/>
  <c r="I826" i="12787"/>
  <c r="I854" i="12787"/>
  <c r="K881" i="12787"/>
  <c r="O769" i="12787"/>
  <c r="V769" i="12787"/>
  <c r="O770" i="12787"/>
  <c r="E827" i="12787"/>
  <c r="E836" i="12787" s="1"/>
  <c r="C827" i="12787"/>
  <c r="C855" i="12787"/>
  <c r="E882" i="12787"/>
  <c r="E891" i="12787" s="1"/>
  <c r="I827" i="12787"/>
  <c r="I855" i="12787"/>
  <c r="I864" i="12787" s="1"/>
  <c r="K882" i="12787"/>
  <c r="O771" i="12787"/>
  <c r="E884" i="12787"/>
  <c r="E892" i="12787" s="1"/>
  <c r="I829" i="12787"/>
  <c r="I837" i="12787" s="1"/>
  <c r="I857" i="12787"/>
  <c r="K884" i="12787"/>
  <c r="O773" i="12787"/>
  <c r="C830" i="12787"/>
  <c r="C858" i="12787"/>
  <c r="E885" i="12787"/>
  <c r="O885" i="12787" s="1"/>
  <c r="I830" i="12787"/>
  <c r="I838" i="12787" s="1"/>
  <c r="I858" i="12787"/>
  <c r="I866" i="12787" s="1"/>
  <c r="K885" i="12787"/>
  <c r="O774" i="12787"/>
  <c r="C804" i="12787"/>
  <c r="C776" i="12787" s="1"/>
  <c r="D804" i="12787"/>
  <c r="D776" i="12787" s="1"/>
  <c r="E776" i="12787"/>
  <c r="I776" i="12787"/>
  <c r="I887" i="12787"/>
  <c r="K887" i="12787" s="1"/>
  <c r="C861" i="12787"/>
  <c r="C805" i="12787" s="1"/>
  <c r="C777" i="12787" s="1"/>
  <c r="D805" i="12787"/>
  <c r="D777" i="12787" s="1"/>
  <c r="E777" i="12787"/>
  <c r="I777" i="12787"/>
  <c r="I888" i="12787"/>
  <c r="K888" i="12787" s="1"/>
  <c r="C806" i="12787"/>
  <c r="C778" i="12787" s="1"/>
  <c r="E778" i="12787"/>
  <c r="I778" i="12787"/>
  <c r="I889" i="12787"/>
  <c r="K889" i="12787" s="1"/>
  <c r="C863" i="12787"/>
  <c r="C807" i="12787" s="1"/>
  <c r="C890" i="12787"/>
  <c r="E779" i="12787"/>
  <c r="I779" i="12787"/>
  <c r="I890" i="12787"/>
  <c r="C836" i="12787"/>
  <c r="C864" i="12787"/>
  <c r="C891" i="12787"/>
  <c r="E780" i="12787"/>
  <c r="I780" i="12787"/>
  <c r="I891" i="12787"/>
  <c r="C837" i="12787"/>
  <c r="C865" i="12787"/>
  <c r="C892" i="12787"/>
  <c r="E781" i="12787"/>
  <c r="I781" i="12787"/>
  <c r="I892" i="12787"/>
  <c r="C838" i="12787"/>
  <c r="C866" i="12787"/>
  <c r="C893" i="12787"/>
  <c r="E782" i="12787"/>
  <c r="I782" i="12787"/>
  <c r="I893" i="12787"/>
  <c r="C839" i="12787"/>
  <c r="C867" i="12787"/>
  <c r="D811" i="12787"/>
  <c r="D783" i="12787" s="1"/>
  <c r="E894" i="12787"/>
  <c r="G894" i="12787" s="1"/>
  <c r="C840" i="12787"/>
  <c r="C895" i="12787"/>
  <c r="C868" i="12787" s="1"/>
  <c r="E895" i="12787"/>
  <c r="D813" i="12787"/>
  <c r="D785" i="12787" s="1"/>
  <c r="D814" i="12787"/>
  <c r="D786" i="12787" s="1"/>
  <c r="H814" i="12787"/>
  <c r="H786" i="12787" s="1"/>
  <c r="I804" i="12787"/>
  <c r="I805" i="12787"/>
  <c r="I806" i="12787"/>
  <c r="I807" i="12787"/>
  <c r="I808" i="12787"/>
  <c r="I809" i="12787"/>
  <c r="I810" i="12787"/>
  <c r="D824" i="12787"/>
  <c r="D852" i="12787"/>
  <c r="C879" i="12787"/>
  <c r="C904" i="12787"/>
  <c r="D904" i="12787" s="1"/>
  <c r="C905" i="12787"/>
  <c r="G905" i="12787" s="1"/>
  <c r="G906" i="12787"/>
  <c r="G907" i="12787"/>
  <c r="G908" i="12787"/>
  <c r="G909" i="12787"/>
  <c r="G910" i="12787"/>
  <c r="C911" i="12787"/>
  <c r="G911" i="12787" s="1"/>
  <c r="G912" i="12787"/>
  <c r="C913" i="12787"/>
  <c r="G913" i="12787" s="1"/>
  <c r="G915" i="12787"/>
  <c r="G916" i="12787"/>
  <c r="D906" i="12787"/>
  <c r="H906" i="12787" s="1"/>
  <c r="D907" i="12787"/>
  <c r="H907" i="12787" s="1"/>
  <c r="D908" i="12787"/>
  <c r="H908" i="12787" s="1"/>
  <c r="D909" i="12787"/>
  <c r="H909" i="12787" s="1"/>
  <c r="D910" i="12787"/>
  <c r="H910" i="12787" s="1"/>
  <c r="D912" i="12787"/>
  <c r="H912" i="12787" s="1"/>
  <c r="D915" i="12787"/>
  <c r="H915" i="12787" s="1"/>
  <c r="D916" i="12787"/>
  <c r="H916" i="12787" s="1"/>
  <c r="D917" i="12787"/>
  <c r="P917" i="12787" s="1"/>
  <c r="G917" i="12787"/>
  <c r="D918" i="12787"/>
  <c r="P918" i="12787" s="1"/>
  <c r="G918" i="12787"/>
  <c r="D919" i="12787"/>
  <c r="P919" i="12787" s="1"/>
  <c r="G919" i="12787"/>
  <c r="D920" i="12787"/>
  <c r="P920" i="12787" s="1"/>
  <c r="G920" i="12787"/>
  <c r="D921" i="12787"/>
  <c r="P921" i="12787" s="1"/>
  <c r="G921" i="12787"/>
  <c r="C922" i="12787"/>
  <c r="E43" i="12775"/>
  <c r="F43" i="12775"/>
  <c r="G43" i="12775"/>
  <c r="H43" i="12775"/>
  <c r="I43" i="12775"/>
  <c r="J43" i="12775"/>
  <c r="K43" i="12775"/>
  <c r="L43" i="12775"/>
  <c r="M43" i="12775"/>
  <c r="N43" i="12775"/>
  <c r="O43" i="12775"/>
  <c r="D925" i="12787"/>
  <c r="K930" i="12787"/>
  <c r="M930" i="12787" s="1"/>
  <c r="C934" i="12787"/>
  <c r="D931" i="12787" s="1"/>
  <c r="G931" i="12787"/>
  <c r="K931" i="12787"/>
  <c r="G932" i="12787"/>
  <c r="I932" i="12787"/>
  <c r="C933" i="12787"/>
  <c r="D936" i="12787"/>
  <c r="G941" i="12787"/>
  <c r="K941" i="12787" s="1"/>
  <c r="M941" i="12787" s="1"/>
  <c r="H941" i="12787"/>
  <c r="C968" i="12787"/>
  <c r="C942" i="12787" s="1"/>
  <c r="C969" i="12787"/>
  <c r="C943" i="12787" s="1"/>
  <c r="C982" i="12787"/>
  <c r="D979" i="12787" s="1"/>
  <c r="E968" i="12787"/>
  <c r="E979" i="12787"/>
  <c r="G979" i="12787" s="1"/>
  <c r="I939" i="12766"/>
  <c r="I942" i="12787" s="1"/>
  <c r="I943" i="12787" s="1"/>
  <c r="I979" i="12787"/>
  <c r="E943" i="12787"/>
  <c r="C954" i="12787"/>
  <c r="G954" i="12787" s="1"/>
  <c r="C955" i="12787"/>
  <c r="G955" i="12787" s="1"/>
  <c r="C956" i="12787"/>
  <c r="G956" i="12787" s="1"/>
  <c r="C957" i="12787"/>
  <c r="G957" i="12787" s="1"/>
  <c r="C958" i="12787"/>
  <c r="G958" i="12787" s="1"/>
  <c r="C959" i="12787"/>
  <c r="G959" i="12787" s="1"/>
  <c r="G962" i="12787"/>
  <c r="C963" i="12787"/>
  <c r="G963" i="12787" s="1"/>
  <c r="C964" i="12787"/>
  <c r="G964" i="12787" s="1"/>
  <c r="C965" i="12787"/>
  <c r="G965" i="12787" s="1"/>
  <c r="C966" i="12787"/>
  <c r="G966" i="12787" s="1"/>
  <c r="C970" i="12787"/>
  <c r="C944" i="12787" s="1"/>
  <c r="D944" i="12787"/>
  <c r="D945" i="12787"/>
  <c r="K952" i="12787"/>
  <c r="I954" i="12787"/>
  <c r="I955" i="12787"/>
  <c r="I956" i="12787"/>
  <c r="I957" i="12787"/>
  <c r="I958" i="12787"/>
  <c r="I959" i="12787"/>
  <c r="I962" i="12787"/>
  <c r="K962" i="12787" s="1"/>
  <c r="I963" i="12787"/>
  <c r="I964" i="12787"/>
  <c r="I965" i="12787"/>
  <c r="I966" i="12787"/>
  <c r="K978" i="12787"/>
  <c r="D946" i="12787"/>
  <c r="H946" i="12787"/>
  <c r="P954" i="12787"/>
  <c r="P955" i="12787"/>
  <c r="P956" i="12787"/>
  <c r="P957" i="12787"/>
  <c r="P958" i="12787"/>
  <c r="P959" i="12787"/>
  <c r="P962" i="12787"/>
  <c r="P963" i="12787"/>
  <c r="P964" i="12787"/>
  <c r="P965" i="12787"/>
  <c r="P966" i="12787"/>
  <c r="D973" i="12787"/>
  <c r="D984" i="12787"/>
  <c r="G989" i="12787"/>
  <c r="H989" i="12787"/>
  <c r="I989" i="12787"/>
  <c r="K989" i="12787" s="1"/>
  <c r="G990" i="12787"/>
  <c r="H990" i="12787"/>
  <c r="I990" i="12787"/>
  <c r="K990" i="12787" s="1"/>
  <c r="C991" i="12787"/>
  <c r="C992" i="12787"/>
  <c r="G992" i="12787" s="1"/>
  <c r="H992" i="12787"/>
  <c r="M992" i="12787"/>
  <c r="D993" i="12787"/>
  <c r="D995" i="12787"/>
  <c r="C1001" i="12787"/>
  <c r="G1001" i="12787" s="1"/>
  <c r="C1030" i="12787"/>
  <c r="D1018" i="12787" s="1"/>
  <c r="H1018" i="12787" s="1"/>
  <c r="C1002" i="12787"/>
  <c r="G1002" i="12787" s="1"/>
  <c r="G1003" i="12787"/>
  <c r="C1005" i="12787"/>
  <c r="G1005" i="12787" s="1"/>
  <c r="G1006" i="12787"/>
  <c r="C1009" i="12787"/>
  <c r="G1009" i="12787" s="1"/>
  <c r="C1010" i="12787"/>
  <c r="G1010" i="12787" s="1"/>
  <c r="G1011" i="12787"/>
  <c r="G1013" i="12787"/>
  <c r="G1014" i="12787"/>
  <c r="G1017" i="12787"/>
  <c r="G1018" i="12787"/>
  <c r="G1019" i="12787"/>
  <c r="G1021" i="12787"/>
  <c r="G1022" i="12787"/>
  <c r="C1024" i="12787"/>
  <c r="G1024" i="12787" s="1"/>
  <c r="C1025" i="12787"/>
  <c r="G1025" i="12787" s="1"/>
  <c r="G1026" i="12787"/>
  <c r="C1028" i="12787"/>
  <c r="G1028" i="12787" s="1"/>
  <c r="C1029" i="12787"/>
  <c r="D1032" i="12787"/>
  <c r="G1037" i="12787"/>
  <c r="K1037" i="12787" s="1"/>
  <c r="E36" i="12763"/>
  <c r="G48" i="12763"/>
  <c r="G93" i="12763" s="1"/>
  <c r="C87" i="12764"/>
  <c r="S38" i="12764"/>
  <c r="S40" i="12764"/>
  <c r="S41" i="12764"/>
  <c r="S53" i="12764"/>
  <c r="I593" i="12766"/>
  <c r="R583" i="12766" s="1"/>
  <c r="I596" i="12766"/>
  <c r="O596" i="12766" s="1"/>
  <c r="I597" i="12766"/>
  <c r="I699" i="12766" s="1"/>
  <c r="K699" i="12766" s="1"/>
  <c r="I160" i="12766"/>
  <c r="I161" i="12766" s="1"/>
  <c r="I333" i="12766" s="1"/>
  <c r="K333" i="12766" s="1"/>
  <c r="I149" i="12766"/>
  <c r="I384" i="12766" s="1"/>
  <c r="I395" i="12766" s="1"/>
  <c r="I150" i="12766"/>
  <c r="I414" i="12766" s="1"/>
  <c r="H20" i="12783"/>
  <c r="E72" i="12811"/>
  <c r="E29" i="12773"/>
  <c r="E28" i="12773"/>
  <c r="E27" i="12773"/>
  <c r="E25" i="12773"/>
  <c r="E24" i="12773"/>
  <c r="E23" i="12773"/>
  <c r="E21" i="12773"/>
  <c r="E20" i="12773"/>
  <c r="E19" i="12773"/>
  <c r="E17" i="12773"/>
  <c r="E16" i="12773"/>
  <c r="E15" i="12773"/>
  <c r="E29" i="12772"/>
  <c r="E28" i="12772"/>
  <c r="E27" i="12772"/>
  <c r="E25" i="12772"/>
  <c r="E24" i="12772"/>
  <c r="E23" i="12772"/>
  <c r="E21" i="12772"/>
  <c r="E20" i="12772"/>
  <c r="E19" i="12772"/>
  <c r="E17" i="12772"/>
  <c r="E16" i="12772"/>
  <c r="E15" i="12772"/>
  <c r="E33" i="12771"/>
  <c r="E32" i="12771"/>
  <c r="E31" i="12771"/>
  <c r="E29" i="12771"/>
  <c r="E28" i="12771"/>
  <c r="E27" i="12771"/>
  <c r="E25" i="12771"/>
  <c r="E24" i="12771"/>
  <c r="E23" i="12771"/>
  <c r="E20" i="12771"/>
  <c r="E19" i="12771"/>
  <c r="E18" i="12771"/>
  <c r="E40" i="12770"/>
  <c r="E39" i="12770"/>
  <c r="E38" i="12770"/>
  <c r="E36" i="12770"/>
  <c r="E35" i="12770"/>
  <c r="E34" i="12770"/>
  <c r="E32" i="12770"/>
  <c r="E31" i="12770"/>
  <c r="E30" i="12770"/>
  <c r="E28" i="12770"/>
  <c r="E27" i="12770"/>
  <c r="E26" i="12770"/>
  <c r="E24" i="12770"/>
  <c r="E23" i="12770"/>
  <c r="E22" i="12770"/>
  <c r="E20" i="12770"/>
  <c r="E19" i="12770"/>
  <c r="E18" i="12770"/>
  <c r="E32" i="12769"/>
  <c r="E31" i="12769"/>
  <c r="E30" i="12769"/>
  <c r="E28" i="12769"/>
  <c r="E27" i="12769"/>
  <c r="E26" i="12769"/>
  <c r="D24" i="12769"/>
  <c r="E24" i="12769" s="1"/>
  <c r="D23" i="12769"/>
  <c r="E23" i="12769" s="1"/>
  <c r="D22" i="12769"/>
  <c r="E22" i="12769" s="1"/>
  <c r="E20" i="12769"/>
  <c r="E19" i="12769"/>
  <c r="E18" i="12769"/>
  <c r="Y15" i="12769"/>
  <c r="X15" i="12769"/>
  <c r="P31" i="12775"/>
  <c r="P29" i="12775"/>
  <c r="P6" i="12775"/>
  <c r="P8" i="12775"/>
  <c r="P9" i="12775"/>
  <c r="P10" i="12775"/>
  <c r="P14" i="12775"/>
  <c r="P16" i="12775"/>
  <c r="P17" i="12775"/>
  <c r="P18" i="12775"/>
  <c r="P19" i="12775"/>
  <c r="P20" i="12775"/>
  <c r="P21" i="12775"/>
  <c r="P24" i="12775"/>
  <c r="P25" i="12775"/>
  <c r="P26" i="12775"/>
  <c r="P27" i="12775"/>
  <c r="P28" i="12775"/>
  <c r="P30" i="12775"/>
  <c r="E36" i="12775"/>
  <c r="F36" i="12775"/>
  <c r="G36" i="12775"/>
  <c r="H36" i="12775"/>
  <c r="I36" i="12775"/>
  <c r="J36" i="12775"/>
  <c r="K36" i="12775"/>
  <c r="L36" i="12775"/>
  <c r="M36" i="12775"/>
  <c r="N36" i="12775"/>
  <c r="O36" i="12775"/>
  <c r="P38" i="12775"/>
  <c r="P39" i="12775"/>
  <c r="P40" i="12775"/>
  <c r="P41" i="12775"/>
  <c r="P42" i="12775"/>
  <c r="P6" i="12774"/>
  <c r="P7" i="12774"/>
  <c r="P8" i="12774"/>
  <c r="P10" i="12774"/>
  <c r="P14" i="12774"/>
  <c r="P15" i="12774"/>
  <c r="P16" i="12774"/>
  <c r="P17" i="12774"/>
  <c r="P18" i="12774"/>
  <c r="P19" i="12774"/>
  <c r="P21" i="12774"/>
  <c r="P24" i="12774"/>
  <c r="P25" i="12774"/>
  <c r="P26" i="12774"/>
  <c r="P27" i="12774"/>
  <c r="P28" i="12774"/>
  <c r="P29" i="12774"/>
  <c r="P30" i="12774"/>
  <c r="P31" i="12774"/>
  <c r="P35" i="12774"/>
  <c r="P38" i="12774"/>
  <c r="P39" i="12774"/>
  <c r="P40" i="12774"/>
  <c r="P41" i="12774"/>
  <c r="P42" i="12774"/>
  <c r="C33" i="12766"/>
  <c r="D33" i="12766" s="1"/>
  <c r="H33" i="12766" s="1"/>
  <c r="C50" i="12766"/>
  <c r="C67" i="12766"/>
  <c r="D67" i="12766" s="1"/>
  <c r="H67" i="12766" s="1"/>
  <c r="I33" i="12766"/>
  <c r="I50" i="12766"/>
  <c r="I67" i="12766"/>
  <c r="O27" i="12766"/>
  <c r="C34" i="12766"/>
  <c r="D34" i="12766" s="1"/>
  <c r="H34" i="12766" s="1"/>
  <c r="C35" i="12766"/>
  <c r="D35" i="12766" s="1"/>
  <c r="C37" i="12766"/>
  <c r="D37" i="12766" s="1"/>
  <c r="H37" i="12766" s="1"/>
  <c r="C38" i="12766"/>
  <c r="D38" i="12766" s="1"/>
  <c r="C39" i="12766"/>
  <c r="C40" i="12766"/>
  <c r="D40" i="12766" s="1"/>
  <c r="C51" i="12766"/>
  <c r="G51" i="12766" s="1"/>
  <c r="C52" i="12766"/>
  <c r="D52" i="12766" s="1"/>
  <c r="H52" i="12766" s="1"/>
  <c r="C54" i="12766"/>
  <c r="D54" i="12766" s="1"/>
  <c r="H54" i="12766" s="1"/>
  <c r="C55" i="12766"/>
  <c r="D55" i="12766" s="1"/>
  <c r="H55" i="12766" s="1"/>
  <c r="C56" i="12766"/>
  <c r="D56" i="12766" s="1"/>
  <c r="H56" i="12766" s="1"/>
  <c r="C57" i="12766"/>
  <c r="D57" i="12766" s="1"/>
  <c r="H57" i="12766" s="1"/>
  <c r="C68" i="12766"/>
  <c r="D68" i="12766" s="1"/>
  <c r="H68" i="12766" s="1"/>
  <c r="C69" i="12766"/>
  <c r="C71" i="12766"/>
  <c r="D71" i="12766" s="1"/>
  <c r="H71" i="12766" s="1"/>
  <c r="C72" i="12766"/>
  <c r="D72" i="12766" s="1"/>
  <c r="C73" i="12766"/>
  <c r="D73" i="12766" s="1"/>
  <c r="H73" i="12766" s="1"/>
  <c r="C74" i="12766"/>
  <c r="D74" i="12766" s="1"/>
  <c r="H74" i="12766" s="1"/>
  <c r="I40" i="12766"/>
  <c r="I57" i="12766"/>
  <c r="I74" i="12766"/>
  <c r="I34" i="12766"/>
  <c r="I51" i="12766"/>
  <c r="I68" i="12766"/>
  <c r="I35" i="12766"/>
  <c r="I52" i="12766"/>
  <c r="I69" i="12766"/>
  <c r="I37" i="12766"/>
  <c r="I54" i="12766"/>
  <c r="I71" i="12766"/>
  <c r="I38" i="12766"/>
  <c r="I55" i="12766"/>
  <c r="I72" i="12766"/>
  <c r="I39" i="12766"/>
  <c r="I56" i="12766"/>
  <c r="I73" i="12766"/>
  <c r="C75" i="12766"/>
  <c r="C24" i="12766" s="1"/>
  <c r="D24" i="12766"/>
  <c r="C25" i="12766"/>
  <c r="D25" i="12766"/>
  <c r="D27" i="12766" s="1"/>
  <c r="C26" i="12766"/>
  <c r="G26" i="12766"/>
  <c r="K26" i="12766"/>
  <c r="C44" i="12766"/>
  <c r="D44" i="12766"/>
  <c r="C61" i="12766"/>
  <c r="D61" i="12766"/>
  <c r="C78" i="12766"/>
  <c r="D78" i="12766"/>
  <c r="I96" i="12766"/>
  <c r="K96" i="12766" s="1"/>
  <c r="C102" i="12766"/>
  <c r="C104" i="12766" s="1"/>
  <c r="I97" i="12766"/>
  <c r="K97" i="12766" s="1"/>
  <c r="I98" i="12766"/>
  <c r="K98" i="12766" s="1"/>
  <c r="I99" i="12766"/>
  <c r="K99" i="12766" s="1"/>
  <c r="I100" i="12766"/>
  <c r="K100" i="12766" s="1"/>
  <c r="I88" i="12766"/>
  <c r="I109" i="12766"/>
  <c r="K109" i="12766" s="1"/>
  <c r="C111" i="12766"/>
  <c r="I110" i="12766"/>
  <c r="K110" i="12766" s="1"/>
  <c r="I111" i="12766"/>
  <c r="K111" i="12766" s="1"/>
  <c r="I112" i="12766"/>
  <c r="K112" i="12766" s="1"/>
  <c r="I113" i="12766"/>
  <c r="K113" i="12766" s="1"/>
  <c r="I122" i="12766"/>
  <c r="K122" i="12766" s="1"/>
  <c r="C128" i="12766"/>
  <c r="C130" i="12766" s="1"/>
  <c r="I123" i="12766"/>
  <c r="K123" i="12766" s="1"/>
  <c r="I124" i="12766"/>
  <c r="K124" i="12766" s="1"/>
  <c r="I125" i="12766"/>
  <c r="K125" i="12766" s="1"/>
  <c r="I126" i="12766"/>
  <c r="K126" i="12766" s="1"/>
  <c r="I135" i="12766"/>
  <c r="K135" i="12766" s="1"/>
  <c r="C137" i="12766"/>
  <c r="C141" i="12766" s="1"/>
  <c r="C143" i="12766" s="1"/>
  <c r="I136" i="12766"/>
  <c r="K136" i="12766" s="1"/>
  <c r="I137" i="12766"/>
  <c r="K137" i="12766" s="1"/>
  <c r="I138" i="12766"/>
  <c r="K138" i="12766" s="1"/>
  <c r="I139" i="12766"/>
  <c r="K139" i="12766" s="1"/>
  <c r="K90" i="12766"/>
  <c r="D84" i="12766"/>
  <c r="M84" i="12766" s="1"/>
  <c r="D85" i="12766"/>
  <c r="D83" i="12766"/>
  <c r="M83" i="12766" s="1"/>
  <c r="C96" i="12766"/>
  <c r="G109" i="12766"/>
  <c r="G122" i="12766"/>
  <c r="G135" i="12766"/>
  <c r="H96" i="12766"/>
  <c r="H109" i="12766"/>
  <c r="H122" i="12766"/>
  <c r="H135" i="12766"/>
  <c r="O83" i="12766"/>
  <c r="C84" i="12766"/>
  <c r="G97" i="12766"/>
  <c r="G123" i="12766"/>
  <c r="G110" i="12766"/>
  <c r="G136" i="12766"/>
  <c r="H97" i="12766"/>
  <c r="H110" i="12766"/>
  <c r="H123" i="12766"/>
  <c r="H136" i="12766"/>
  <c r="O84" i="12766"/>
  <c r="Q84" i="12766"/>
  <c r="G98" i="12766"/>
  <c r="G124" i="12766"/>
  <c r="H98" i="12766"/>
  <c r="H111" i="12766"/>
  <c r="H124" i="12766"/>
  <c r="H137" i="12766"/>
  <c r="O85" i="12766"/>
  <c r="Q85" i="12766"/>
  <c r="C86" i="12766"/>
  <c r="D86" i="12766"/>
  <c r="M86" i="12766" s="1"/>
  <c r="G99" i="12766"/>
  <c r="G112" i="12766"/>
  <c r="G125" i="12766"/>
  <c r="G138" i="12766"/>
  <c r="H125" i="12766"/>
  <c r="H138" i="12766"/>
  <c r="O86" i="12766"/>
  <c r="C87" i="12766"/>
  <c r="D87" i="12766"/>
  <c r="M87" i="12766" s="1"/>
  <c r="G100" i="12766"/>
  <c r="G113" i="12766"/>
  <c r="G126" i="12766"/>
  <c r="G139" i="12766"/>
  <c r="H126" i="12766"/>
  <c r="H139" i="12766"/>
  <c r="O87" i="12766"/>
  <c r="C88" i="12766"/>
  <c r="D88" i="12766"/>
  <c r="E88" i="12766"/>
  <c r="E101" i="12766"/>
  <c r="G101" i="12766" s="1"/>
  <c r="E114" i="12766"/>
  <c r="G114" i="12766" s="1"/>
  <c r="E127" i="12766"/>
  <c r="G127" i="12766" s="1"/>
  <c r="E140" i="12766"/>
  <c r="G140" i="12766" s="1"/>
  <c r="D89" i="12766"/>
  <c r="C90" i="12766"/>
  <c r="D90" i="12766"/>
  <c r="G90" i="12766"/>
  <c r="H90" i="12766"/>
  <c r="O91" i="12766"/>
  <c r="D104" i="12766"/>
  <c r="D117" i="12766"/>
  <c r="D130" i="12766"/>
  <c r="D143" i="12766"/>
  <c r="C149" i="12766"/>
  <c r="C387" i="12766"/>
  <c r="D384" i="12766" s="1"/>
  <c r="D149" i="12766" s="1"/>
  <c r="E149" i="12766"/>
  <c r="G384" i="12766"/>
  <c r="G413" i="12766"/>
  <c r="C417" i="12766"/>
  <c r="D413" i="12766" s="1"/>
  <c r="C356" i="12766"/>
  <c r="C150" i="12766" s="1"/>
  <c r="G385" i="12766"/>
  <c r="G414" i="12766"/>
  <c r="C386" i="12766"/>
  <c r="C357" i="12766" s="1"/>
  <c r="C151" i="12766" s="1"/>
  <c r="C390" i="12766"/>
  <c r="C391" i="12766"/>
  <c r="G391" i="12766" s="1"/>
  <c r="C392" i="12766"/>
  <c r="G392" i="12766" s="1"/>
  <c r="C419" i="12766"/>
  <c r="G419" i="12766" s="1"/>
  <c r="C420" i="12766"/>
  <c r="G415" i="12766"/>
  <c r="H415" i="12766"/>
  <c r="I386" i="12766"/>
  <c r="I397" i="12766" s="1"/>
  <c r="I415" i="12766"/>
  <c r="K415" i="12766" s="1"/>
  <c r="O151" i="12766"/>
  <c r="C211" i="12766"/>
  <c r="C239" i="12766"/>
  <c r="G239" i="12766" s="1"/>
  <c r="C296" i="12766"/>
  <c r="C267" i="12766" s="1"/>
  <c r="C212" i="12766"/>
  <c r="G212" i="12766" s="1"/>
  <c r="C240" i="12766"/>
  <c r="C300" i="12766"/>
  <c r="D325" i="12766"/>
  <c r="H325" i="12766" s="1"/>
  <c r="G325" i="12766"/>
  <c r="H211" i="12766"/>
  <c r="I211" i="12766"/>
  <c r="K211" i="12766" s="1"/>
  <c r="I239" i="12766"/>
  <c r="I249" i="12766" s="1"/>
  <c r="I296" i="12766"/>
  <c r="I325" i="12766"/>
  <c r="O153" i="12766"/>
  <c r="C268" i="12766"/>
  <c r="C328" i="12766"/>
  <c r="D328" i="12766" s="1"/>
  <c r="D268" i="12766"/>
  <c r="G297" i="12766"/>
  <c r="G326" i="12766"/>
  <c r="H212" i="12766"/>
  <c r="H297" i="12766"/>
  <c r="H326" i="12766"/>
  <c r="I212" i="12766"/>
  <c r="K212" i="12766" s="1"/>
  <c r="I240" i="12766"/>
  <c r="I250" i="12766" s="1"/>
  <c r="I297" i="12766"/>
  <c r="K297" i="12766" s="1"/>
  <c r="I326" i="12766"/>
  <c r="K326" i="12766" s="1"/>
  <c r="O154" i="12766"/>
  <c r="C213" i="12766"/>
  <c r="G213" i="12766" s="1"/>
  <c r="C241" i="12766"/>
  <c r="C269" i="12766"/>
  <c r="C231" i="12766"/>
  <c r="C233" i="12766" s="1"/>
  <c r="C244" i="12766"/>
  <c r="C188" i="12766" s="1"/>
  <c r="C245" i="12766"/>
  <c r="C331" i="12766"/>
  <c r="C333" i="12766" s="1"/>
  <c r="C346" i="12766" s="1"/>
  <c r="C302" i="12766"/>
  <c r="G302" i="12766" s="1"/>
  <c r="C303" i="12766"/>
  <c r="C274" i="12766" s="1"/>
  <c r="D269" i="12766"/>
  <c r="G298" i="12766"/>
  <c r="G327" i="12766"/>
  <c r="H298" i="12766"/>
  <c r="H327" i="12766"/>
  <c r="I213" i="12766"/>
  <c r="I223" i="12766" s="1"/>
  <c r="I241" i="12766"/>
  <c r="I251" i="12766" s="1"/>
  <c r="I298" i="12766"/>
  <c r="K298" i="12766" s="1"/>
  <c r="I327" i="12766"/>
  <c r="K327" i="12766" s="1"/>
  <c r="O155" i="12766"/>
  <c r="C416" i="12766"/>
  <c r="D271" i="12766"/>
  <c r="C215" i="12766"/>
  <c r="C243" i="12766"/>
  <c r="G243" i="12766" s="1"/>
  <c r="C272" i="12766"/>
  <c r="C389" i="12766"/>
  <c r="G389" i="12766" s="1"/>
  <c r="C418" i="12766"/>
  <c r="D272" i="12766"/>
  <c r="G301" i="12766"/>
  <c r="G330" i="12766"/>
  <c r="H301" i="12766"/>
  <c r="H330" i="12766"/>
  <c r="I215" i="12766"/>
  <c r="I224" i="12766" s="1"/>
  <c r="I243" i="12766"/>
  <c r="I252" i="12766" s="1"/>
  <c r="I301" i="12766"/>
  <c r="K301" i="12766" s="1"/>
  <c r="I330" i="12766"/>
  <c r="K330" i="12766" s="1"/>
  <c r="I389" i="12766"/>
  <c r="I398" i="12766" s="1"/>
  <c r="I418" i="12766"/>
  <c r="I427" i="12766" s="1"/>
  <c r="O158" i="12766"/>
  <c r="G216" i="12766"/>
  <c r="I216" i="12766"/>
  <c r="I225" i="12766" s="1"/>
  <c r="I244" i="12766"/>
  <c r="I253" i="12766" s="1"/>
  <c r="I302" i="12766"/>
  <c r="I331" i="12766"/>
  <c r="I340" i="12766" s="1"/>
  <c r="I390" i="12766"/>
  <c r="I399" i="12766" s="1"/>
  <c r="I419" i="12766"/>
  <c r="I428" i="12766" s="1"/>
  <c r="O159" i="12766"/>
  <c r="H332" i="12766"/>
  <c r="G217" i="12766"/>
  <c r="G332" i="12766"/>
  <c r="G218" i="12766"/>
  <c r="G421" i="12766"/>
  <c r="H333" i="12766"/>
  <c r="C219" i="12766"/>
  <c r="C247" i="12766"/>
  <c r="C276" i="12766"/>
  <c r="C393" i="12766"/>
  <c r="C364" i="12766" s="1"/>
  <c r="G219" i="12766"/>
  <c r="G305" i="12766"/>
  <c r="G334" i="12766"/>
  <c r="G422" i="12766"/>
  <c r="H334" i="12766"/>
  <c r="I219" i="12766"/>
  <c r="I247" i="12766"/>
  <c r="I305" i="12766"/>
  <c r="I314" i="12766" s="1"/>
  <c r="I334" i="12766"/>
  <c r="K334" i="12766" s="1"/>
  <c r="I393" i="12766"/>
  <c r="I422" i="12766"/>
  <c r="O162" i="12766"/>
  <c r="C221" i="12766"/>
  <c r="C193" i="12766" s="1"/>
  <c r="C164" i="12766" s="1"/>
  <c r="E164" i="12766"/>
  <c r="E221" i="12766"/>
  <c r="E249" i="12766"/>
  <c r="G249" i="12766" s="1"/>
  <c r="E307" i="12766"/>
  <c r="G307" i="12766" s="1"/>
  <c r="E336" i="12766"/>
  <c r="G336" i="12766" s="1"/>
  <c r="E395" i="12766"/>
  <c r="E424" i="12766"/>
  <c r="G424" i="12766" s="1"/>
  <c r="I164" i="12766"/>
  <c r="I221" i="12766"/>
  <c r="K221" i="12766" s="1"/>
  <c r="C222" i="12766"/>
  <c r="C194" i="12766" s="1"/>
  <c r="C165" i="12766" s="1"/>
  <c r="E165" i="12766"/>
  <c r="E222" i="12766"/>
  <c r="H222" i="12766" s="1"/>
  <c r="E250" i="12766"/>
  <c r="G250" i="12766" s="1"/>
  <c r="E308" i="12766"/>
  <c r="G308" i="12766" s="1"/>
  <c r="E337" i="12766"/>
  <c r="G337" i="12766" s="1"/>
  <c r="E396" i="12766"/>
  <c r="G396" i="12766" s="1"/>
  <c r="E425" i="12766"/>
  <c r="G425" i="12766" s="1"/>
  <c r="I165" i="12766"/>
  <c r="C223" i="12766"/>
  <c r="C195" i="12766" s="1"/>
  <c r="C166" i="12766" s="1"/>
  <c r="E166" i="12766"/>
  <c r="E223" i="12766"/>
  <c r="E251" i="12766"/>
  <c r="G251" i="12766" s="1"/>
  <c r="E309" i="12766"/>
  <c r="G309" i="12766" s="1"/>
  <c r="E338" i="12766"/>
  <c r="G338" i="12766" s="1"/>
  <c r="E397" i="12766"/>
  <c r="G397" i="12766" s="1"/>
  <c r="E426" i="12766"/>
  <c r="G426" i="12766" s="1"/>
  <c r="I166" i="12766"/>
  <c r="I309" i="12766"/>
  <c r="I338" i="12766"/>
  <c r="K338" i="12766" s="1"/>
  <c r="C224" i="12766"/>
  <c r="C196" i="12766" s="1"/>
  <c r="C167" i="12766" s="1"/>
  <c r="E167" i="12766"/>
  <c r="E224" i="12766"/>
  <c r="E252" i="12766"/>
  <c r="G252" i="12766" s="1"/>
  <c r="E310" i="12766"/>
  <c r="G310" i="12766" s="1"/>
  <c r="E339" i="12766"/>
  <c r="G339" i="12766" s="1"/>
  <c r="E398" i="12766"/>
  <c r="G398" i="12766" s="1"/>
  <c r="E427" i="12766"/>
  <c r="G427" i="12766" s="1"/>
  <c r="I167" i="12766"/>
  <c r="C225" i="12766"/>
  <c r="C197" i="12766" s="1"/>
  <c r="C168" i="12766" s="1"/>
  <c r="E168" i="12766"/>
  <c r="E225" i="12766"/>
  <c r="E253" i="12766"/>
  <c r="G253" i="12766" s="1"/>
  <c r="E311" i="12766"/>
  <c r="G311" i="12766" s="1"/>
  <c r="E340" i="12766"/>
  <c r="G340" i="12766" s="1"/>
  <c r="E399" i="12766"/>
  <c r="G399" i="12766" s="1"/>
  <c r="E428" i="12766"/>
  <c r="G428" i="12766" s="1"/>
  <c r="I168" i="12766"/>
  <c r="I220" i="12766"/>
  <c r="I248" i="12766"/>
  <c r="I306" i="12766"/>
  <c r="I335" i="12766"/>
  <c r="I394" i="12766"/>
  <c r="I423" i="12766"/>
  <c r="C226" i="12766"/>
  <c r="C198" i="12766" s="1"/>
  <c r="C169" i="12766" s="1"/>
  <c r="E169" i="12766"/>
  <c r="E226" i="12766"/>
  <c r="E254" i="12766"/>
  <c r="G254" i="12766" s="1"/>
  <c r="E312" i="12766"/>
  <c r="G312" i="12766" s="1"/>
  <c r="E341" i="12766"/>
  <c r="G341" i="12766" s="1"/>
  <c r="E400" i="12766"/>
  <c r="G400" i="12766" s="1"/>
  <c r="E429" i="12766"/>
  <c r="G429" i="12766" s="1"/>
  <c r="E170" i="12766"/>
  <c r="E227" i="12766"/>
  <c r="E255" i="12766"/>
  <c r="G255" i="12766" s="1"/>
  <c r="E313" i="12766"/>
  <c r="G313" i="12766" s="1"/>
  <c r="E342" i="12766"/>
  <c r="G342" i="12766" s="1"/>
  <c r="E401" i="12766"/>
  <c r="G401" i="12766" s="1"/>
  <c r="E430" i="12766"/>
  <c r="G430" i="12766" s="1"/>
  <c r="C228" i="12766"/>
  <c r="C200" i="12766" s="1"/>
  <c r="C171" i="12766" s="1"/>
  <c r="E171" i="12766"/>
  <c r="E228" i="12766"/>
  <c r="E256" i="12766"/>
  <c r="G256" i="12766" s="1"/>
  <c r="E314" i="12766"/>
  <c r="G314" i="12766" s="1"/>
  <c r="E343" i="12766"/>
  <c r="E402" i="12766"/>
  <c r="G402" i="12766" s="1"/>
  <c r="E431" i="12766"/>
  <c r="G431" i="12766" s="1"/>
  <c r="I171" i="12766"/>
  <c r="C229" i="12766"/>
  <c r="C201" i="12766" s="1"/>
  <c r="C172" i="12766" s="1"/>
  <c r="G257" i="12766"/>
  <c r="G315" i="12766"/>
  <c r="G344" i="12766"/>
  <c r="G403" i="12766"/>
  <c r="G432" i="12766"/>
  <c r="H344" i="12766"/>
  <c r="I229" i="12766"/>
  <c r="I257" i="12766"/>
  <c r="I315" i="12766"/>
  <c r="I344" i="12766"/>
  <c r="K344" i="12766" s="1"/>
  <c r="I403" i="12766"/>
  <c r="I432" i="12766"/>
  <c r="C230" i="12766"/>
  <c r="G258" i="12766"/>
  <c r="G316" i="12766"/>
  <c r="G345" i="12766"/>
  <c r="G404" i="12766"/>
  <c r="G433" i="12766"/>
  <c r="H345" i="12766"/>
  <c r="I230" i="12766"/>
  <c r="I258" i="12766"/>
  <c r="I316" i="12766"/>
  <c r="I345" i="12766"/>
  <c r="K345" i="12766" s="1"/>
  <c r="I404" i="12766"/>
  <c r="I433" i="12766"/>
  <c r="D203" i="12766"/>
  <c r="D288" i="12766"/>
  <c r="D376" i="12766"/>
  <c r="C204" i="12766"/>
  <c r="C289" i="12766"/>
  <c r="C377" i="12766"/>
  <c r="D204" i="12766"/>
  <c r="D289" i="12766"/>
  <c r="D377" i="12766"/>
  <c r="G204" i="12766"/>
  <c r="G289" i="12766"/>
  <c r="G377" i="12766"/>
  <c r="H289" i="12766"/>
  <c r="H377" i="12766"/>
  <c r="H204" i="12766"/>
  <c r="K204" i="12766"/>
  <c r="K289" i="12766"/>
  <c r="K377" i="12766"/>
  <c r="O176" i="12766"/>
  <c r="I183" i="12766"/>
  <c r="I193" i="12766" s="1"/>
  <c r="I184" i="12766"/>
  <c r="I194" i="12766" s="1"/>
  <c r="I185" i="12766"/>
  <c r="I195" i="12766" s="1"/>
  <c r="I187" i="12766"/>
  <c r="I196" i="12766" s="1"/>
  <c r="I188" i="12766"/>
  <c r="I197" i="12766" s="1"/>
  <c r="I191" i="12766"/>
  <c r="I200" i="12766" s="1"/>
  <c r="I192" i="12766"/>
  <c r="E193" i="12766"/>
  <c r="E194" i="12766"/>
  <c r="E195" i="12766"/>
  <c r="E196" i="12766"/>
  <c r="E197" i="12766"/>
  <c r="E198" i="12766"/>
  <c r="E199" i="12766"/>
  <c r="E200" i="12766"/>
  <c r="I201" i="12766"/>
  <c r="I202" i="12766"/>
  <c r="D214" i="12766"/>
  <c r="D233" i="12766"/>
  <c r="D261" i="12766"/>
  <c r="I267" i="12766"/>
  <c r="I268" i="12766"/>
  <c r="I278" i="12766" s="1"/>
  <c r="I269" i="12766"/>
  <c r="I279" i="12766" s="1"/>
  <c r="I272" i="12766"/>
  <c r="I281" i="12766" s="1"/>
  <c r="I273" i="12766"/>
  <c r="I282" i="12766" s="1"/>
  <c r="I276" i="12766"/>
  <c r="I285" i="12766" s="1"/>
  <c r="I277" i="12766"/>
  <c r="E278" i="12766"/>
  <c r="E279" i="12766"/>
  <c r="E280" i="12766"/>
  <c r="I280" i="12766"/>
  <c r="E281" i="12766"/>
  <c r="E282" i="12766"/>
  <c r="E283" i="12766"/>
  <c r="E284" i="12766"/>
  <c r="E285" i="12766"/>
  <c r="I286" i="12766"/>
  <c r="I287" i="12766"/>
  <c r="D319" i="12766"/>
  <c r="D348" i="12766"/>
  <c r="C355" i="12766"/>
  <c r="I357" i="12766"/>
  <c r="I368" i="12766" s="1"/>
  <c r="C388" i="12766"/>
  <c r="I360" i="12766"/>
  <c r="I369" i="12766" s="1"/>
  <c r="I361" i="12766"/>
  <c r="I370" i="12766" s="1"/>
  <c r="I364" i="12766"/>
  <c r="I373" i="12766" s="1"/>
  <c r="I365" i="12766"/>
  <c r="E366" i="12766"/>
  <c r="E367" i="12766"/>
  <c r="E368" i="12766"/>
  <c r="E369" i="12766"/>
  <c r="E370" i="12766"/>
  <c r="E371" i="12766"/>
  <c r="E372" i="12766"/>
  <c r="E373" i="12766"/>
  <c r="I374" i="12766"/>
  <c r="I375" i="12766"/>
  <c r="D407" i="12766"/>
  <c r="D436" i="12766"/>
  <c r="E443" i="12766"/>
  <c r="G443" i="12766" s="1"/>
  <c r="H443" i="12766"/>
  <c r="E444" i="12766"/>
  <c r="G444" i="12766" s="1"/>
  <c r="H444" i="12766"/>
  <c r="K444" i="12766"/>
  <c r="E445" i="12766"/>
  <c r="G445" i="12766" s="1"/>
  <c r="H445" i="12766"/>
  <c r="C446" i="12766"/>
  <c r="D446" i="12766"/>
  <c r="E447" i="12766"/>
  <c r="G447" i="12766" s="1"/>
  <c r="H447" i="12766"/>
  <c r="K447" i="12766"/>
  <c r="E448" i="12766"/>
  <c r="G448" i="12766" s="1"/>
  <c r="H448" i="12766"/>
  <c r="E450" i="12766"/>
  <c r="G450" i="12766" s="1"/>
  <c r="H450" i="12766"/>
  <c r="E452" i="12766"/>
  <c r="G452" i="12766" s="1"/>
  <c r="H452" i="12766"/>
  <c r="E453" i="12766"/>
  <c r="G453" i="12766" s="1"/>
  <c r="H453" i="12766"/>
  <c r="K453" i="12766"/>
  <c r="G454" i="12766"/>
  <c r="H454" i="12766"/>
  <c r="K454" i="12766"/>
  <c r="G455" i="12766"/>
  <c r="H455" i="12766"/>
  <c r="K455" i="12766"/>
  <c r="H457" i="12766"/>
  <c r="H458" i="12766"/>
  <c r="E459" i="12766"/>
  <c r="G459" i="12766" s="1"/>
  <c r="H459" i="12766"/>
  <c r="H460" i="12766"/>
  <c r="H461" i="12766"/>
  <c r="H462" i="12766"/>
  <c r="H463" i="12766"/>
  <c r="H464" i="12766"/>
  <c r="G465" i="12766"/>
  <c r="H465" i="12766"/>
  <c r="K465" i="12766"/>
  <c r="G466" i="12766"/>
  <c r="H466" i="12766"/>
  <c r="K466" i="12766"/>
  <c r="G467" i="12766"/>
  <c r="H467" i="12766"/>
  <c r="K467" i="12766"/>
  <c r="G468" i="12766"/>
  <c r="H468" i="12766"/>
  <c r="K468" i="12766"/>
  <c r="H471" i="12766"/>
  <c r="C472" i="12766"/>
  <c r="C474" i="12766" s="1"/>
  <c r="D472" i="12766"/>
  <c r="D474" i="12766" s="1"/>
  <c r="C514" i="12766"/>
  <c r="G514" i="12766" s="1"/>
  <c r="C548" i="12766"/>
  <c r="G548" i="12766" s="1"/>
  <c r="C515" i="12766"/>
  <c r="G515" i="12766" s="1"/>
  <c r="C516" i="12766"/>
  <c r="G516" i="12766" s="1"/>
  <c r="C549" i="12766"/>
  <c r="G549" i="12766" s="1"/>
  <c r="C550" i="12766"/>
  <c r="D480" i="12766"/>
  <c r="M480" i="12766" s="1"/>
  <c r="H514" i="12766"/>
  <c r="H548" i="12766"/>
  <c r="I514" i="12766"/>
  <c r="K514" i="12766" s="1"/>
  <c r="I548" i="12766"/>
  <c r="K548" i="12766" s="1"/>
  <c r="O480" i="12766"/>
  <c r="I515" i="12766"/>
  <c r="I549" i="12766"/>
  <c r="K549" i="12766" s="1"/>
  <c r="I516" i="12766"/>
  <c r="K516" i="12766" s="1"/>
  <c r="I550" i="12766"/>
  <c r="K550" i="12766" s="1"/>
  <c r="C540" i="12766"/>
  <c r="C518" i="12766"/>
  <c r="G518" i="12766" s="1"/>
  <c r="I518" i="12766"/>
  <c r="C558" i="12766"/>
  <c r="C559" i="12766" s="1"/>
  <c r="C574" i="12766" s="1"/>
  <c r="C552" i="12766"/>
  <c r="I552" i="12766"/>
  <c r="C519" i="12766"/>
  <c r="G519" i="12766" s="1"/>
  <c r="I519" i="12766"/>
  <c r="I532" i="12766" s="1"/>
  <c r="C553" i="12766"/>
  <c r="I553" i="12766"/>
  <c r="I566" i="12766" s="1"/>
  <c r="H515" i="12766"/>
  <c r="H549" i="12766"/>
  <c r="H516" i="12766"/>
  <c r="H550" i="12766"/>
  <c r="S480" i="12766"/>
  <c r="T480" i="12766"/>
  <c r="U480" i="12766"/>
  <c r="V480" i="12766"/>
  <c r="D481" i="12766"/>
  <c r="M481" i="12766" s="1"/>
  <c r="D482" i="12766"/>
  <c r="M482" i="12766" s="1"/>
  <c r="O481" i="12766"/>
  <c r="S481" i="12766"/>
  <c r="T481" i="12766"/>
  <c r="U481" i="12766"/>
  <c r="V481" i="12766"/>
  <c r="O482" i="12766"/>
  <c r="O484" i="12766"/>
  <c r="O485" i="12766"/>
  <c r="C521" i="12766"/>
  <c r="G521" i="12766" s="1"/>
  <c r="C555" i="12766"/>
  <c r="I521" i="12766"/>
  <c r="I533" i="12766" s="1"/>
  <c r="I555" i="12766"/>
  <c r="I567" i="12766" s="1"/>
  <c r="O487" i="12766"/>
  <c r="C522" i="12766"/>
  <c r="C556" i="12766"/>
  <c r="E488" i="12766"/>
  <c r="E500" i="12766" s="1"/>
  <c r="E522" i="12766"/>
  <c r="E534" i="12766" s="1"/>
  <c r="G534" i="12766" s="1"/>
  <c r="E556" i="12766"/>
  <c r="E568" i="12766" s="1"/>
  <c r="G568" i="12766" s="1"/>
  <c r="I488" i="12766"/>
  <c r="I500" i="12766" s="1"/>
  <c r="I556" i="12766"/>
  <c r="I568" i="12766" s="1"/>
  <c r="G524" i="12766"/>
  <c r="I524" i="12766"/>
  <c r="I535" i="12766" s="1"/>
  <c r="I558" i="12766"/>
  <c r="I569" i="12766" s="1"/>
  <c r="O490" i="12766"/>
  <c r="G525" i="12766"/>
  <c r="I525" i="12766"/>
  <c r="I536" i="12766" s="1"/>
  <c r="I559" i="12766"/>
  <c r="I570" i="12766" s="1"/>
  <c r="O491" i="12766"/>
  <c r="C526" i="12766"/>
  <c r="G526" i="12766" s="1"/>
  <c r="C560" i="12766"/>
  <c r="I526" i="12766"/>
  <c r="I537" i="12766" s="1"/>
  <c r="I560" i="12766"/>
  <c r="I571" i="12766" s="1"/>
  <c r="O492" i="12766"/>
  <c r="C494" i="12766"/>
  <c r="D494" i="12766"/>
  <c r="E494" i="12766"/>
  <c r="E528" i="12766"/>
  <c r="G528" i="12766" s="1"/>
  <c r="E562" i="12766"/>
  <c r="G562" i="12766" s="1"/>
  <c r="I494" i="12766"/>
  <c r="I527" i="12766"/>
  <c r="I561" i="12766"/>
  <c r="C529" i="12766"/>
  <c r="C563" i="12766"/>
  <c r="D495" i="12766"/>
  <c r="E495" i="12766"/>
  <c r="E529" i="12766"/>
  <c r="E563" i="12766"/>
  <c r="G563" i="12766" s="1"/>
  <c r="I495" i="12766"/>
  <c r="C530" i="12766"/>
  <c r="C564" i="12766"/>
  <c r="D496" i="12766"/>
  <c r="E496" i="12766"/>
  <c r="E530" i="12766"/>
  <c r="G530" i="12766" s="1"/>
  <c r="E564" i="12766"/>
  <c r="I496" i="12766"/>
  <c r="C531" i="12766"/>
  <c r="C565" i="12766"/>
  <c r="E497" i="12766"/>
  <c r="E531" i="12766"/>
  <c r="E565" i="12766"/>
  <c r="I497" i="12766"/>
  <c r="C532" i="12766"/>
  <c r="C498" i="12766" s="1"/>
  <c r="E498" i="12766"/>
  <c r="E532" i="12766"/>
  <c r="E566" i="12766"/>
  <c r="G566" i="12766" s="1"/>
  <c r="I498" i="12766"/>
  <c r="C533" i="12766"/>
  <c r="C567" i="12766"/>
  <c r="E499" i="12766"/>
  <c r="E533" i="12766"/>
  <c r="E567" i="12766"/>
  <c r="I499" i="12766"/>
  <c r="C500" i="12766"/>
  <c r="C535" i="12766"/>
  <c r="C536" i="12766" s="1"/>
  <c r="C569" i="12766"/>
  <c r="E501" i="12766"/>
  <c r="E535" i="12766"/>
  <c r="E569" i="12766"/>
  <c r="I501" i="12766"/>
  <c r="E502" i="12766"/>
  <c r="E536" i="12766"/>
  <c r="E570" i="12766"/>
  <c r="I502" i="12766"/>
  <c r="C537" i="12766"/>
  <c r="C571" i="12766"/>
  <c r="E503" i="12766"/>
  <c r="E537" i="12766"/>
  <c r="E571" i="12766"/>
  <c r="I503" i="12766"/>
  <c r="C538" i="12766"/>
  <c r="G538" i="12766" s="1"/>
  <c r="D504" i="12766"/>
  <c r="M504" i="12766" s="1"/>
  <c r="H538" i="12766"/>
  <c r="H572" i="12766"/>
  <c r="I538" i="12766"/>
  <c r="K538" i="12766" s="1"/>
  <c r="I572" i="12766"/>
  <c r="K572" i="12766" s="1"/>
  <c r="C539" i="12766"/>
  <c r="G539" i="12766" s="1"/>
  <c r="D506" i="12766"/>
  <c r="C507" i="12766"/>
  <c r="D507" i="12766"/>
  <c r="G507" i="12766"/>
  <c r="H507" i="12766"/>
  <c r="K507" i="12766"/>
  <c r="O508" i="12766"/>
  <c r="D517" i="12766"/>
  <c r="D551" i="12766"/>
  <c r="C633" i="12766"/>
  <c r="C582" i="12766" s="1"/>
  <c r="C635" i="12766"/>
  <c r="C636" i="12766"/>
  <c r="C637" i="12766"/>
  <c r="C686" i="12766"/>
  <c r="G686" i="12766" s="1"/>
  <c r="C687" i="12766"/>
  <c r="G687" i="12766" s="1"/>
  <c r="C688" i="12766"/>
  <c r="G688" i="12766" s="1"/>
  <c r="D582" i="12766"/>
  <c r="M582" i="12766" s="1"/>
  <c r="G684" i="12766"/>
  <c r="H633" i="12766"/>
  <c r="H684" i="12766"/>
  <c r="I633" i="12766"/>
  <c r="K633" i="12766" s="1"/>
  <c r="I684" i="12766"/>
  <c r="K684" i="12766" s="1"/>
  <c r="E593" i="12766"/>
  <c r="R582" i="12766" s="1"/>
  <c r="S582" i="12766"/>
  <c r="T582" i="12766"/>
  <c r="U582" i="12766"/>
  <c r="S583" i="12766"/>
  <c r="T583" i="12766"/>
  <c r="U583" i="12766"/>
  <c r="D584" i="12766"/>
  <c r="M584" i="12766" s="1"/>
  <c r="H635" i="12766"/>
  <c r="H686" i="12766"/>
  <c r="I635" i="12766"/>
  <c r="K635" i="12766" s="1"/>
  <c r="I686" i="12766"/>
  <c r="K686" i="12766" s="1"/>
  <c r="D585" i="12766"/>
  <c r="M585" i="12766" s="1"/>
  <c r="H636" i="12766"/>
  <c r="H687" i="12766"/>
  <c r="I636" i="12766"/>
  <c r="K636" i="12766" s="1"/>
  <c r="I687" i="12766"/>
  <c r="K687" i="12766" s="1"/>
  <c r="O585" i="12766"/>
  <c r="D586" i="12766"/>
  <c r="M586" i="12766" s="1"/>
  <c r="H637" i="12766"/>
  <c r="H688" i="12766"/>
  <c r="I637" i="12766"/>
  <c r="K637" i="12766" s="1"/>
  <c r="I688" i="12766"/>
  <c r="K688" i="12766" s="1"/>
  <c r="O586" i="12766"/>
  <c r="D587" i="12766"/>
  <c r="S587" i="12766"/>
  <c r="U587" i="12766"/>
  <c r="C639" i="12766"/>
  <c r="C690" i="12766"/>
  <c r="D588" i="12766"/>
  <c r="C640" i="12766"/>
  <c r="C691" i="12766"/>
  <c r="D589" i="12766"/>
  <c r="C642" i="12766"/>
  <c r="G642" i="12766" s="1"/>
  <c r="C693" i="12766"/>
  <c r="C653" i="12766"/>
  <c r="C676" i="12766" s="1"/>
  <c r="C704" i="12766"/>
  <c r="C727" i="12766" s="1"/>
  <c r="H642" i="12766"/>
  <c r="I642" i="12766"/>
  <c r="K642" i="12766" s="1"/>
  <c r="I693" i="12766"/>
  <c r="I712" i="12766" s="1"/>
  <c r="O591" i="12766"/>
  <c r="C644" i="12766"/>
  <c r="G644" i="12766" s="1"/>
  <c r="H644" i="12766"/>
  <c r="C695" i="12766"/>
  <c r="G695" i="12766" s="1"/>
  <c r="C645" i="12766"/>
  <c r="G645" i="12766" s="1"/>
  <c r="H645" i="12766"/>
  <c r="C696" i="12766"/>
  <c r="G696" i="12766" s="1"/>
  <c r="C646" i="12766"/>
  <c r="G646" i="12766" s="1"/>
  <c r="H646" i="12766"/>
  <c r="C697" i="12766"/>
  <c r="G697" i="12766" s="1"/>
  <c r="C647" i="12766"/>
  <c r="G647" i="12766" s="1"/>
  <c r="H647" i="12766"/>
  <c r="C698" i="12766"/>
  <c r="G698" i="12766" s="1"/>
  <c r="H698" i="12766"/>
  <c r="C648" i="12766"/>
  <c r="H648" i="12766"/>
  <c r="C699" i="12766"/>
  <c r="G699" i="12766" s="1"/>
  <c r="H699" i="12766"/>
  <c r="I645" i="12766"/>
  <c r="K645" i="12766" s="1"/>
  <c r="I696" i="12766"/>
  <c r="I715" i="12766" s="1"/>
  <c r="I646" i="12766"/>
  <c r="K646" i="12766" s="1"/>
  <c r="I697" i="12766"/>
  <c r="I716" i="12766" s="1"/>
  <c r="I647" i="12766"/>
  <c r="K647" i="12766" s="1"/>
  <c r="I653" i="12766"/>
  <c r="I704" i="12766"/>
  <c r="O594" i="12766"/>
  <c r="O595" i="12766"/>
  <c r="D596" i="12766"/>
  <c r="D597" i="12766"/>
  <c r="C650" i="12766"/>
  <c r="C701" i="12766"/>
  <c r="E599" i="12766"/>
  <c r="E618" i="12766" s="1"/>
  <c r="E650" i="12766"/>
  <c r="E701" i="12766"/>
  <c r="I599" i="12766"/>
  <c r="I618" i="12766" s="1"/>
  <c r="C651" i="12766"/>
  <c r="C702" i="12766"/>
  <c r="E651" i="12766"/>
  <c r="E702" i="12766"/>
  <c r="O602" i="12766"/>
  <c r="C654" i="12766"/>
  <c r="G654" i="12766" s="1"/>
  <c r="C705" i="12766"/>
  <c r="I654" i="12766"/>
  <c r="I705" i="12766"/>
  <c r="O603" i="12766"/>
  <c r="C605" i="12766"/>
  <c r="D605" i="12766"/>
  <c r="E605" i="12766"/>
  <c r="E656" i="12766"/>
  <c r="G656" i="12766" s="1"/>
  <c r="E707" i="12766"/>
  <c r="G707" i="12766" s="1"/>
  <c r="I605" i="12766"/>
  <c r="C607" i="12766"/>
  <c r="D607" i="12766"/>
  <c r="E607" i="12766"/>
  <c r="E658" i="12766"/>
  <c r="G658" i="12766" s="1"/>
  <c r="E709" i="12766"/>
  <c r="G709" i="12766" s="1"/>
  <c r="I607" i="12766"/>
  <c r="C608" i="12766"/>
  <c r="D608" i="12766"/>
  <c r="E608" i="12766"/>
  <c r="E659" i="12766"/>
  <c r="G659" i="12766" s="1"/>
  <c r="E710" i="12766"/>
  <c r="G710" i="12766" s="1"/>
  <c r="I608" i="12766"/>
  <c r="C609" i="12766"/>
  <c r="D609" i="12766"/>
  <c r="E609" i="12766"/>
  <c r="E660" i="12766"/>
  <c r="G660" i="12766" s="1"/>
  <c r="E711" i="12766"/>
  <c r="G711" i="12766" s="1"/>
  <c r="I609" i="12766"/>
  <c r="C610" i="12766"/>
  <c r="E610" i="12766"/>
  <c r="E661" i="12766"/>
  <c r="G661" i="12766" s="1"/>
  <c r="E712" i="12766"/>
  <c r="G712" i="12766" s="1"/>
  <c r="I610" i="12766"/>
  <c r="C612" i="12766"/>
  <c r="E663" i="12766"/>
  <c r="G663" i="12766" s="1"/>
  <c r="E714" i="12766"/>
  <c r="G714" i="12766" s="1"/>
  <c r="C613" i="12766"/>
  <c r="E613" i="12766"/>
  <c r="E664" i="12766"/>
  <c r="G664" i="12766" s="1"/>
  <c r="E715" i="12766"/>
  <c r="G715" i="12766" s="1"/>
  <c r="I613" i="12766"/>
  <c r="C614" i="12766"/>
  <c r="E614" i="12766"/>
  <c r="E665" i="12766"/>
  <c r="G665" i="12766" s="1"/>
  <c r="E716" i="12766"/>
  <c r="G716" i="12766" s="1"/>
  <c r="I614" i="12766"/>
  <c r="C615" i="12766"/>
  <c r="D615" i="12766"/>
  <c r="E615" i="12766"/>
  <c r="E666" i="12766"/>
  <c r="G666" i="12766" s="1"/>
  <c r="E717" i="12766"/>
  <c r="G717" i="12766" s="1"/>
  <c r="C616" i="12766"/>
  <c r="D616" i="12766"/>
  <c r="E616" i="12766"/>
  <c r="E667" i="12766"/>
  <c r="G667" i="12766" s="1"/>
  <c r="E718" i="12766"/>
  <c r="G718" i="12766" s="1"/>
  <c r="C618" i="12766"/>
  <c r="C619" i="12766"/>
  <c r="C723" i="12766"/>
  <c r="C621" i="12766" s="1"/>
  <c r="E621" i="12766"/>
  <c r="E672" i="12766"/>
  <c r="G672" i="12766" s="1"/>
  <c r="E723" i="12766"/>
  <c r="I621" i="12766"/>
  <c r="C622" i="12766"/>
  <c r="E622" i="12766"/>
  <c r="E673" i="12766"/>
  <c r="G673" i="12766" s="1"/>
  <c r="E724" i="12766"/>
  <c r="G724" i="12766" s="1"/>
  <c r="I622" i="12766"/>
  <c r="C725" i="12766"/>
  <c r="C623" i="12766" s="1"/>
  <c r="D623" i="12766"/>
  <c r="M623" i="12766" s="1"/>
  <c r="G674" i="12766"/>
  <c r="H674" i="12766"/>
  <c r="H725" i="12766"/>
  <c r="I674" i="12766"/>
  <c r="K674" i="12766" s="1"/>
  <c r="I725" i="12766"/>
  <c r="K725" i="12766" s="1"/>
  <c r="C726" i="12766"/>
  <c r="C624" i="12766" s="1"/>
  <c r="G675" i="12766"/>
  <c r="I675" i="12766"/>
  <c r="I726" i="12766"/>
  <c r="D625" i="12766"/>
  <c r="C626" i="12766"/>
  <c r="D626" i="12766"/>
  <c r="G626" i="12766"/>
  <c r="H626" i="12766"/>
  <c r="K626" i="12766"/>
  <c r="O627" i="12766"/>
  <c r="I655" i="12766"/>
  <c r="D678" i="12766"/>
  <c r="I706" i="12766"/>
  <c r="D729" i="12766"/>
  <c r="C737" i="12766"/>
  <c r="E735" i="12766"/>
  <c r="G735" i="12766" s="1"/>
  <c r="I794" i="12766"/>
  <c r="I735" i="12766" s="1"/>
  <c r="E736" i="12766"/>
  <c r="G736" i="12766" s="1"/>
  <c r="I795" i="12766"/>
  <c r="I736" i="12766" s="1"/>
  <c r="K736" i="12766" s="1"/>
  <c r="D737" i="12766"/>
  <c r="E737" i="12766"/>
  <c r="I737" i="12766"/>
  <c r="C738" i="12766"/>
  <c r="C742" i="12766"/>
  <c r="C758" i="12766" s="1"/>
  <c r="E738" i="12766"/>
  <c r="I797" i="12766"/>
  <c r="I738" i="12766" s="1"/>
  <c r="E739" i="12766"/>
  <c r="G739" i="12766" s="1"/>
  <c r="I798" i="12766"/>
  <c r="I739" i="12766" s="1"/>
  <c r="C740" i="12766"/>
  <c r="E740" i="12766"/>
  <c r="E756" i="12766" s="1"/>
  <c r="G756" i="12766" s="1"/>
  <c r="I799" i="12766"/>
  <c r="I740" i="12766" s="1"/>
  <c r="E742" i="12766"/>
  <c r="I801" i="12766"/>
  <c r="I742" i="12766" s="1"/>
  <c r="C743" i="12766"/>
  <c r="E743" i="12766"/>
  <c r="E752" i="12766" s="1"/>
  <c r="G752" i="12766" s="1"/>
  <c r="I802" i="12766"/>
  <c r="I743" i="12766" s="1"/>
  <c r="G744" i="12766"/>
  <c r="H744" i="12766"/>
  <c r="K744" i="12766"/>
  <c r="M744" i="12766"/>
  <c r="E745" i="12766"/>
  <c r="I803" i="12766"/>
  <c r="I745" i="12766" s="1"/>
  <c r="C747" i="12766"/>
  <c r="C749" i="12766"/>
  <c r="E753" i="12766"/>
  <c r="G753" i="12766" s="1"/>
  <c r="I811" i="12766"/>
  <c r="I753" i="12766" s="1"/>
  <c r="E754" i="12766"/>
  <c r="G754" i="12766" s="1"/>
  <c r="I812" i="12766"/>
  <c r="I754" i="12766" s="1"/>
  <c r="K754" i="12766" s="1"/>
  <c r="C755" i="12766"/>
  <c r="O760" i="12766"/>
  <c r="C822" i="12766"/>
  <c r="G822" i="12766" s="1"/>
  <c r="C850" i="12766"/>
  <c r="C851" i="12766"/>
  <c r="G851" i="12766" s="1"/>
  <c r="D794" i="12766"/>
  <c r="D766" i="12766" s="1"/>
  <c r="M766" i="12766" s="1"/>
  <c r="C879" i="12766"/>
  <c r="G877" i="12766"/>
  <c r="H822" i="12766"/>
  <c r="H850" i="12766"/>
  <c r="H877" i="12766"/>
  <c r="I822" i="12766"/>
  <c r="K822" i="12766" s="1"/>
  <c r="I850" i="12766"/>
  <c r="K850" i="12766" s="1"/>
  <c r="I877" i="12766"/>
  <c r="K877" i="12766" s="1"/>
  <c r="O766" i="12766"/>
  <c r="I823" i="12766"/>
  <c r="K823" i="12766" s="1"/>
  <c r="I851" i="12766"/>
  <c r="K851" i="12766" s="1"/>
  <c r="I878" i="12766"/>
  <c r="K878" i="12766" s="1"/>
  <c r="C825" i="12766"/>
  <c r="G825" i="12766" s="1"/>
  <c r="C829" i="12766"/>
  <c r="C841" i="12766" s="1"/>
  <c r="I825" i="12766"/>
  <c r="I834" i="12766" s="1"/>
  <c r="C857" i="12766"/>
  <c r="C869" i="12766" s="1"/>
  <c r="C853" i="12766"/>
  <c r="C797" i="12766" s="1"/>
  <c r="C769" i="12766" s="1"/>
  <c r="I853" i="12766"/>
  <c r="I862" i="12766" s="1"/>
  <c r="C884" i="12766"/>
  <c r="C896" i="12766" s="1"/>
  <c r="I880" i="12766"/>
  <c r="K880" i="12766" s="1"/>
  <c r="C826" i="12766"/>
  <c r="G826" i="12766" s="1"/>
  <c r="I826" i="12766"/>
  <c r="I835" i="12766" s="1"/>
  <c r="C854" i="12766"/>
  <c r="G854" i="12766" s="1"/>
  <c r="I854" i="12766"/>
  <c r="I863" i="12766" s="1"/>
  <c r="I881" i="12766"/>
  <c r="I890" i="12766" s="1"/>
  <c r="H823" i="12766"/>
  <c r="H851" i="12766"/>
  <c r="H878" i="12766"/>
  <c r="H880" i="12766"/>
  <c r="R766" i="12766"/>
  <c r="S766" i="12766"/>
  <c r="D795" i="12766"/>
  <c r="D767" i="12766" s="1"/>
  <c r="G823" i="12766"/>
  <c r="G878" i="12766"/>
  <c r="O767" i="12766"/>
  <c r="R767" i="12766"/>
  <c r="S767" i="12766"/>
  <c r="G880" i="12766"/>
  <c r="O769" i="12766"/>
  <c r="G881" i="12766"/>
  <c r="O770" i="12766"/>
  <c r="S770" i="12766"/>
  <c r="C827" i="12766"/>
  <c r="G827" i="12766" s="1"/>
  <c r="C855" i="12766"/>
  <c r="G882" i="12766"/>
  <c r="I827" i="12766"/>
  <c r="I855" i="12766"/>
  <c r="I882" i="12766"/>
  <c r="I891" i="12766" s="1"/>
  <c r="O771" i="12766"/>
  <c r="I829" i="12766"/>
  <c r="I837" i="12766" s="1"/>
  <c r="I857" i="12766"/>
  <c r="I865" i="12766" s="1"/>
  <c r="I884" i="12766"/>
  <c r="I892" i="12766" s="1"/>
  <c r="O773" i="12766"/>
  <c r="C830" i="12766"/>
  <c r="G830" i="12766" s="1"/>
  <c r="C858" i="12766"/>
  <c r="G885" i="12766"/>
  <c r="I830" i="12766"/>
  <c r="I838" i="12766" s="1"/>
  <c r="I858" i="12766"/>
  <c r="I866" i="12766" s="1"/>
  <c r="I885" i="12766"/>
  <c r="I893" i="12766" s="1"/>
  <c r="O774" i="12766"/>
  <c r="C804" i="12766"/>
  <c r="C776" i="12766" s="1"/>
  <c r="D804" i="12766"/>
  <c r="D776" i="12766" s="1"/>
  <c r="E776" i="12766"/>
  <c r="E832" i="12766"/>
  <c r="G832" i="12766" s="1"/>
  <c r="E860" i="12766"/>
  <c r="G860" i="12766" s="1"/>
  <c r="E887" i="12766"/>
  <c r="G887" i="12766" s="1"/>
  <c r="I776" i="12766"/>
  <c r="C805" i="12766"/>
  <c r="C777" i="12766" s="1"/>
  <c r="D805" i="12766"/>
  <c r="D777" i="12766" s="1"/>
  <c r="E777" i="12766"/>
  <c r="E833" i="12766"/>
  <c r="G833" i="12766" s="1"/>
  <c r="E861" i="12766"/>
  <c r="G861" i="12766" s="1"/>
  <c r="E888" i="12766"/>
  <c r="G888" i="12766" s="1"/>
  <c r="I777" i="12766"/>
  <c r="C806" i="12766"/>
  <c r="C778" i="12766" s="1"/>
  <c r="E778" i="12766"/>
  <c r="E834" i="12766"/>
  <c r="G834" i="12766" s="1"/>
  <c r="E862" i="12766"/>
  <c r="G862" i="12766" s="1"/>
  <c r="E889" i="12766"/>
  <c r="G889" i="12766" s="1"/>
  <c r="I778" i="12766"/>
  <c r="C863" i="12766"/>
  <c r="C807" i="12766" s="1"/>
  <c r="C779" i="12766" s="1"/>
  <c r="E779" i="12766"/>
  <c r="E835" i="12766"/>
  <c r="G835" i="12766" s="1"/>
  <c r="E863" i="12766"/>
  <c r="E890" i="12766"/>
  <c r="G890" i="12766" s="1"/>
  <c r="I779" i="12766"/>
  <c r="C836" i="12766"/>
  <c r="C864" i="12766"/>
  <c r="E780" i="12766"/>
  <c r="E836" i="12766"/>
  <c r="E864" i="12766"/>
  <c r="E891" i="12766"/>
  <c r="G891" i="12766" s="1"/>
  <c r="I780" i="12766"/>
  <c r="C837" i="12766"/>
  <c r="C865" i="12766"/>
  <c r="E781" i="12766"/>
  <c r="E837" i="12766"/>
  <c r="E865" i="12766"/>
  <c r="E892" i="12766"/>
  <c r="I781" i="12766"/>
  <c r="C838" i="12766"/>
  <c r="C866" i="12766"/>
  <c r="E782" i="12766"/>
  <c r="E838" i="12766"/>
  <c r="E866" i="12766"/>
  <c r="E893" i="12766"/>
  <c r="G893" i="12766" s="1"/>
  <c r="I782" i="12766"/>
  <c r="C839" i="12766"/>
  <c r="G839" i="12766" s="1"/>
  <c r="C867" i="12766"/>
  <c r="G867" i="12766" s="1"/>
  <c r="D811" i="12766"/>
  <c r="D783" i="12766" s="1"/>
  <c r="M783" i="12766" s="1"/>
  <c r="G894" i="12766"/>
  <c r="H839" i="12766"/>
  <c r="H867" i="12766"/>
  <c r="H894" i="12766"/>
  <c r="I839" i="12766"/>
  <c r="K839" i="12766" s="1"/>
  <c r="I867" i="12766"/>
  <c r="K867" i="12766" s="1"/>
  <c r="I894" i="12766"/>
  <c r="K894" i="12766" s="1"/>
  <c r="O783" i="12766"/>
  <c r="C840" i="12766"/>
  <c r="G840" i="12766" s="1"/>
  <c r="C868" i="12766"/>
  <c r="G895" i="12766"/>
  <c r="I840" i="12766"/>
  <c r="I868" i="12766"/>
  <c r="I895" i="12766"/>
  <c r="D813" i="12766"/>
  <c r="D785" i="12766" s="1"/>
  <c r="C814" i="12766"/>
  <c r="C786" i="12766" s="1"/>
  <c r="D814" i="12766"/>
  <c r="D786" i="12766" s="1"/>
  <c r="G814" i="12766"/>
  <c r="G786" i="12766" s="1"/>
  <c r="H814" i="12766"/>
  <c r="H786" i="12766" s="1"/>
  <c r="K814" i="12766"/>
  <c r="K786" i="12766" s="1"/>
  <c r="O787" i="12766"/>
  <c r="E804" i="12766"/>
  <c r="E805" i="12766"/>
  <c r="E806" i="12766"/>
  <c r="E807" i="12766"/>
  <c r="E808" i="12766"/>
  <c r="E809" i="12766"/>
  <c r="E810" i="12766"/>
  <c r="D824" i="12766"/>
  <c r="I831" i="12766"/>
  <c r="D852" i="12766"/>
  <c r="I859" i="12766"/>
  <c r="I886" i="12766"/>
  <c r="C904" i="12766"/>
  <c r="D904" i="12766" s="1"/>
  <c r="O911" i="12766"/>
  <c r="C905" i="12766"/>
  <c r="D905" i="12766" s="1"/>
  <c r="C906" i="12766"/>
  <c r="D906" i="12766" s="1"/>
  <c r="C907" i="12766"/>
  <c r="D907" i="12766" s="1"/>
  <c r="C908" i="12766"/>
  <c r="C911" i="12766"/>
  <c r="D911" i="12766"/>
  <c r="K916" i="12766"/>
  <c r="M916" i="12766" s="1"/>
  <c r="C917" i="12766"/>
  <c r="C920" i="12766" s="1"/>
  <c r="G918" i="12766"/>
  <c r="C919" i="12766"/>
  <c r="D922" i="12766"/>
  <c r="O922" i="12766"/>
  <c r="G927" i="12766"/>
  <c r="K927" i="12766" s="1"/>
  <c r="M927" i="12766" s="1"/>
  <c r="H927" i="12766"/>
  <c r="C939" i="12766"/>
  <c r="C928" i="12766" s="1"/>
  <c r="C940" i="12766"/>
  <c r="C951" i="12766"/>
  <c r="C953" i="12766" s="1"/>
  <c r="G950" i="12766"/>
  <c r="I950" i="12766"/>
  <c r="I951" i="12766" s="1"/>
  <c r="E929" i="12766"/>
  <c r="E940" i="12766"/>
  <c r="E951" i="12766"/>
  <c r="I929" i="12766"/>
  <c r="C941" i="12766"/>
  <c r="C952" i="12766"/>
  <c r="D930" i="12766"/>
  <c r="D931" i="12766"/>
  <c r="K938" i="12766"/>
  <c r="K949" i="12766"/>
  <c r="C932" i="12766"/>
  <c r="D932" i="12766"/>
  <c r="G932" i="12766"/>
  <c r="H932" i="12766"/>
  <c r="K932" i="12766"/>
  <c r="D933" i="12766"/>
  <c r="O933" i="12766"/>
  <c r="D944" i="12766"/>
  <c r="D955" i="12766"/>
  <c r="C962" i="12766"/>
  <c r="G960" i="12766"/>
  <c r="H960" i="12766"/>
  <c r="K960" i="12766"/>
  <c r="M960" i="12766"/>
  <c r="G961" i="12766"/>
  <c r="H961" i="12766"/>
  <c r="K961" i="12766"/>
  <c r="M961" i="12766"/>
  <c r="C963" i="12766"/>
  <c r="C964" i="12766" s="1"/>
  <c r="C966" i="12766" s="1"/>
  <c r="H963" i="12766"/>
  <c r="K963" i="12766"/>
  <c r="M963" i="12766"/>
  <c r="D964" i="12766"/>
  <c r="D966" i="12766"/>
  <c r="O966" i="12766"/>
  <c r="C972" i="12766"/>
  <c r="D972" i="12766" s="1"/>
  <c r="O1003" i="12766"/>
  <c r="C973" i="12766"/>
  <c r="D973" i="12766" s="1"/>
  <c r="C974" i="12766"/>
  <c r="D974" i="12766" s="1"/>
  <c r="C976" i="12766"/>
  <c r="D976" i="12766" s="1"/>
  <c r="C977" i="12766"/>
  <c r="D977" i="12766" s="1"/>
  <c r="H977" i="12766" s="1"/>
  <c r="C980" i="12766"/>
  <c r="D980" i="12766" s="1"/>
  <c r="C981" i="12766"/>
  <c r="D981" i="12766" s="1"/>
  <c r="D982" i="12766"/>
  <c r="H982" i="12766" s="1"/>
  <c r="D984" i="12766"/>
  <c r="H984" i="12766" s="1"/>
  <c r="D985" i="12766"/>
  <c r="H985" i="12766" s="1"/>
  <c r="D988" i="12766"/>
  <c r="H988" i="12766" s="1"/>
  <c r="D989" i="12766"/>
  <c r="H989" i="12766" s="1"/>
  <c r="D990" i="12766"/>
  <c r="H990" i="12766" s="1"/>
  <c r="D992" i="12766"/>
  <c r="H992" i="12766" s="1"/>
  <c r="D993" i="12766"/>
  <c r="H993" i="12766" s="1"/>
  <c r="C995" i="12766"/>
  <c r="D995" i="12766" s="1"/>
  <c r="C996" i="12766"/>
  <c r="D996" i="12766" s="1"/>
  <c r="H996" i="12766" s="1"/>
  <c r="D997" i="12766"/>
  <c r="H997" i="12766" s="1"/>
  <c r="C999" i="12766"/>
  <c r="D999" i="12766" s="1"/>
  <c r="G982" i="12766"/>
  <c r="G984" i="12766"/>
  <c r="G985" i="12766"/>
  <c r="G988" i="12766"/>
  <c r="G989" i="12766"/>
  <c r="G990" i="12766"/>
  <c r="G992" i="12766"/>
  <c r="G993" i="12766"/>
  <c r="G997" i="12766"/>
  <c r="C1000" i="12766"/>
  <c r="C1003" i="12766"/>
  <c r="D1003" i="12766"/>
  <c r="K1008" i="12766"/>
  <c r="O1008" i="12766"/>
  <c r="C18" i="12859"/>
  <c r="I18" i="12859" s="1"/>
  <c r="C19" i="12859"/>
  <c r="I19" i="12859" s="1"/>
  <c r="C20" i="12859"/>
  <c r="I20" i="12859" s="1"/>
  <c r="E43" i="12811"/>
  <c r="E74" i="12811"/>
  <c r="Y18" i="12769"/>
  <c r="Y20" i="12769"/>
  <c r="I18" i="12771"/>
  <c r="I19" i="12771"/>
  <c r="I20" i="12771"/>
  <c r="I23" i="12771"/>
  <c r="I24" i="12771"/>
  <c r="I25" i="12771"/>
  <c r="I27" i="12771"/>
  <c r="I28" i="12771"/>
  <c r="I29" i="12771"/>
  <c r="I31" i="12771"/>
  <c r="I32" i="12771"/>
  <c r="I33" i="12771"/>
  <c r="C109" i="12764"/>
  <c r="G23" i="12763"/>
  <c r="K23" i="12763" s="1"/>
  <c r="L23" i="12763"/>
  <c r="I30" i="12763"/>
  <c r="L30" i="12763"/>
  <c r="I43" i="12763"/>
  <c r="I49" i="12763"/>
  <c r="K50" i="12763"/>
  <c r="K51" i="12763"/>
  <c r="K52" i="12763"/>
  <c r="I58" i="12763"/>
  <c r="N60" i="12763"/>
  <c r="I65" i="12763"/>
  <c r="N65" i="12763"/>
  <c r="N66" i="12763"/>
  <c r="I69" i="12763"/>
  <c r="N69" i="12763"/>
  <c r="I71" i="12763"/>
  <c r="N71" i="12763"/>
  <c r="E74" i="12763"/>
  <c r="E76" i="12763" s="1"/>
  <c r="I74" i="12763"/>
  <c r="N74" i="12763"/>
  <c r="I75" i="12763"/>
  <c r="N75" i="12763"/>
  <c r="I78" i="12763"/>
  <c r="N78" i="12763"/>
  <c r="I79" i="12763"/>
  <c r="N79" i="12763"/>
  <c r="I80" i="12763"/>
  <c r="N80" i="12763"/>
  <c r="I86" i="12763"/>
  <c r="N86" i="12763"/>
  <c r="N89" i="12763" s="1"/>
  <c r="I87" i="12763"/>
  <c r="N87" i="12763"/>
  <c r="I92" i="12763"/>
  <c r="N92" i="12763"/>
  <c r="I93" i="12763"/>
  <c r="N93" i="12763"/>
  <c r="I96" i="12763"/>
  <c r="N96" i="12763"/>
  <c r="N98" i="12763"/>
  <c r="N99" i="12763"/>
  <c r="I102" i="12763"/>
  <c r="N102" i="12763"/>
  <c r="I104" i="12763"/>
  <c r="N104" i="12763"/>
  <c r="I106" i="12763"/>
  <c r="N106" i="12763"/>
  <c r="I107" i="12763"/>
  <c r="N107" i="12763"/>
  <c r="I110" i="12763"/>
  <c r="N110" i="12763"/>
  <c r="I112" i="12763"/>
  <c r="N112" i="12763"/>
  <c r="S23" i="12764"/>
  <c r="AE23" i="12764" s="1"/>
  <c r="AC23" i="12764"/>
  <c r="AB29" i="12764"/>
  <c r="AC29" i="12764"/>
  <c r="E30" i="12764"/>
  <c r="L30" i="12764"/>
  <c r="P30" i="12764"/>
  <c r="AB41" i="12764"/>
  <c r="AC41" i="12764"/>
  <c r="E43" i="12764"/>
  <c r="L43" i="12764"/>
  <c r="P43" i="12764"/>
  <c r="AA43" i="12764"/>
  <c r="E49" i="12764"/>
  <c r="L49" i="12764"/>
  <c r="P49" i="12764"/>
  <c r="AA49" i="12764"/>
  <c r="E58" i="12764"/>
  <c r="L58" i="12764"/>
  <c r="P58" i="12764"/>
  <c r="AA58" i="12764"/>
  <c r="L65" i="12764"/>
  <c r="P65" i="12764"/>
  <c r="L66" i="12764"/>
  <c r="P66" i="12764"/>
  <c r="AA66" i="12764"/>
  <c r="L69" i="12764"/>
  <c r="P69" i="12764"/>
  <c r="L70" i="12764"/>
  <c r="P70" i="12764"/>
  <c r="L75" i="12764"/>
  <c r="P75" i="12764"/>
  <c r="L76" i="12764"/>
  <c r="P76" i="12764"/>
  <c r="L79" i="12764"/>
  <c r="P79" i="12764"/>
  <c r="AA79" i="12764"/>
  <c r="C80" i="12764"/>
  <c r="L80" i="12764"/>
  <c r="P80" i="12764"/>
  <c r="AA80" i="12764"/>
  <c r="L87" i="12764"/>
  <c r="P87" i="12764"/>
  <c r="L88" i="12764"/>
  <c r="P88" i="12764"/>
  <c r="U88" i="12764"/>
  <c r="AA88" i="12764"/>
  <c r="C93" i="12764"/>
  <c r="L93" i="12764"/>
  <c r="P93" i="12764"/>
  <c r="AA93" i="12764"/>
  <c r="C94" i="12764"/>
  <c r="L94" i="12764"/>
  <c r="P94" i="12764"/>
  <c r="AA94" i="12764"/>
  <c r="C97" i="12764"/>
  <c r="L97" i="12764"/>
  <c r="P97" i="12764"/>
  <c r="AA97" i="12764"/>
  <c r="L99" i="12764"/>
  <c r="P99" i="12764"/>
  <c r="AA99" i="12764"/>
  <c r="C101" i="12764"/>
  <c r="L101" i="12764"/>
  <c r="P101" i="12764"/>
  <c r="AA101" i="12764"/>
  <c r="L104" i="12764"/>
  <c r="P104" i="12764"/>
  <c r="AA104" i="12764"/>
  <c r="C106" i="12764"/>
  <c r="L106" i="12764"/>
  <c r="P106" i="12764"/>
  <c r="AA106" i="12764"/>
  <c r="C108" i="12764"/>
  <c r="L108" i="12764"/>
  <c r="P108" i="12764"/>
  <c r="AA108" i="12764"/>
  <c r="L109" i="12764"/>
  <c r="P109" i="12764"/>
  <c r="AA109" i="12764"/>
  <c r="L112" i="12764"/>
  <c r="P112" i="12764"/>
  <c r="AA112" i="12764"/>
  <c r="L114" i="12764"/>
  <c r="P114" i="12764"/>
  <c r="AA114" i="12764"/>
  <c r="A2" i="12761"/>
  <c r="A3" i="12761"/>
  <c r="A4" i="12761"/>
  <c r="E7" i="12761"/>
  <c r="F7" i="12761" s="1"/>
  <c r="G7" i="12761" s="1"/>
  <c r="H7" i="12761" s="1"/>
  <c r="J7" i="12761"/>
  <c r="K7" i="12761" s="1"/>
  <c r="L7" i="12761" s="1"/>
  <c r="M7" i="12761" s="1"/>
  <c r="N7" i="12761" s="1"/>
  <c r="O8" i="12761"/>
  <c r="R8" i="12761" s="1"/>
  <c r="O9" i="12761"/>
  <c r="R9" i="12761" s="1"/>
  <c r="O10" i="12761"/>
  <c r="R10" i="12761" s="1"/>
  <c r="O11" i="12761"/>
  <c r="R11" i="12761" s="1"/>
  <c r="O12" i="12761"/>
  <c r="R12" i="12761" s="1"/>
  <c r="O13" i="12761"/>
  <c r="R13" i="12761" s="1"/>
  <c r="O14" i="12761"/>
  <c r="R14" i="12761" s="1"/>
  <c r="O15" i="12761"/>
  <c r="R15" i="12761" s="1"/>
  <c r="O16" i="12761"/>
  <c r="O17" i="12761"/>
  <c r="O18" i="12761"/>
  <c r="O19" i="12761"/>
  <c r="O20" i="12761"/>
  <c r="O21" i="12761"/>
  <c r="O22" i="12761"/>
  <c r="O23" i="12761"/>
  <c r="O24" i="12761"/>
  <c r="R24" i="12761" s="1"/>
  <c r="O25" i="12761"/>
  <c r="R25" i="12761" s="1"/>
  <c r="O26" i="12761"/>
  <c r="R26" i="12761" s="1"/>
  <c r="O27" i="12761"/>
  <c r="R27" i="12761" s="1"/>
  <c r="O28" i="12761"/>
  <c r="O29" i="12761"/>
  <c r="O30" i="12761"/>
  <c r="O31" i="12761"/>
  <c r="C33" i="12761"/>
  <c r="D33" i="12761"/>
  <c r="E33" i="12761"/>
  <c r="F33" i="12761"/>
  <c r="G33" i="12761"/>
  <c r="H33" i="12761"/>
  <c r="I33" i="12761"/>
  <c r="J33" i="12761"/>
  <c r="K33" i="12761"/>
  <c r="L33" i="12761"/>
  <c r="M33" i="12761"/>
  <c r="N33" i="12761"/>
  <c r="E35" i="12761"/>
  <c r="F35" i="12761" s="1"/>
  <c r="G35" i="12761" s="1"/>
  <c r="H35" i="12761" s="1"/>
  <c r="J35" i="12761"/>
  <c r="K35" i="12761" s="1"/>
  <c r="L35" i="12761" s="1"/>
  <c r="M35" i="12761" s="1"/>
  <c r="N35" i="12761" s="1"/>
  <c r="O36" i="12761"/>
  <c r="R36" i="12761" s="1"/>
  <c r="O37" i="12761"/>
  <c r="R37" i="12761" s="1"/>
  <c r="O38" i="12761"/>
  <c r="R38" i="12761" s="1"/>
  <c r="O39" i="12761"/>
  <c r="R39" i="12761" s="1"/>
  <c r="O40" i="12761"/>
  <c r="R40" i="12761" s="1"/>
  <c r="O41" i="12761"/>
  <c r="R41" i="12761" s="1"/>
  <c r="O42" i="12761"/>
  <c r="R42" i="12761" s="1"/>
  <c r="O43" i="12761"/>
  <c r="R43" i="12761" s="1"/>
  <c r="O44" i="12761"/>
  <c r="R44" i="12761" s="1"/>
  <c r="O45" i="12761"/>
  <c r="O46" i="12761"/>
  <c r="R46" i="12761" s="1"/>
  <c r="O47" i="12761"/>
  <c r="R47" i="12761" s="1"/>
  <c r="O48" i="12761"/>
  <c r="R48" i="12761" s="1"/>
  <c r="C54" i="12761"/>
  <c r="D54" i="12761"/>
  <c r="E54" i="12761"/>
  <c r="F54" i="12761"/>
  <c r="G54" i="12761"/>
  <c r="H54" i="12761"/>
  <c r="I54" i="12761"/>
  <c r="J54" i="12761"/>
  <c r="K54" i="12761"/>
  <c r="L54" i="12761"/>
  <c r="M54" i="12761"/>
  <c r="N54" i="12761"/>
  <c r="E56" i="12761"/>
  <c r="F56" i="12761" s="1"/>
  <c r="G56" i="12761" s="1"/>
  <c r="H56" i="12761" s="1"/>
  <c r="J56" i="12761"/>
  <c r="K56" i="12761" s="1"/>
  <c r="L56" i="12761" s="1"/>
  <c r="M56" i="12761" s="1"/>
  <c r="N56" i="12761" s="1"/>
  <c r="O57" i="12761"/>
  <c r="R57" i="12761" s="1"/>
  <c r="O58" i="12761"/>
  <c r="R58" i="12761" s="1"/>
  <c r="O59" i="12761"/>
  <c r="O60" i="12761"/>
  <c r="O61" i="12761"/>
  <c r="O62" i="12761"/>
  <c r="O63" i="12761"/>
  <c r="O64" i="12761"/>
  <c r="O65" i="12761"/>
  <c r="O66" i="12761"/>
  <c r="O67" i="12761"/>
  <c r="O68" i="12761"/>
  <c r="C69" i="12761"/>
  <c r="G69" i="12761" s="1"/>
  <c r="E71" i="12761"/>
  <c r="F71" i="12761" s="1"/>
  <c r="G71" i="12761" s="1"/>
  <c r="H71" i="12761" s="1"/>
  <c r="J71" i="12761"/>
  <c r="K71" i="12761" s="1"/>
  <c r="L71" i="12761" s="1"/>
  <c r="M71" i="12761" s="1"/>
  <c r="N71" i="12761" s="1"/>
  <c r="O72" i="12761"/>
  <c r="O73" i="12761"/>
  <c r="R73" i="12761" s="1"/>
  <c r="O74" i="12761"/>
  <c r="R74" i="12761" s="1"/>
  <c r="O75" i="12761"/>
  <c r="R75" i="12761" s="1"/>
  <c r="O76" i="12761"/>
  <c r="R76" i="12761" s="1"/>
  <c r="O77" i="12761"/>
  <c r="R77" i="12761" s="1"/>
  <c r="C81" i="12761"/>
  <c r="D81" i="12761"/>
  <c r="E81" i="12761"/>
  <c r="F81" i="12761"/>
  <c r="G81" i="12761"/>
  <c r="H81" i="12761"/>
  <c r="I81" i="12761"/>
  <c r="J81" i="12761"/>
  <c r="K81" i="12761"/>
  <c r="L81" i="12761"/>
  <c r="M81" i="12761"/>
  <c r="N81" i="12761"/>
  <c r="E83" i="12761"/>
  <c r="F83" i="12761" s="1"/>
  <c r="G83" i="12761" s="1"/>
  <c r="H83" i="12761" s="1"/>
  <c r="J83" i="12761"/>
  <c r="K83" i="12761" s="1"/>
  <c r="L83" i="12761" s="1"/>
  <c r="M83" i="12761" s="1"/>
  <c r="N83" i="12761" s="1"/>
  <c r="O84" i="12761"/>
  <c r="O85" i="12761"/>
  <c r="O86" i="12761"/>
  <c r="R86" i="12761" s="1"/>
  <c r="O87" i="12761"/>
  <c r="R87" i="12761" s="1"/>
  <c r="O88" i="12761"/>
  <c r="R88" i="12761" s="1"/>
  <c r="O89" i="12761"/>
  <c r="R89" i="12761" s="1"/>
  <c r="O90" i="12761"/>
  <c r="R90" i="12761" s="1"/>
  <c r="O91" i="12761"/>
  <c r="O92" i="12761"/>
  <c r="O93" i="12761"/>
  <c r="O94" i="12761"/>
  <c r="O95" i="12761"/>
  <c r="C97" i="12761"/>
  <c r="D97" i="12761"/>
  <c r="E97" i="12761"/>
  <c r="F97" i="12761"/>
  <c r="G97" i="12761"/>
  <c r="H97" i="12761"/>
  <c r="I97" i="12761"/>
  <c r="J97" i="12761"/>
  <c r="K97" i="12761"/>
  <c r="L97" i="12761"/>
  <c r="M97" i="12761"/>
  <c r="N97" i="12761"/>
  <c r="S1061" i="12843" l="1"/>
  <c r="U1061" i="12843" s="1"/>
  <c r="Y88" i="12764"/>
  <c r="Y83" i="12764"/>
  <c r="I84" i="12763"/>
  <c r="E60" i="12764"/>
  <c r="L90" i="12764"/>
  <c r="I89" i="12763"/>
  <c r="P90" i="12764"/>
  <c r="M779" i="12843"/>
  <c r="M609" i="12766"/>
  <c r="M608" i="12766"/>
  <c r="M607" i="12766"/>
  <c r="M605" i="12766"/>
  <c r="G564" i="12766"/>
  <c r="E341" i="12787"/>
  <c r="G392" i="12787"/>
  <c r="G529" i="12766"/>
  <c r="G393" i="12766"/>
  <c r="K781" i="12843"/>
  <c r="K885" i="12843" s="1"/>
  <c r="M885" i="12843" s="1"/>
  <c r="E80" i="12763"/>
  <c r="E43" i="12763"/>
  <c r="E60" i="12763" s="1"/>
  <c r="K526" i="12787"/>
  <c r="M496" i="12766"/>
  <c r="U1022" i="12843"/>
  <c r="M758" i="12843"/>
  <c r="M631" i="12843"/>
  <c r="M646" i="12843"/>
  <c r="M214" i="12843"/>
  <c r="M647" i="12843"/>
  <c r="Q215" i="12843"/>
  <c r="M213" i="12843"/>
  <c r="H45" i="12774"/>
  <c r="I940" i="12766"/>
  <c r="O150" i="12766"/>
  <c r="G219" i="12787"/>
  <c r="D230" i="12766"/>
  <c r="H230" i="12766" s="1"/>
  <c r="I385" i="12766"/>
  <c r="I396" i="12766" s="1"/>
  <c r="C484" i="12766"/>
  <c r="D219" i="12766"/>
  <c r="D218" i="12766"/>
  <c r="H218" i="12766" s="1"/>
  <c r="C273" i="12766"/>
  <c r="I528" i="12766"/>
  <c r="K528" i="12766" s="1"/>
  <c r="E707" i="12787"/>
  <c r="G707" i="12787" s="1"/>
  <c r="D396" i="12787"/>
  <c r="D395" i="12787"/>
  <c r="E807" i="12787"/>
  <c r="E804" i="12787"/>
  <c r="D884" i="12787"/>
  <c r="H884" i="12787" s="1"/>
  <c r="E374" i="12787"/>
  <c r="E428" i="12787"/>
  <c r="G428" i="12787" s="1"/>
  <c r="D432" i="12766"/>
  <c r="H432" i="12766" s="1"/>
  <c r="G223" i="12766"/>
  <c r="E661" i="12787"/>
  <c r="G661" i="12787" s="1"/>
  <c r="E650" i="12787"/>
  <c r="G650" i="12787" s="1"/>
  <c r="E702" i="12787"/>
  <c r="G702" i="12787" s="1"/>
  <c r="K653" i="12787"/>
  <c r="E286" i="12787"/>
  <c r="K52" i="12766"/>
  <c r="I808" i="12766"/>
  <c r="I616" i="12766"/>
  <c r="M616" i="12766" s="1"/>
  <c r="I648" i="12766"/>
  <c r="K648" i="12766" s="1"/>
  <c r="K597" i="12766" s="1"/>
  <c r="I337" i="12766"/>
  <c r="K337" i="12766" s="1"/>
  <c r="O884" i="12787"/>
  <c r="C810" i="12787"/>
  <c r="C782" i="12787" s="1"/>
  <c r="C808" i="12787"/>
  <c r="C780" i="12787" s="1"/>
  <c r="O597" i="12766"/>
  <c r="H336" i="12766"/>
  <c r="H269" i="12766"/>
  <c r="G35" i="12766"/>
  <c r="D1005" i="12787"/>
  <c r="H1005" i="12787" s="1"/>
  <c r="K890" i="12787"/>
  <c r="C779" i="12787"/>
  <c r="O595" i="12787"/>
  <c r="I659" i="12766"/>
  <c r="K659" i="12766" s="1"/>
  <c r="M597" i="12766"/>
  <c r="C485" i="12766"/>
  <c r="I189" i="12766"/>
  <c r="I198" i="12766" s="1"/>
  <c r="M88" i="12766"/>
  <c r="G55" i="12766"/>
  <c r="I600" i="12787"/>
  <c r="I619" i="12787" s="1"/>
  <c r="E556" i="12787"/>
  <c r="G556" i="12787" s="1"/>
  <c r="I190" i="12787"/>
  <c r="I199" i="12787" s="1"/>
  <c r="E402" i="12787"/>
  <c r="G402" i="12787" s="1"/>
  <c r="E308" i="12787"/>
  <c r="G308" i="12787" s="1"/>
  <c r="I245" i="12766"/>
  <c r="I254" i="12766" s="1"/>
  <c r="G37" i="12766"/>
  <c r="O798" i="12787"/>
  <c r="I755" i="12787"/>
  <c r="K755" i="12787" s="1"/>
  <c r="K738" i="12787"/>
  <c r="G686" i="12787"/>
  <c r="I275" i="12787"/>
  <c r="I284" i="12787" s="1"/>
  <c r="E430" i="12787"/>
  <c r="G430" i="12787" s="1"/>
  <c r="G372" i="12787" s="1"/>
  <c r="K221" i="12787"/>
  <c r="K193" i="12787" s="1"/>
  <c r="G390" i="12787"/>
  <c r="G361" i="12787" s="1"/>
  <c r="I413" i="12787"/>
  <c r="K413" i="12787" s="1"/>
  <c r="I127" i="12787"/>
  <c r="K127" i="12787" s="1"/>
  <c r="H137" i="12787"/>
  <c r="G882" i="12787"/>
  <c r="D396" i="12766"/>
  <c r="G221" i="12766"/>
  <c r="O161" i="12766"/>
  <c r="C299" i="12766"/>
  <c r="D385" i="12766"/>
  <c r="H385" i="12766" s="1"/>
  <c r="I363" i="12787"/>
  <c r="I372" i="12787" s="1"/>
  <c r="I268" i="12787"/>
  <c r="I279" i="12787" s="1"/>
  <c r="E336" i="12787"/>
  <c r="G303" i="12787"/>
  <c r="D395" i="12766"/>
  <c r="H395" i="12766" s="1"/>
  <c r="C358" i="12766"/>
  <c r="I170" i="12787"/>
  <c r="G537" i="12766"/>
  <c r="G558" i="12766"/>
  <c r="E463" i="12766"/>
  <c r="G463" i="12766" s="1"/>
  <c r="E457" i="12766"/>
  <c r="G457" i="12766" s="1"/>
  <c r="K385" i="12766"/>
  <c r="E806" i="12787"/>
  <c r="I362" i="12787"/>
  <c r="I371" i="12787" s="1"/>
  <c r="I338" i="12787"/>
  <c r="K338" i="12787" s="1"/>
  <c r="E425" i="12787"/>
  <c r="G425" i="12787" s="1"/>
  <c r="E424" i="12787"/>
  <c r="G424" i="12787" s="1"/>
  <c r="G301" i="12787"/>
  <c r="K244" i="12787"/>
  <c r="P906" i="12787"/>
  <c r="G651" i="12766"/>
  <c r="I413" i="12766"/>
  <c r="I424" i="12766" s="1"/>
  <c r="G881" i="12787"/>
  <c r="M607" i="12787"/>
  <c r="I311" i="12787"/>
  <c r="K311" i="12787" s="1"/>
  <c r="E399" i="12787"/>
  <c r="G399" i="12787" s="1"/>
  <c r="E397" i="12787"/>
  <c r="G397" i="12787" s="1"/>
  <c r="G368" i="12787" s="1"/>
  <c r="C184" i="12787"/>
  <c r="C186" i="12787" s="1"/>
  <c r="C157" i="12787" s="1"/>
  <c r="G940" i="12766"/>
  <c r="D518" i="12766"/>
  <c r="H518" i="12766" s="1"/>
  <c r="G137" i="12766"/>
  <c r="G141" i="12766" s="1"/>
  <c r="G143" i="12766" s="1"/>
  <c r="O881" i="12787"/>
  <c r="I697" i="12787"/>
  <c r="K697" i="12787" s="1"/>
  <c r="I274" i="12787"/>
  <c r="I283" i="12787" s="1"/>
  <c r="I189" i="12787"/>
  <c r="I198" i="12787" s="1"/>
  <c r="E338" i="12787"/>
  <c r="G338" i="12787" s="1"/>
  <c r="G280" i="12787" s="1"/>
  <c r="D385" i="12787"/>
  <c r="D356" i="12787" s="1"/>
  <c r="D150" i="12787" s="1"/>
  <c r="M150" i="12787" s="1"/>
  <c r="D57" i="12787"/>
  <c r="H57" i="12787" s="1"/>
  <c r="L45" i="12774"/>
  <c r="D45" i="12774"/>
  <c r="G391" i="12787"/>
  <c r="G226" i="12787"/>
  <c r="G198" i="12787" s="1"/>
  <c r="M993" i="12766"/>
  <c r="I888" i="12766"/>
  <c r="K888" i="12766" s="1"/>
  <c r="H667" i="12766"/>
  <c r="I695" i="12766"/>
  <c r="I714" i="12766" s="1"/>
  <c r="G571" i="12766"/>
  <c r="C503" i="12766"/>
  <c r="I355" i="12766"/>
  <c r="I366" i="12766" s="1"/>
  <c r="D205" i="12766"/>
  <c r="H341" i="12766"/>
  <c r="H339" i="12766"/>
  <c r="O149" i="12766"/>
  <c r="H920" i="12787"/>
  <c r="E868" i="12787"/>
  <c r="G868" i="12787" s="1"/>
  <c r="E664" i="12787"/>
  <c r="G664" i="12787" s="1"/>
  <c r="K555" i="12787"/>
  <c r="D388" i="12787"/>
  <c r="D359" i="12787" s="1"/>
  <c r="G418" i="12787"/>
  <c r="G360" i="12787" s="1"/>
  <c r="I333" i="12787"/>
  <c r="I342" i="12787" s="1"/>
  <c r="K342" i="12787" s="1"/>
  <c r="K284" i="12787" s="1"/>
  <c r="G68" i="12787"/>
  <c r="G39" i="12787"/>
  <c r="K979" i="12787"/>
  <c r="M988" i="12766"/>
  <c r="G738" i="12766"/>
  <c r="G726" i="12766"/>
  <c r="G624" i="12766" s="1"/>
  <c r="I612" i="12766"/>
  <c r="I600" i="12766"/>
  <c r="I619" i="12766" s="1"/>
  <c r="I644" i="12766"/>
  <c r="K450" i="12766"/>
  <c r="M149" i="12766"/>
  <c r="G298" i="12787"/>
  <c r="H413" i="12787"/>
  <c r="D50" i="12787"/>
  <c r="H50" i="12787" s="1"/>
  <c r="G999" i="12766"/>
  <c r="G981" i="12766"/>
  <c r="E667" i="12787"/>
  <c r="G704" i="12787"/>
  <c r="G648" i="12787"/>
  <c r="G696" i="12787"/>
  <c r="C492" i="12787"/>
  <c r="C487" i="12787"/>
  <c r="K228" i="12787"/>
  <c r="K200" i="12787" s="1"/>
  <c r="K223" i="12787"/>
  <c r="K195" i="12787" s="1"/>
  <c r="G50" i="12787"/>
  <c r="N45" i="12774"/>
  <c r="J45" i="12774"/>
  <c r="F45" i="12774"/>
  <c r="O45" i="12774"/>
  <c r="K45" i="12774"/>
  <c r="G45" i="12774"/>
  <c r="F513" i="12843"/>
  <c r="F478" i="12843" s="1"/>
  <c r="F194" i="12843" s="1"/>
  <c r="C478" i="12843"/>
  <c r="C194" i="12843" s="1"/>
  <c r="C476" i="12843"/>
  <c r="F517" i="12843"/>
  <c r="F482" i="12843" s="1"/>
  <c r="F198" i="12843" s="1"/>
  <c r="C482" i="12843"/>
  <c r="C198" i="12843" s="1"/>
  <c r="M198" i="12843" s="1"/>
  <c r="M517" i="12843"/>
  <c r="M482" i="12843" s="1"/>
  <c r="C185" i="12843"/>
  <c r="C473" i="12843"/>
  <c r="F508" i="12843"/>
  <c r="U508" i="12843"/>
  <c r="U473" i="12843" s="1"/>
  <c r="Q508" i="12843"/>
  <c r="Q473" i="12843" s="1"/>
  <c r="H23" i="12783"/>
  <c r="I24" i="12831"/>
  <c r="I34" i="12831" s="1"/>
  <c r="I46" i="12831" s="1"/>
  <c r="I50" i="12831" s="1"/>
  <c r="N106" i="12764"/>
  <c r="S106" i="12764" s="1"/>
  <c r="R53" i="12764"/>
  <c r="T53" i="12764" s="1"/>
  <c r="P997" i="12766"/>
  <c r="I809" i="12766"/>
  <c r="I832" i="12766"/>
  <c r="K832" i="12766" s="1"/>
  <c r="C824" i="12766"/>
  <c r="H753" i="12766"/>
  <c r="E748" i="12766"/>
  <c r="G748" i="12766" s="1"/>
  <c r="C596" i="12766"/>
  <c r="C542" i="12766"/>
  <c r="G532" i="12766"/>
  <c r="G552" i="12766"/>
  <c r="G484" i="12766" s="1"/>
  <c r="E461" i="12766"/>
  <c r="G461" i="12766" s="1"/>
  <c r="I275" i="12766"/>
  <c r="I284" i="12766" s="1"/>
  <c r="H340" i="12766"/>
  <c r="K219" i="12766"/>
  <c r="I392" i="12766"/>
  <c r="I401" i="12766" s="1"/>
  <c r="G67" i="12766"/>
  <c r="O45" i="12775"/>
  <c r="G45" i="12775"/>
  <c r="G884" i="12787"/>
  <c r="I613" i="12787"/>
  <c r="O586" i="12787"/>
  <c r="G539" i="12787"/>
  <c r="E310" i="12787"/>
  <c r="G310" i="12787" s="1"/>
  <c r="E396" i="12787"/>
  <c r="G396" i="12787" s="1"/>
  <c r="G367" i="12787" s="1"/>
  <c r="I246" i="12787"/>
  <c r="I255" i="12787" s="1"/>
  <c r="K255" i="12787" s="1"/>
  <c r="K225" i="12787"/>
  <c r="G244" i="12787"/>
  <c r="K296" i="12787"/>
  <c r="K267" i="12787" s="1"/>
  <c r="C603" i="12766"/>
  <c r="H529" i="12766"/>
  <c r="G553" i="12766"/>
  <c r="I362" i="12766"/>
  <c r="I371" i="12766" s="1"/>
  <c r="I304" i="12766"/>
  <c r="I313" i="12766" s="1"/>
  <c r="I420" i="12766"/>
  <c r="I429" i="12766" s="1"/>
  <c r="H115" i="12766"/>
  <c r="H117" i="12766" s="1"/>
  <c r="M596" i="12766"/>
  <c r="H919" i="12787"/>
  <c r="D299" i="12787"/>
  <c r="E342" i="12787"/>
  <c r="I309" i="12787"/>
  <c r="K309" i="12787" s="1"/>
  <c r="K331" i="12787"/>
  <c r="K273" i="12787" s="1"/>
  <c r="M45" i="12774"/>
  <c r="I45" i="12774"/>
  <c r="E45" i="12774"/>
  <c r="G725" i="12766"/>
  <c r="G623" i="12766" s="1"/>
  <c r="I308" i="12766"/>
  <c r="K308" i="12766" s="1"/>
  <c r="I218" i="12766"/>
  <c r="I227" i="12766" s="1"/>
  <c r="I332" i="12766"/>
  <c r="H272" i="12766"/>
  <c r="M45" i="12775"/>
  <c r="I45" i="12775"/>
  <c r="E45" i="12775"/>
  <c r="I610" i="12787"/>
  <c r="E711" i="12787"/>
  <c r="G711" i="12787" s="1"/>
  <c r="I608" i="12787"/>
  <c r="M608" i="12787" s="1"/>
  <c r="E431" i="12787"/>
  <c r="G431" i="12787" s="1"/>
  <c r="G373" i="12787" s="1"/>
  <c r="I421" i="12787"/>
  <c r="I425" i="12766"/>
  <c r="K688" i="12787"/>
  <c r="I711" i="12787"/>
  <c r="K711" i="12787" s="1"/>
  <c r="K340" i="12766"/>
  <c r="G725" i="12843"/>
  <c r="I725" i="12843" s="1"/>
  <c r="G687" i="12843"/>
  <c r="I687" i="12843" s="1"/>
  <c r="K964" i="12766"/>
  <c r="K966" i="12766" s="1"/>
  <c r="P967" i="12766" s="1"/>
  <c r="G907" i="12766"/>
  <c r="D837" i="12766"/>
  <c r="K837" i="12766" s="1"/>
  <c r="I833" i="12766"/>
  <c r="K833" i="12766" s="1"/>
  <c r="G857" i="12766"/>
  <c r="H795" i="12766"/>
  <c r="H767" i="12766" s="1"/>
  <c r="C794" i="12766"/>
  <c r="C766" i="12766" s="1"/>
  <c r="I615" i="12766"/>
  <c r="M615" i="12766" s="1"/>
  <c r="I664" i="12766"/>
  <c r="H661" i="12766"/>
  <c r="I698" i="12766"/>
  <c r="K698" i="12766" s="1"/>
  <c r="K596" i="12766" s="1"/>
  <c r="G535" i="12766"/>
  <c r="I564" i="12766"/>
  <c r="K564" i="12766" s="1"/>
  <c r="I563" i="12766"/>
  <c r="K563" i="12766" s="1"/>
  <c r="V486" i="12766"/>
  <c r="V485" i="12766"/>
  <c r="D519" i="12766"/>
  <c r="H519" i="12766" s="1"/>
  <c r="E471" i="12766"/>
  <c r="G471" i="12766" s="1"/>
  <c r="K448" i="12766"/>
  <c r="K445" i="12766"/>
  <c r="I363" i="12766"/>
  <c r="I372" i="12766" s="1"/>
  <c r="D403" i="12766"/>
  <c r="H403" i="12766" s="1"/>
  <c r="I343" i="12766"/>
  <c r="K343" i="12766" s="1"/>
  <c r="I170" i="12766"/>
  <c r="I426" i="12766"/>
  <c r="G395" i="12766"/>
  <c r="G276" i="12766"/>
  <c r="I421" i="12766"/>
  <c r="I430" i="12766" s="1"/>
  <c r="I246" i="12766"/>
  <c r="I255" i="12766" s="1"/>
  <c r="I303" i="12766"/>
  <c r="I312" i="12766" s="1"/>
  <c r="D414" i="12766"/>
  <c r="K384" i="12766"/>
  <c r="H127" i="12766"/>
  <c r="H128" i="12766" s="1"/>
  <c r="H130" i="12766" s="1"/>
  <c r="K963" i="12787"/>
  <c r="D980" i="12787"/>
  <c r="P915" i="12787"/>
  <c r="O801" i="12787"/>
  <c r="K866" i="12787"/>
  <c r="G892" i="12787"/>
  <c r="C799" i="12787"/>
  <c r="C771" i="12787" s="1"/>
  <c r="K851" i="12787"/>
  <c r="K795" i="12787" s="1"/>
  <c r="K767" i="12787" s="1"/>
  <c r="I750" i="12787"/>
  <c r="K750" i="12787" s="1"/>
  <c r="I747" i="12787"/>
  <c r="K747" i="12787" s="1"/>
  <c r="K740" i="12787"/>
  <c r="E665" i="12787"/>
  <c r="G665" i="12787" s="1"/>
  <c r="G614" i="12787" s="1"/>
  <c r="E715" i="12787"/>
  <c r="G715" i="12787" s="1"/>
  <c r="E710" i="12787"/>
  <c r="G710" i="12787" s="1"/>
  <c r="C603" i="12787"/>
  <c r="E362" i="12787"/>
  <c r="E371" i="12787" s="1"/>
  <c r="E198" i="12787"/>
  <c r="I402" i="12787"/>
  <c r="K402" i="12787" s="1"/>
  <c r="E228" i="12787"/>
  <c r="G228" i="12787" s="1"/>
  <c r="G200" i="12787" s="1"/>
  <c r="E400" i="12787"/>
  <c r="G400" i="12787" s="1"/>
  <c r="I340" i="12787"/>
  <c r="K340" i="12787" s="1"/>
  <c r="E398" i="12787"/>
  <c r="G398" i="12787" s="1"/>
  <c r="G369" i="12787" s="1"/>
  <c r="I426" i="12787"/>
  <c r="K426" i="12787" s="1"/>
  <c r="K368" i="12787" s="1"/>
  <c r="G223" i="12787"/>
  <c r="G195" i="12787" s="1"/>
  <c r="I165" i="12787"/>
  <c r="I424" i="12787"/>
  <c r="K424" i="12787" s="1"/>
  <c r="E395" i="12787"/>
  <c r="G395" i="12787" s="1"/>
  <c r="G366" i="12787" s="1"/>
  <c r="O161" i="12787"/>
  <c r="O160" i="12787"/>
  <c r="C273" i="12787"/>
  <c r="G327" i="12787"/>
  <c r="O154" i="12787"/>
  <c r="I392" i="12787"/>
  <c r="I218" i="12787"/>
  <c r="I227" i="12787" s="1"/>
  <c r="G331" i="12787"/>
  <c r="H298" i="12787"/>
  <c r="I297" i="12787"/>
  <c r="H326" i="12787"/>
  <c r="H268" i="12787" s="1"/>
  <c r="G240" i="12787"/>
  <c r="D296" i="12787"/>
  <c r="H296" i="12787" s="1"/>
  <c r="G239" i="12787"/>
  <c r="H385" i="12787"/>
  <c r="I384" i="12787"/>
  <c r="H126" i="12787"/>
  <c r="I137" i="12787"/>
  <c r="K137" i="12787" s="1"/>
  <c r="D39" i="12787"/>
  <c r="H39" i="12787" s="1"/>
  <c r="G425" i="12843"/>
  <c r="I425" i="12843" s="1"/>
  <c r="G566" i="12843"/>
  <c r="I566" i="12843" s="1"/>
  <c r="G460" i="12843"/>
  <c r="I460" i="12843" s="1"/>
  <c r="G531" i="12843"/>
  <c r="I531" i="12843" s="1"/>
  <c r="G355" i="12843"/>
  <c r="I355" i="12843" s="1"/>
  <c r="G496" i="12843"/>
  <c r="G286" i="12843"/>
  <c r="I286" i="12843" s="1"/>
  <c r="G321" i="12843"/>
  <c r="I321" i="12843" s="1"/>
  <c r="G390" i="12843"/>
  <c r="G252" i="12843"/>
  <c r="K833" i="12843"/>
  <c r="M833" i="12843" s="1"/>
  <c r="M777" i="12766"/>
  <c r="H666" i="12766"/>
  <c r="G702" i="12766"/>
  <c r="I531" i="12766"/>
  <c r="G226" i="12766"/>
  <c r="G198" i="12766" s="1"/>
  <c r="G225" i="12766"/>
  <c r="G224" i="12766"/>
  <c r="G196" i="12766" s="1"/>
  <c r="H221" i="12766"/>
  <c r="C27" i="12766"/>
  <c r="H921" i="12787"/>
  <c r="H917" i="12787"/>
  <c r="P910" i="12787"/>
  <c r="O878" i="12787"/>
  <c r="E888" i="12787"/>
  <c r="K857" i="12787"/>
  <c r="E857" i="12787"/>
  <c r="I612" i="12787"/>
  <c r="E651" i="12787"/>
  <c r="G651" i="12787" s="1"/>
  <c r="I695" i="12787"/>
  <c r="I702" i="12787" s="1"/>
  <c r="I687" i="12787"/>
  <c r="G571" i="12787"/>
  <c r="G222" i="12787"/>
  <c r="K219" i="12787"/>
  <c r="K213" i="12787"/>
  <c r="K185" i="12787" s="1"/>
  <c r="I139" i="12787"/>
  <c r="K139" i="12787" s="1"/>
  <c r="H125" i="12787"/>
  <c r="D71" i="12787"/>
  <c r="H71" i="12787" s="1"/>
  <c r="G963" i="12766"/>
  <c r="G964" i="12766" s="1"/>
  <c r="G966" i="12766" s="1"/>
  <c r="C930" i="12766"/>
  <c r="G951" i="12766"/>
  <c r="H861" i="12766"/>
  <c r="I661" i="12766"/>
  <c r="K661" i="12766" s="1"/>
  <c r="C501" i="12766"/>
  <c r="G567" i="12766"/>
  <c r="T485" i="12766"/>
  <c r="H481" i="12766"/>
  <c r="H480" i="12766"/>
  <c r="K452" i="12766"/>
  <c r="K443" i="12766"/>
  <c r="I356" i="12766"/>
  <c r="I367" i="12766" s="1"/>
  <c r="I274" i="12766"/>
  <c r="I283" i="12766" s="1"/>
  <c r="I190" i="12766"/>
  <c r="I199" i="12766" s="1"/>
  <c r="K403" i="12766"/>
  <c r="I169" i="12766"/>
  <c r="K395" i="12766"/>
  <c r="G364" i="12766"/>
  <c r="O160" i="12766"/>
  <c r="I391" i="12766"/>
  <c r="I400" i="12766" s="1"/>
  <c r="I217" i="12766"/>
  <c r="H87" i="12766"/>
  <c r="G57" i="12766"/>
  <c r="K965" i="12787"/>
  <c r="H918" i="12787"/>
  <c r="P908" i="12787"/>
  <c r="O882" i="12787"/>
  <c r="E809" i="12787"/>
  <c r="D796" i="12787"/>
  <c r="K837" i="12787"/>
  <c r="K827" i="12787"/>
  <c r="G890" i="12787"/>
  <c r="H878" i="12787"/>
  <c r="E717" i="12787"/>
  <c r="I614" i="12787"/>
  <c r="E663" i="12787"/>
  <c r="G663" i="12787" s="1"/>
  <c r="G612" i="12787" s="1"/>
  <c r="E709" i="12787"/>
  <c r="I605" i="12787"/>
  <c r="M605" i="12787" s="1"/>
  <c r="G698" i="12787"/>
  <c r="M585" i="12787"/>
  <c r="I696" i="12787"/>
  <c r="C593" i="12787"/>
  <c r="G535" i="12787"/>
  <c r="K531" i="12787"/>
  <c r="G526" i="12787"/>
  <c r="I184" i="12787"/>
  <c r="I194" i="12787" s="1"/>
  <c r="E314" i="12787"/>
  <c r="G314" i="12787" s="1"/>
  <c r="I169" i="12787"/>
  <c r="I336" i="12787"/>
  <c r="K336" i="12787" s="1"/>
  <c r="K278" i="12787" s="1"/>
  <c r="G333" i="12787"/>
  <c r="G297" i="12787"/>
  <c r="G268" i="12787" s="1"/>
  <c r="I332" i="12787"/>
  <c r="G245" i="12787"/>
  <c r="G241" i="12787"/>
  <c r="G213" i="12787"/>
  <c r="K211" i="12787"/>
  <c r="H325" i="12787"/>
  <c r="I113" i="12787"/>
  <c r="K113" i="12787" s="1"/>
  <c r="R40" i="12764"/>
  <c r="T40" i="12764" s="1"/>
  <c r="J48" i="12763"/>
  <c r="L48" i="12763" s="1"/>
  <c r="K997" i="12766"/>
  <c r="G996" i="12766"/>
  <c r="M990" i="12766"/>
  <c r="M984" i="12766"/>
  <c r="G974" i="12766"/>
  <c r="H811" i="12766"/>
  <c r="H783" i="12766" s="1"/>
  <c r="G866" i="12766"/>
  <c r="G864" i="12766"/>
  <c r="H832" i="12766"/>
  <c r="C798" i="12766"/>
  <c r="C770" i="12766" s="1"/>
  <c r="H739" i="12766"/>
  <c r="H735" i="12766"/>
  <c r="E612" i="12766"/>
  <c r="H585" i="12766"/>
  <c r="H584" i="12766"/>
  <c r="C586" i="12766"/>
  <c r="C584" i="12766"/>
  <c r="G533" i="12766"/>
  <c r="C499" i="12766"/>
  <c r="G556" i="12766"/>
  <c r="G375" i="12766"/>
  <c r="G228" i="12766"/>
  <c r="G200" i="12766" s="1"/>
  <c r="D228" i="12766"/>
  <c r="H228" i="12766" s="1"/>
  <c r="G268" i="12766"/>
  <c r="D296" i="12766"/>
  <c r="C183" i="12766"/>
  <c r="C153" i="12766" s="1"/>
  <c r="G356" i="12766"/>
  <c r="G150" i="12766" s="1"/>
  <c r="G33" i="12766"/>
  <c r="G885" i="12787"/>
  <c r="E893" i="12787"/>
  <c r="G893" i="12787" s="1"/>
  <c r="E736" i="12787"/>
  <c r="G736" i="12787" s="1"/>
  <c r="E851" i="12787"/>
  <c r="G851" i="12787" s="1"/>
  <c r="O795" i="12787"/>
  <c r="I648" i="12787"/>
  <c r="K648" i="12787" s="1"/>
  <c r="I699" i="12787"/>
  <c r="M597" i="12787"/>
  <c r="I616" i="12787"/>
  <c r="H597" i="12766"/>
  <c r="G595" i="12766"/>
  <c r="C595" i="12766"/>
  <c r="G593" i="12766"/>
  <c r="C593" i="12766"/>
  <c r="I861" i="12787"/>
  <c r="K861" i="12787" s="1"/>
  <c r="E753" i="12787"/>
  <c r="E867" i="12787"/>
  <c r="H867" i="12787" s="1"/>
  <c r="H811" i="12787" s="1"/>
  <c r="I647" i="12787"/>
  <c r="I698" i="12787"/>
  <c r="O596" i="12787"/>
  <c r="I637" i="12787"/>
  <c r="K637" i="12787" s="1"/>
  <c r="I609" i="12787"/>
  <c r="M609" i="12787" s="1"/>
  <c r="G567" i="12787"/>
  <c r="G224" i="12787"/>
  <c r="G196" i="12787" s="1"/>
  <c r="G363" i="12787"/>
  <c r="D67" i="12787"/>
  <c r="M783" i="12787"/>
  <c r="K864" i="12787"/>
  <c r="K838" i="12787"/>
  <c r="C802" i="12787"/>
  <c r="C774" i="12787" s="1"/>
  <c r="K826" i="12787"/>
  <c r="C797" i="12787"/>
  <c r="C769" i="12787" s="1"/>
  <c r="D627" i="12787"/>
  <c r="E666" i="12787"/>
  <c r="E660" i="12787"/>
  <c r="E659" i="12787"/>
  <c r="G659" i="12787" s="1"/>
  <c r="G608" i="12787" s="1"/>
  <c r="E658" i="12787"/>
  <c r="G658" i="12787" s="1"/>
  <c r="K705" i="12787"/>
  <c r="G705" i="12787"/>
  <c r="G637" i="12787"/>
  <c r="G645" i="12787"/>
  <c r="C503" i="12787"/>
  <c r="D483" i="12787"/>
  <c r="K516" i="12787"/>
  <c r="C551" i="12787"/>
  <c r="C517" i="12787"/>
  <c r="G514" i="12787"/>
  <c r="C480" i="12787"/>
  <c r="I469" i="12766"/>
  <c r="D290" i="12787"/>
  <c r="I314" i="12787"/>
  <c r="K314" i="12787" s="1"/>
  <c r="I428" i="12787"/>
  <c r="K428" i="12787" s="1"/>
  <c r="K370" i="12787" s="1"/>
  <c r="I253" i="12787"/>
  <c r="K253" i="12787" s="1"/>
  <c r="H340" i="12787"/>
  <c r="G225" i="12787"/>
  <c r="G197" i="12787" s="1"/>
  <c r="I427" i="12787"/>
  <c r="K427" i="12787" s="1"/>
  <c r="I339" i="12787"/>
  <c r="K339" i="12787" s="1"/>
  <c r="C191" i="12787"/>
  <c r="C162" i="12787" s="1"/>
  <c r="I101" i="12787"/>
  <c r="K101" i="12787" s="1"/>
  <c r="H136" i="12787"/>
  <c r="D68" i="12787"/>
  <c r="G73" i="12787"/>
  <c r="G71" i="12787"/>
  <c r="G69" i="12787"/>
  <c r="G67" i="12787"/>
  <c r="G33" i="12787"/>
  <c r="P32" i="12775"/>
  <c r="N76" i="12763"/>
  <c r="P992" i="12766"/>
  <c r="G904" i="12766"/>
  <c r="C812" i="12766"/>
  <c r="C784" i="12766" s="1"/>
  <c r="G811" i="12766"/>
  <c r="G783" i="12766" s="1"/>
  <c r="C811" i="12766"/>
  <c r="C783" i="12766" s="1"/>
  <c r="G837" i="12766"/>
  <c r="C809" i="12766"/>
  <c r="G836" i="12766"/>
  <c r="C808" i="12766"/>
  <c r="C780" i="12766" s="1"/>
  <c r="G863" i="12766"/>
  <c r="G807" i="12766" s="1"/>
  <c r="G779" i="12766" s="1"/>
  <c r="G806" i="12766"/>
  <c r="G778" i="12766" s="1"/>
  <c r="G805" i="12766"/>
  <c r="G777" i="12766" s="1"/>
  <c r="I860" i="12766"/>
  <c r="K860" i="12766" s="1"/>
  <c r="C799" i="12766"/>
  <c r="C771" i="12766" s="1"/>
  <c r="H754" i="12766"/>
  <c r="H752" i="12766"/>
  <c r="E747" i="12766"/>
  <c r="I718" i="12766"/>
  <c r="K718" i="12766" s="1"/>
  <c r="I717" i="12766"/>
  <c r="K717" i="12766" s="1"/>
  <c r="I710" i="12766"/>
  <c r="K710" i="12766" s="1"/>
  <c r="I709" i="12766"/>
  <c r="K709" i="12766" s="1"/>
  <c r="G705" i="12766"/>
  <c r="G603" i="12766" s="1"/>
  <c r="G704" i="12766"/>
  <c r="C597" i="12766"/>
  <c r="C589" i="12766"/>
  <c r="H586" i="12766"/>
  <c r="G637" i="12766"/>
  <c r="G586" i="12766" s="1"/>
  <c r="C689" i="12766"/>
  <c r="G569" i="12766"/>
  <c r="G531" i="12766"/>
  <c r="C497" i="12766"/>
  <c r="I530" i="12766"/>
  <c r="K530" i="12766" s="1"/>
  <c r="H564" i="12766"/>
  <c r="G496" i="12766"/>
  <c r="M495" i="12766"/>
  <c r="C495" i="12766"/>
  <c r="I562" i="12766"/>
  <c r="K562" i="12766" s="1"/>
  <c r="H562" i="12766"/>
  <c r="M494" i="12766"/>
  <c r="O488" i="12766"/>
  <c r="G522" i="12766"/>
  <c r="C488" i="12766"/>
  <c r="G485" i="12766"/>
  <c r="E470" i="12766"/>
  <c r="E469" i="12766"/>
  <c r="E464" i="12766"/>
  <c r="G464" i="12766" s="1"/>
  <c r="E462" i="12766"/>
  <c r="G462" i="12766" s="1"/>
  <c r="E460" i="12766"/>
  <c r="G460" i="12766" s="1"/>
  <c r="E458" i="12766"/>
  <c r="G458" i="12766" s="1"/>
  <c r="H175" i="12766"/>
  <c r="K230" i="12766"/>
  <c r="H342" i="12766"/>
  <c r="C227" i="12766"/>
  <c r="C199" i="12766" s="1"/>
  <c r="C170" i="12766" s="1"/>
  <c r="H308" i="12766"/>
  <c r="D213" i="12766"/>
  <c r="C185" i="12766"/>
  <c r="C155" i="12766" s="1"/>
  <c r="C270" i="12766"/>
  <c r="K56" i="12766"/>
  <c r="G56" i="12766"/>
  <c r="K55" i="12766"/>
  <c r="G72" i="12766"/>
  <c r="G38" i="12766"/>
  <c r="G71" i="12766"/>
  <c r="D50" i="12766"/>
  <c r="H50" i="12766" s="1"/>
  <c r="H16" i="12766" s="1"/>
  <c r="G50" i="12766"/>
  <c r="O97" i="12761"/>
  <c r="H102" i="12766"/>
  <c r="H104" i="12766" s="1"/>
  <c r="D693" i="12787"/>
  <c r="D695" i="12787"/>
  <c r="D697" i="12787"/>
  <c r="D595" i="12787" s="1"/>
  <c r="D721" i="12787"/>
  <c r="D724" i="12787"/>
  <c r="D715" i="12787"/>
  <c r="D716" i="12787"/>
  <c r="H716" i="12787" s="1"/>
  <c r="H993" i="12787"/>
  <c r="H995" i="12787" s="1"/>
  <c r="G562" i="12787"/>
  <c r="H562" i="12787"/>
  <c r="O488" i="12787"/>
  <c r="I500" i="12787"/>
  <c r="H549" i="12787"/>
  <c r="G549" i="12787"/>
  <c r="K552" i="12787"/>
  <c r="I565" i="12787"/>
  <c r="K565" i="12787" s="1"/>
  <c r="D1001" i="12787"/>
  <c r="H1001" i="12787" s="1"/>
  <c r="K966" i="12787"/>
  <c r="K964" i="12787"/>
  <c r="K958" i="12787"/>
  <c r="K956" i="12787"/>
  <c r="K954" i="12787"/>
  <c r="G904" i="12787"/>
  <c r="O880" i="12787"/>
  <c r="G895" i="12787"/>
  <c r="G839" i="12787"/>
  <c r="C811" i="12787"/>
  <c r="C783" i="12787" s="1"/>
  <c r="K893" i="12787"/>
  <c r="D892" i="12787"/>
  <c r="H892" i="12787" s="1"/>
  <c r="C809" i="12787"/>
  <c r="C781" i="12787" s="1"/>
  <c r="K891" i="12787"/>
  <c r="I836" i="12787"/>
  <c r="K836" i="12787" s="1"/>
  <c r="G891" i="12787"/>
  <c r="I833" i="12787"/>
  <c r="K833" i="12787" s="1"/>
  <c r="K855" i="12787"/>
  <c r="K799" i="12787" s="1"/>
  <c r="K771" i="12787" s="1"/>
  <c r="U770" i="12787" s="1"/>
  <c r="W770" i="12787" s="1"/>
  <c r="K854" i="12787"/>
  <c r="I752" i="12787"/>
  <c r="I621" i="12787"/>
  <c r="I599" i="12787"/>
  <c r="I618" i="12787" s="1"/>
  <c r="G647" i="12787"/>
  <c r="G646" i="12787"/>
  <c r="O593" i="12787"/>
  <c r="G688" i="12787"/>
  <c r="M586" i="12787"/>
  <c r="I704" i="12787"/>
  <c r="K704" i="12787" s="1"/>
  <c r="K602" i="12787" s="1"/>
  <c r="U584" i="12787" s="1"/>
  <c r="W584" i="12787" s="1"/>
  <c r="C595" i="12787"/>
  <c r="G644" i="12787"/>
  <c r="I642" i="12787"/>
  <c r="I661" i="12787" s="1"/>
  <c r="K661" i="12787" s="1"/>
  <c r="K635" i="12787"/>
  <c r="K584" i="12787" s="1"/>
  <c r="K539" i="12787"/>
  <c r="E563" i="12787"/>
  <c r="G563" i="12787" s="1"/>
  <c r="I525" i="12787"/>
  <c r="I536" i="12787" s="1"/>
  <c r="K536" i="12787" s="1"/>
  <c r="I559" i="12787"/>
  <c r="I502" i="12787"/>
  <c r="M482" i="12787"/>
  <c r="H516" i="12787"/>
  <c r="H482" i="12787" s="1"/>
  <c r="G516" i="12787"/>
  <c r="E530" i="12787"/>
  <c r="H515" i="12787"/>
  <c r="E529" i="12787"/>
  <c r="K518" i="12787"/>
  <c r="G548" i="12787"/>
  <c r="H548" i="12787"/>
  <c r="C505" i="12787"/>
  <c r="C501" i="12787"/>
  <c r="K553" i="12787"/>
  <c r="K550" i="12787"/>
  <c r="G553" i="12787"/>
  <c r="G518" i="12787"/>
  <c r="K548" i="12787"/>
  <c r="D378" i="12787"/>
  <c r="I431" i="12787"/>
  <c r="K431" i="12787" s="1"/>
  <c r="I343" i="12787"/>
  <c r="K343" i="12787" s="1"/>
  <c r="E343" i="12787"/>
  <c r="I398" i="12787"/>
  <c r="K398" i="12787" s="1"/>
  <c r="I310" i="12787"/>
  <c r="K310" i="12787" s="1"/>
  <c r="E339" i="12787"/>
  <c r="D426" i="12787"/>
  <c r="G221" i="12787"/>
  <c r="C185" i="12787"/>
  <c r="C155" i="12787" s="1"/>
  <c r="K243" i="12787"/>
  <c r="D418" i="12787"/>
  <c r="H418" i="12787" s="1"/>
  <c r="C187" i="12787"/>
  <c r="C158" i="12787" s="1"/>
  <c r="O87" i="12787"/>
  <c r="I126" i="12787"/>
  <c r="K126" i="12787" s="1"/>
  <c r="Q85" i="12787"/>
  <c r="I124" i="12787"/>
  <c r="H97" i="12787"/>
  <c r="K109" i="12787"/>
  <c r="G109" i="12787"/>
  <c r="C25" i="12787"/>
  <c r="D73" i="12787"/>
  <c r="H73" i="12787" s="1"/>
  <c r="D55" i="12787"/>
  <c r="H55" i="12787" s="1"/>
  <c r="H35" i="12787"/>
  <c r="G55" i="12787"/>
  <c r="G52" i="12787"/>
  <c r="G51" i="12787"/>
  <c r="G40" i="12787"/>
  <c r="H907" i="12766"/>
  <c r="M907" i="12766"/>
  <c r="I750" i="12766"/>
  <c r="I755" i="12766"/>
  <c r="O81" i="12761"/>
  <c r="G977" i="12766"/>
  <c r="P985" i="12766"/>
  <c r="C929" i="12766"/>
  <c r="G917" i="12766"/>
  <c r="G920" i="12766" s="1"/>
  <c r="G922" i="12766" s="1"/>
  <c r="I806" i="12766"/>
  <c r="I805" i="12766"/>
  <c r="G838" i="12766"/>
  <c r="G810" i="12766" s="1"/>
  <c r="G782" i="12766" s="1"/>
  <c r="C810" i="12766"/>
  <c r="C782" i="12766" s="1"/>
  <c r="G865" i="12766"/>
  <c r="H889" i="12766"/>
  <c r="I861" i="12766"/>
  <c r="K861" i="12766" s="1"/>
  <c r="H887" i="12766"/>
  <c r="G853" i="12766"/>
  <c r="G797" i="12766" s="1"/>
  <c r="G769" i="12766" s="1"/>
  <c r="S769" i="12766"/>
  <c r="C795" i="12766"/>
  <c r="C767" i="12766" s="1"/>
  <c r="K795" i="12766"/>
  <c r="K767" i="12766" s="1"/>
  <c r="K794" i="12766"/>
  <c r="K766" i="12766" s="1"/>
  <c r="H794" i="12766"/>
  <c r="H766" i="12766" s="1"/>
  <c r="E749" i="12766"/>
  <c r="E746" i="12766"/>
  <c r="G743" i="12766"/>
  <c r="G740" i="12766"/>
  <c r="H736" i="12766"/>
  <c r="H623" i="12766"/>
  <c r="G622" i="12766"/>
  <c r="G723" i="12766"/>
  <c r="G621" i="12766" s="1"/>
  <c r="H718" i="12766"/>
  <c r="H616" i="12766" s="1"/>
  <c r="I666" i="12766"/>
  <c r="K666" i="12766" s="1"/>
  <c r="H717" i="12766"/>
  <c r="I665" i="12766"/>
  <c r="G613" i="12766"/>
  <c r="H711" i="12766"/>
  <c r="G609" i="12766"/>
  <c r="H710" i="12766"/>
  <c r="G608" i="12766"/>
  <c r="I658" i="12766"/>
  <c r="K658" i="12766" s="1"/>
  <c r="H709" i="12766"/>
  <c r="G607" i="12766"/>
  <c r="H707" i="12766"/>
  <c r="G605" i="12766"/>
  <c r="C600" i="12766"/>
  <c r="G650" i="12766"/>
  <c r="C599" i="12766"/>
  <c r="G648" i="12766"/>
  <c r="G597" i="12766" s="1"/>
  <c r="G635" i="12766"/>
  <c r="G584" i="12766" s="1"/>
  <c r="S585" i="12766"/>
  <c r="H582" i="12766"/>
  <c r="G633" i="12766"/>
  <c r="G582" i="12766" s="1"/>
  <c r="C638" i="12766"/>
  <c r="K504" i="12766"/>
  <c r="C570" i="12766"/>
  <c r="G570" i="12766" s="1"/>
  <c r="G536" i="12766"/>
  <c r="G565" i="12766"/>
  <c r="H563" i="12766"/>
  <c r="H495" i="12766" s="1"/>
  <c r="G490" i="12766"/>
  <c r="I522" i="12766"/>
  <c r="C517" i="12766"/>
  <c r="C480" i="12766"/>
  <c r="G286" i="12766"/>
  <c r="H338" i="12766"/>
  <c r="G368" i="12766"/>
  <c r="G280" i="12766"/>
  <c r="G195" i="12766"/>
  <c r="H337" i="12766"/>
  <c r="D217" i="12766"/>
  <c r="H217" i="12766" s="1"/>
  <c r="G331" i="12766"/>
  <c r="G273" i="12766" s="1"/>
  <c r="G244" i="12766"/>
  <c r="G188" i="12766" s="1"/>
  <c r="D216" i="12766"/>
  <c r="G272" i="12766"/>
  <c r="G241" i="12766"/>
  <c r="G185" i="12766" s="1"/>
  <c r="C304" i="12766"/>
  <c r="C317" i="12766" s="1"/>
  <c r="C246" i="12766"/>
  <c r="C190" i="12766" s="1"/>
  <c r="G296" i="12766"/>
  <c r="G267" i="12766" s="1"/>
  <c r="C242" i="12766"/>
  <c r="D240" i="12766" s="1"/>
  <c r="C214" i="12766"/>
  <c r="C434" i="12766"/>
  <c r="D427" i="12766" s="1"/>
  <c r="G363" i="12766"/>
  <c r="C115" i="12766"/>
  <c r="C89" i="12766" s="1"/>
  <c r="C91" i="12766" s="1"/>
  <c r="G111" i="12766"/>
  <c r="I101" i="12766"/>
  <c r="K101" i="12766" s="1"/>
  <c r="K102" i="12766" s="1"/>
  <c r="I114" i="12766"/>
  <c r="K114" i="12766" s="1"/>
  <c r="K115" i="12766" s="1"/>
  <c r="K117" i="12766" s="1"/>
  <c r="I127" i="12766"/>
  <c r="K127" i="12766" s="1"/>
  <c r="D69" i="12766"/>
  <c r="H69" i="12766" s="1"/>
  <c r="G69" i="12766"/>
  <c r="D51" i="12766"/>
  <c r="C17" i="12766"/>
  <c r="D39" i="12766"/>
  <c r="H39" i="12766" s="1"/>
  <c r="H22" i="12766" s="1"/>
  <c r="C22" i="12766"/>
  <c r="D829" i="12787"/>
  <c r="D843" i="12787" s="1"/>
  <c r="D827" i="12787"/>
  <c r="H827" i="12787" s="1"/>
  <c r="D834" i="12787"/>
  <c r="W53" i="12764"/>
  <c r="M776" i="12766"/>
  <c r="G798" i="12766"/>
  <c r="G770" i="12766" s="1"/>
  <c r="G596" i="12766"/>
  <c r="G594" i="12766"/>
  <c r="C594" i="12766"/>
  <c r="G481" i="12766"/>
  <c r="G480" i="12766"/>
  <c r="C83" i="12766"/>
  <c r="G96" i="12766"/>
  <c r="T85" i="12766"/>
  <c r="D91" i="12766"/>
  <c r="H86" i="12766"/>
  <c r="G84" i="12766"/>
  <c r="K71" i="12766"/>
  <c r="K37" i="12766"/>
  <c r="K67" i="12766"/>
  <c r="K33" i="12766"/>
  <c r="C16" i="12766"/>
  <c r="D1024" i="12787"/>
  <c r="H1024" i="12787" s="1"/>
  <c r="D1011" i="12787"/>
  <c r="H1011" i="12787" s="1"/>
  <c r="Q969" i="12787"/>
  <c r="K959" i="12787"/>
  <c r="K957" i="12787"/>
  <c r="K955" i="12787"/>
  <c r="K968" i="12787"/>
  <c r="E980" i="12787"/>
  <c r="G980" i="12787" s="1"/>
  <c r="G982" i="12787" s="1"/>
  <c r="G968" i="12787"/>
  <c r="G971" i="12787" s="1"/>
  <c r="C971" i="12787"/>
  <c r="D932" i="12787"/>
  <c r="K932" i="12787" s="1"/>
  <c r="K934" i="12787" s="1"/>
  <c r="G934" i="12787"/>
  <c r="K45" i="12775"/>
  <c r="P916" i="12787"/>
  <c r="P912" i="12787"/>
  <c r="P909" i="12787"/>
  <c r="P907" i="12787"/>
  <c r="O877" i="12787"/>
  <c r="E810" i="12787"/>
  <c r="E808" i="12787"/>
  <c r="E840" i="12787"/>
  <c r="G840" i="12787" s="1"/>
  <c r="H894" i="12787"/>
  <c r="I863" i="12787"/>
  <c r="K863" i="12787" s="1"/>
  <c r="I835" i="12787"/>
  <c r="K835" i="12787" s="1"/>
  <c r="D890" i="12787"/>
  <c r="H890" i="12787" s="1"/>
  <c r="K858" i="12787"/>
  <c r="D885" i="12787"/>
  <c r="H885" i="12787" s="1"/>
  <c r="K829" i="12787"/>
  <c r="D882" i="12787"/>
  <c r="H882" i="12787" s="1"/>
  <c r="E823" i="12787"/>
  <c r="H823" i="12787" s="1"/>
  <c r="K822" i="12787"/>
  <c r="C794" i="12787"/>
  <c r="C766" i="12787" s="1"/>
  <c r="C768" i="12787" s="1"/>
  <c r="I757" i="12787"/>
  <c r="K757" i="12787" s="1"/>
  <c r="I751" i="12787"/>
  <c r="G749" i="12787"/>
  <c r="D738" i="12787"/>
  <c r="M738" i="12787" s="1"/>
  <c r="M736" i="12787"/>
  <c r="M735" i="12787"/>
  <c r="E724" i="12787"/>
  <c r="M616" i="12787"/>
  <c r="I615" i="12787"/>
  <c r="M615" i="12787" s="1"/>
  <c r="G654" i="12787"/>
  <c r="O602" i="12787"/>
  <c r="M596" i="12787"/>
  <c r="C589" i="12787"/>
  <c r="G723" i="12787"/>
  <c r="G621" i="12787" s="1"/>
  <c r="H684" i="12787"/>
  <c r="G633" i="12787"/>
  <c r="G582" i="12787" s="1"/>
  <c r="G538" i="12787"/>
  <c r="K533" i="12787"/>
  <c r="C499" i="12787"/>
  <c r="G498" i="12787"/>
  <c r="G531" i="12787"/>
  <c r="G497" i="12787" s="1"/>
  <c r="K529" i="12787"/>
  <c r="K495" i="12787" s="1"/>
  <c r="K521" i="12787"/>
  <c r="G555" i="12787"/>
  <c r="K558" i="12787"/>
  <c r="G559" i="12787"/>
  <c r="G558" i="12787"/>
  <c r="C482" i="12787"/>
  <c r="K519" i="12787"/>
  <c r="K549" i="12787"/>
  <c r="K515" i="12787"/>
  <c r="K230" i="12787"/>
  <c r="H426" i="12787"/>
  <c r="D947" i="12787"/>
  <c r="N45" i="12775"/>
  <c r="L45" i="12775"/>
  <c r="J45" i="12775"/>
  <c r="H45" i="12775"/>
  <c r="F45" i="12775"/>
  <c r="D838" i="12787"/>
  <c r="D836" i="12787"/>
  <c r="H836" i="12787" s="1"/>
  <c r="G836" i="12787"/>
  <c r="K530" i="12787"/>
  <c r="K496" i="12787" s="1"/>
  <c r="D174" i="12787"/>
  <c r="G342" i="12787"/>
  <c r="G284" i="12787" s="1"/>
  <c r="H342" i="12787"/>
  <c r="G341" i="12787"/>
  <c r="G283" i="12787" s="1"/>
  <c r="H341" i="12787"/>
  <c r="M84" i="12787"/>
  <c r="G296" i="12787"/>
  <c r="G267" i="12787" s="1"/>
  <c r="G230" i="12787"/>
  <c r="K229" i="12787"/>
  <c r="K224" i="12787"/>
  <c r="K196" i="12787" s="1"/>
  <c r="G194" i="12787"/>
  <c r="K247" i="12787"/>
  <c r="G247" i="12787"/>
  <c r="D422" i="12787"/>
  <c r="H422" i="12787" s="1"/>
  <c r="G332" i="12787"/>
  <c r="G274" i="12787" s="1"/>
  <c r="G330" i="12787"/>
  <c r="G215" i="12787"/>
  <c r="K360" i="12787"/>
  <c r="K215" i="12787"/>
  <c r="G243" i="12787"/>
  <c r="K390" i="12787"/>
  <c r="K361" i="12787" s="1"/>
  <c r="E420" i="12787"/>
  <c r="C304" i="12787"/>
  <c r="C275" i="12787" s="1"/>
  <c r="G302" i="12787"/>
  <c r="C405" i="12787"/>
  <c r="G212" i="12787"/>
  <c r="K239" i="12787"/>
  <c r="I140" i="12787"/>
  <c r="K140" i="12787" s="1"/>
  <c r="I114" i="12787"/>
  <c r="K114" i="12787" s="1"/>
  <c r="D98" i="12787"/>
  <c r="D102" i="12787" s="1"/>
  <c r="H110" i="12787"/>
  <c r="H135" i="12787"/>
  <c r="C21" i="12787"/>
  <c r="G74" i="12787"/>
  <c r="G57" i="12787"/>
  <c r="G56" i="12787"/>
  <c r="G37" i="12787"/>
  <c r="F106" i="12811"/>
  <c r="E104" i="12811"/>
  <c r="E106" i="12811" s="1"/>
  <c r="E122" i="12811" s="1"/>
  <c r="F44" i="12811"/>
  <c r="E41" i="12811"/>
  <c r="E44" i="12811" s="1"/>
  <c r="F75" i="12811"/>
  <c r="E75" i="12811"/>
  <c r="E46" i="12811"/>
  <c r="E47" i="12811" s="1"/>
  <c r="F47" i="12811"/>
  <c r="F78" i="12811"/>
  <c r="E77" i="12811"/>
  <c r="E78" i="12811" s="1"/>
  <c r="I67" i="12763"/>
  <c r="M989" i="12787"/>
  <c r="I867" i="12787"/>
  <c r="K867" i="12787" s="1"/>
  <c r="E573" i="12787"/>
  <c r="G573" i="12787" s="1"/>
  <c r="E572" i="12787"/>
  <c r="G572" i="12787" s="1"/>
  <c r="N101" i="12764"/>
  <c r="R101" i="12764" s="1"/>
  <c r="T101" i="12764" s="1"/>
  <c r="N97" i="12764"/>
  <c r="R97" i="12764" s="1"/>
  <c r="T97" i="12764" s="1"/>
  <c r="C79" i="12764"/>
  <c r="T38" i="12764"/>
  <c r="C93" i="12763"/>
  <c r="I894" i="12787"/>
  <c r="K894" i="12787" s="1"/>
  <c r="I839" i="12787"/>
  <c r="K839" i="12787" s="1"/>
  <c r="I725" i="12787"/>
  <c r="K725" i="12787" s="1"/>
  <c r="K623" i="12787" s="1"/>
  <c r="M504" i="12787"/>
  <c r="I375" i="12787"/>
  <c r="E287" i="12787"/>
  <c r="I201" i="12787"/>
  <c r="I345" i="12787"/>
  <c r="K345" i="12787" s="1"/>
  <c r="C114" i="12764"/>
  <c r="S11" i="12764"/>
  <c r="F17" i="12812" s="1"/>
  <c r="R11" i="12764"/>
  <c r="T11" i="12764" s="1"/>
  <c r="G47" i="12763"/>
  <c r="K47" i="12763" s="1"/>
  <c r="I104" i="12811" s="1"/>
  <c r="E345" i="12787"/>
  <c r="G345" i="12787" s="1"/>
  <c r="I895" i="12787"/>
  <c r="K895" i="12787" s="1"/>
  <c r="E433" i="12787"/>
  <c r="E258" i="12787"/>
  <c r="G258" i="12787" s="1"/>
  <c r="E726" i="12787"/>
  <c r="G726" i="12787" s="1"/>
  <c r="G624" i="12787" s="1"/>
  <c r="I374" i="12787"/>
  <c r="I202" i="12787"/>
  <c r="E201" i="12787"/>
  <c r="I433" i="12787"/>
  <c r="K433" i="12787" s="1"/>
  <c r="I258" i="12787"/>
  <c r="K258" i="12787" s="1"/>
  <c r="I344" i="12787"/>
  <c r="K344" i="12787" s="1"/>
  <c r="E344" i="12787"/>
  <c r="M582" i="12787"/>
  <c r="H43" i="12783"/>
  <c r="P43" i="12774"/>
  <c r="P43" i="12775"/>
  <c r="P22" i="12775"/>
  <c r="P22" i="12774"/>
  <c r="P12" i="12774"/>
  <c r="P12" i="12775"/>
  <c r="AA85" i="12764"/>
  <c r="I76" i="12763"/>
  <c r="C95" i="12764"/>
  <c r="L77" i="12764"/>
  <c r="L60" i="12764"/>
  <c r="F155" i="12812" s="1"/>
  <c r="I60" i="12763"/>
  <c r="P81" i="12764"/>
  <c r="P85" i="12764" s="1"/>
  <c r="S48" i="12764"/>
  <c r="R36" i="12764"/>
  <c r="T36" i="12764" s="1"/>
  <c r="R35" i="12764"/>
  <c r="T35" i="12764" s="1"/>
  <c r="L81" i="12764"/>
  <c r="L85" i="12764" s="1"/>
  <c r="L110" i="12764"/>
  <c r="L95" i="12764"/>
  <c r="I94" i="12763"/>
  <c r="S47" i="12764"/>
  <c r="R20" i="12764"/>
  <c r="T20" i="12764" s="1"/>
  <c r="AC83" i="12764"/>
  <c r="U100" i="12764"/>
  <c r="Y100" i="12764" s="1"/>
  <c r="C100" i="12764"/>
  <c r="N100" i="12764"/>
  <c r="AB83" i="12764"/>
  <c r="C81" i="12764"/>
  <c r="R12" i="12764"/>
  <c r="T12" i="12764" s="1"/>
  <c r="C92" i="12763"/>
  <c r="G10" i="12763"/>
  <c r="K10" i="12763" s="1"/>
  <c r="I16" i="12811" s="1"/>
  <c r="G28" i="12763"/>
  <c r="G53" i="12763"/>
  <c r="G9" i="12763"/>
  <c r="G11" i="12763"/>
  <c r="K11" i="12763" s="1"/>
  <c r="I17" i="12811" s="1"/>
  <c r="K17" i="12811" s="1"/>
  <c r="L102" i="12764"/>
  <c r="P110" i="12764"/>
  <c r="I108" i="12763"/>
  <c r="N108" i="12763"/>
  <c r="I100" i="12763"/>
  <c r="N94" i="12763"/>
  <c r="N67" i="12763"/>
  <c r="N84" i="12763"/>
  <c r="N72" i="12763"/>
  <c r="N100" i="12763"/>
  <c r="C75" i="12764"/>
  <c r="G24" i="12763"/>
  <c r="K24" i="12763" s="1"/>
  <c r="C75" i="12763"/>
  <c r="G39" i="12763"/>
  <c r="J39" i="12763" s="1"/>
  <c r="L39" i="12763" s="1"/>
  <c r="C347" i="12787"/>
  <c r="C110" i="12764"/>
  <c r="R21" i="12764"/>
  <c r="T21" i="12764" s="1"/>
  <c r="N80" i="12764"/>
  <c r="J93" i="12763"/>
  <c r="L93" i="12763" s="1"/>
  <c r="G42" i="12763"/>
  <c r="J42" i="12763" s="1"/>
  <c r="L42" i="12763" s="1"/>
  <c r="G21" i="12763"/>
  <c r="H974" i="12766"/>
  <c r="M974" i="12766"/>
  <c r="D950" i="12766"/>
  <c r="H950" i="12766" s="1"/>
  <c r="D951" i="12766"/>
  <c r="H951" i="12766" s="1"/>
  <c r="D917" i="12766"/>
  <c r="D918" i="12766"/>
  <c r="C922" i="12766"/>
  <c r="H905" i="12766"/>
  <c r="M905" i="12766"/>
  <c r="D738" i="12766"/>
  <c r="D743" i="12766"/>
  <c r="H743" i="12766" s="1"/>
  <c r="D755" i="12766"/>
  <c r="K755" i="12766" s="1"/>
  <c r="D757" i="12766"/>
  <c r="H981" i="12766"/>
  <c r="M981" i="12766"/>
  <c r="K904" i="12766"/>
  <c r="M904" i="12766"/>
  <c r="H904" i="12766"/>
  <c r="D857" i="12766"/>
  <c r="D871" i="12766" s="1"/>
  <c r="D858" i="12766"/>
  <c r="H858" i="12766" s="1"/>
  <c r="D862" i="12766"/>
  <c r="K862" i="12766" s="1"/>
  <c r="D865" i="12766"/>
  <c r="K865" i="12766" s="1"/>
  <c r="C871" i="12766"/>
  <c r="D853" i="12766"/>
  <c r="D854" i="12766"/>
  <c r="D855" i="12766"/>
  <c r="H855" i="12766" s="1"/>
  <c r="D864" i="12766"/>
  <c r="H864" i="12766" s="1"/>
  <c r="D868" i="12766"/>
  <c r="I751" i="12766"/>
  <c r="I757" i="12766"/>
  <c r="C492" i="12766"/>
  <c r="G560" i="12766"/>
  <c r="G492" i="12766" s="1"/>
  <c r="C487" i="12766"/>
  <c r="G555" i="12766"/>
  <c r="G487" i="12766" s="1"/>
  <c r="D522" i="12766"/>
  <c r="H522" i="12766" s="1"/>
  <c r="D521" i="12766"/>
  <c r="H521" i="12766" s="1"/>
  <c r="D526" i="12766"/>
  <c r="H526" i="12766" s="1"/>
  <c r="D531" i="12766"/>
  <c r="K515" i="12766"/>
  <c r="K481" i="12766" s="1"/>
  <c r="I529" i="12766"/>
  <c r="K529" i="12766" s="1"/>
  <c r="C359" i="12766"/>
  <c r="D388" i="12766"/>
  <c r="D359" i="12766" s="1"/>
  <c r="C202" i="12766"/>
  <c r="C173" i="12766" s="1"/>
  <c r="G230" i="12766"/>
  <c r="G202" i="12766" s="1"/>
  <c r="C191" i="12766"/>
  <c r="C162" i="12766" s="1"/>
  <c r="G247" i="12766"/>
  <c r="G191" i="12766" s="1"/>
  <c r="O69" i="12761"/>
  <c r="O54" i="12761"/>
  <c r="L67" i="12764"/>
  <c r="K93" i="12763"/>
  <c r="I72" i="12763"/>
  <c r="M996" i="12766"/>
  <c r="K992" i="12766"/>
  <c r="K989" i="12766"/>
  <c r="K985" i="12766"/>
  <c r="K982" i="12766"/>
  <c r="M977" i="12766"/>
  <c r="P989" i="12766"/>
  <c r="P982" i="12766"/>
  <c r="G972" i="12766"/>
  <c r="G905" i="12766"/>
  <c r="H888" i="12766"/>
  <c r="H833" i="12766"/>
  <c r="C802" i="12766"/>
  <c r="C774" i="12766" s="1"/>
  <c r="G884" i="12766"/>
  <c r="C801" i="12766"/>
  <c r="C773" i="12766" s="1"/>
  <c r="G850" i="12766"/>
  <c r="G794" i="12766" s="1"/>
  <c r="G766" i="12766" s="1"/>
  <c r="D796" i="12766"/>
  <c r="M754" i="12766"/>
  <c r="G742" i="12766"/>
  <c r="M736" i="12766"/>
  <c r="D627" i="12766"/>
  <c r="G701" i="12766"/>
  <c r="H596" i="12766"/>
  <c r="C591" i="12766"/>
  <c r="C588" i="12766"/>
  <c r="U585" i="12766"/>
  <c r="H504" i="12766"/>
  <c r="D483" i="12766"/>
  <c r="K482" i="12766"/>
  <c r="K480" i="12766"/>
  <c r="H472" i="12766"/>
  <c r="H474" i="12766" s="1"/>
  <c r="K175" i="12766"/>
  <c r="G175" i="12766"/>
  <c r="C175" i="12766"/>
  <c r="G284" i="12766"/>
  <c r="G282" i="12766"/>
  <c r="K396" i="12766"/>
  <c r="G366" i="12766"/>
  <c r="G193" i="12766"/>
  <c r="G88" i="12766"/>
  <c r="G343" i="12766"/>
  <c r="G285" i="12766" s="1"/>
  <c r="H343" i="12766"/>
  <c r="C360" i="12766"/>
  <c r="G418" i="12766"/>
  <c r="G360" i="12766" s="1"/>
  <c r="D215" i="12766"/>
  <c r="G215" i="12766"/>
  <c r="G187" i="12766" s="1"/>
  <c r="O33" i="12761"/>
  <c r="AA95" i="12764"/>
  <c r="AB88" i="12764"/>
  <c r="M964" i="12766"/>
  <c r="H964" i="12766"/>
  <c r="H966" i="12766" s="1"/>
  <c r="K811" i="12766"/>
  <c r="K783" i="12766" s="1"/>
  <c r="G616" i="12766"/>
  <c r="G615" i="12766"/>
  <c r="G614" i="12766"/>
  <c r="G612" i="12766"/>
  <c r="G610" i="12766"/>
  <c r="K585" i="12766"/>
  <c r="K584" i="12766"/>
  <c r="C585" i="12766"/>
  <c r="G500" i="12766"/>
  <c r="G498" i="12766"/>
  <c r="G495" i="12766"/>
  <c r="W480" i="12766"/>
  <c r="D175" i="12766"/>
  <c r="G373" i="12766"/>
  <c r="G283" i="12766"/>
  <c r="G281" i="12766"/>
  <c r="G279" i="12766"/>
  <c r="P904" i="12787"/>
  <c r="H904" i="12787"/>
  <c r="G743" i="12787"/>
  <c r="E752" i="12787"/>
  <c r="G752" i="12787" s="1"/>
  <c r="G740" i="12787"/>
  <c r="E750" i="12787"/>
  <c r="G750" i="12787" s="1"/>
  <c r="E756" i="12787"/>
  <c r="G738" i="12787"/>
  <c r="K645" i="12787"/>
  <c r="I664" i="12787"/>
  <c r="K664" i="12787" s="1"/>
  <c r="I453" i="12787"/>
  <c r="K453" i="12787" s="1"/>
  <c r="I464" i="12766"/>
  <c r="C115" i="12787"/>
  <c r="G111" i="12787"/>
  <c r="C496" i="12766"/>
  <c r="T486" i="12766"/>
  <c r="H482" i="12766"/>
  <c r="C482" i="12766"/>
  <c r="C481" i="12766"/>
  <c r="D290" i="12766"/>
  <c r="D378" i="12766"/>
  <c r="D174" i="12766"/>
  <c r="G287" i="12766"/>
  <c r="K432" i="12766"/>
  <c r="H374" i="12766"/>
  <c r="G374" i="12766"/>
  <c r="G372" i="12766"/>
  <c r="G371" i="12766"/>
  <c r="G370" i="12766"/>
  <c r="G197" i="12766"/>
  <c r="I222" i="12766"/>
  <c r="K222" i="12766" s="1"/>
  <c r="D425" i="12766"/>
  <c r="G367" i="12766"/>
  <c r="G222" i="12766"/>
  <c r="G194" i="12766" s="1"/>
  <c r="G278" i="12766"/>
  <c r="C363" i="12766"/>
  <c r="G303" i="12766"/>
  <c r="G274" i="12766" s="1"/>
  <c r="C362" i="12766"/>
  <c r="C189" i="12766"/>
  <c r="C187" i="12766"/>
  <c r="G269" i="12766"/>
  <c r="H268" i="12766"/>
  <c r="G240" i="12766"/>
  <c r="G184" i="12766" s="1"/>
  <c r="C184" i="12766"/>
  <c r="K325" i="12766"/>
  <c r="G386" i="12766"/>
  <c r="G357" i="12766" s="1"/>
  <c r="G151" i="12766" s="1"/>
  <c r="G355" i="12766"/>
  <c r="G149" i="12766" s="1"/>
  <c r="H140" i="12766"/>
  <c r="G87" i="12766"/>
  <c r="H85" i="12766"/>
  <c r="H84" i="12766"/>
  <c r="N81" i="12766"/>
  <c r="K73" i="12766"/>
  <c r="G73" i="12766"/>
  <c r="G39" i="12766"/>
  <c r="K54" i="12766"/>
  <c r="G54" i="12766"/>
  <c r="C20" i="12766"/>
  <c r="G52" i="12766"/>
  <c r="K68" i="12766"/>
  <c r="K34" i="12766"/>
  <c r="G68" i="12766"/>
  <c r="G34" i="12766"/>
  <c r="K74" i="12766"/>
  <c r="K40" i="12766"/>
  <c r="S39" i="12764"/>
  <c r="F81" i="12812" s="1"/>
  <c r="R37" i="12764"/>
  <c r="T37" i="12764" s="1"/>
  <c r="K48" i="12763"/>
  <c r="I105" i="12811" s="1"/>
  <c r="G86" i="12787"/>
  <c r="G742" i="12787"/>
  <c r="E751" i="12787"/>
  <c r="E534" i="12787"/>
  <c r="G534" i="12787" s="1"/>
  <c r="G522" i="12787"/>
  <c r="D267" i="12787"/>
  <c r="D270" i="12787" s="1"/>
  <c r="D149" i="12787"/>
  <c r="M149" i="12787" s="1"/>
  <c r="H384" i="12787"/>
  <c r="D355" i="12787"/>
  <c r="K269" i="12766"/>
  <c r="C405" i="12766"/>
  <c r="D390" i="12766" s="1"/>
  <c r="G86" i="12766"/>
  <c r="H83" i="12766"/>
  <c r="T84" i="12766" s="1"/>
  <c r="G128" i="12766"/>
  <c r="G130" i="12766" s="1"/>
  <c r="K57" i="12766"/>
  <c r="G36" i="12763"/>
  <c r="K364" i="12787"/>
  <c r="G364" i="12787"/>
  <c r="G87" i="12787"/>
  <c r="C98" i="12763"/>
  <c r="D1026" i="12787"/>
  <c r="H1026" i="12787" s="1"/>
  <c r="D1021" i="12787"/>
  <c r="H1021" i="12787" s="1"/>
  <c r="D1014" i="12787"/>
  <c r="H1014" i="12787" s="1"/>
  <c r="D1009" i="12787"/>
  <c r="H1009" i="12787" s="1"/>
  <c r="D1002" i="12787"/>
  <c r="H1002" i="12787" s="1"/>
  <c r="H979" i="12787"/>
  <c r="D911" i="12787"/>
  <c r="D898" i="12787"/>
  <c r="C852" i="12787"/>
  <c r="O802" i="12787"/>
  <c r="O799" i="12787"/>
  <c r="O797" i="12787"/>
  <c r="O794" i="12787"/>
  <c r="D895" i="12787"/>
  <c r="H895" i="12787" s="1"/>
  <c r="D893" i="12787"/>
  <c r="K892" i="12787"/>
  <c r="I865" i="12787"/>
  <c r="K865" i="12787" s="1"/>
  <c r="D837" i="12787"/>
  <c r="D891" i="12787"/>
  <c r="H891" i="12787" s="1"/>
  <c r="D835" i="12787"/>
  <c r="H889" i="12787"/>
  <c r="M777" i="12787"/>
  <c r="I832" i="12787"/>
  <c r="K832" i="12787" s="1"/>
  <c r="K804" i="12787" s="1"/>
  <c r="K776" i="12787" s="1"/>
  <c r="E858" i="12787"/>
  <c r="E830" i="12787"/>
  <c r="D830" i="12787"/>
  <c r="E829" i="12787"/>
  <c r="H829" i="12787" s="1"/>
  <c r="E855" i="12787"/>
  <c r="E853" i="12787"/>
  <c r="E862" i="12787" s="1"/>
  <c r="G862" i="12787" s="1"/>
  <c r="E825" i="12787"/>
  <c r="D757" i="12787"/>
  <c r="M757" i="12787" s="1"/>
  <c r="D756" i="12787"/>
  <c r="M756" i="12787" s="1"/>
  <c r="D755" i="12787"/>
  <c r="H754" i="12787"/>
  <c r="H749" i="12787"/>
  <c r="D743" i="12787"/>
  <c r="M743" i="12787" s="1"/>
  <c r="D742" i="12787"/>
  <c r="D740" i="12787"/>
  <c r="M740" i="12787" s="1"/>
  <c r="M739" i="12787"/>
  <c r="P36" i="12775"/>
  <c r="M623" i="12787"/>
  <c r="I672" i="12787"/>
  <c r="K672" i="12787" s="1"/>
  <c r="D720" i="12787"/>
  <c r="E718" i="12787"/>
  <c r="I716" i="12787"/>
  <c r="K716" i="12787" s="1"/>
  <c r="D714" i="12787"/>
  <c r="H714" i="12787" s="1"/>
  <c r="E712" i="12787"/>
  <c r="G712" i="12787" s="1"/>
  <c r="D712" i="12787"/>
  <c r="D610" i="12787" s="1"/>
  <c r="H711" i="12787"/>
  <c r="I709" i="12787"/>
  <c r="K709" i="12787" s="1"/>
  <c r="K607" i="12787" s="1"/>
  <c r="H707" i="12787"/>
  <c r="E656" i="12787"/>
  <c r="G656" i="12787" s="1"/>
  <c r="G605" i="12787" s="1"/>
  <c r="K654" i="12787"/>
  <c r="D705" i="12787"/>
  <c r="H705" i="12787" s="1"/>
  <c r="E701" i="12787"/>
  <c r="G701" i="12787" s="1"/>
  <c r="G599" i="12787" s="1"/>
  <c r="O597" i="12787"/>
  <c r="O594" i="12787"/>
  <c r="C588" i="12787"/>
  <c r="G687" i="12787"/>
  <c r="G635" i="12787"/>
  <c r="C584" i="12787"/>
  <c r="K538" i="12787"/>
  <c r="C504" i="12787"/>
  <c r="E537" i="12787"/>
  <c r="G537" i="12787" s="1"/>
  <c r="E570" i="12787"/>
  <c r="C570" i="12787"/>
  <c r="D570" i="12787" s="1"/>
  <c r="I569" i="12787"/>
  <c r="K569" i="12787" s="1"/>
  <c r="K501" i="12787" s="1"/>
  <c r="E569" i="12787"/>
  <c r="G569" i="12787" s="1"/>
  <c r="I567" i="12787"/>
  <c r="K567" i="12787" s="1"/>
  <c r="E533" i="12787"/>
  <c r="G533" i="12787" s="1"/>
  <c r="I566" i="12787"/>
  <c r="K566" i="12787" s="1"/>
  <c r="K498" i="12787" s="1"/>
  <c r="E564" i="12787"/>
  <c r="E528" i="12787"/>
  <c r="K560" i="12787"/>
  <c r="G560" i="12787"/>
  <c r="G521" i="12787"/>
  <c r="G515" i="12787"/>
  <c r="C481" i="12787"/>
  <c r="C485" i="12787"/>
  <c r="G552" i="12787"/>
  <c r="K514" i="12787"/>
  <c r="E471" i="12787"/>
  <c r="G471" i="12787" s="1"/>
  <c r="G472" i="12787" s="1"/>
  <c r="G474" i="12787" s="1"/>
  <c r="I470" i="12766"/>
  <c r="E469" i="12787"/>
  <c r="I463" i="12766"/>
  <c r="I462" i="12766"/>
  <c r="I461" i="12766"/>
  <c r="I460" i="12766"/>
  <c r="I459" i="12766"/>
  <c r="I458" i="12766"/>
  <c r="I457" i="12766"/>
  <c r="H472" i="12787"/>
  <c r="H474" i="12787" s="1"/>
  <c r="E375" i="12787"/>
  <c r="I287" i="12787"/>
  <c r="I286" i="12787"/>
  <c r="D205" i="12787"/>
  <c r="E202" i="12787"/>
  <c r="D175" i="12787"/>
  <c r="I404" i="12787"/>
  <c r="K404" i="12787" s="1"/>
  <c r="I316" i="12787"/>
  <c r="K316" i="12787" s="1"/>
  <c r="E404" i="12787"/>
  <c r="E316" i="12787"/>
  <c r="G316" i="12787" s="1"/>
  <c r="I315" i="12787"/>
  <c r="K315" i="12787" s="1"/>
  <c r="H427" i="12787"/>
  <c r="H338" i="12787"/>
  <c r="H308" i="12787"/>
  <c r="H307" i="12787"/>
  <c r="C274" i="12787"/>
  <c r="C154" i="12787"/>
  <c r="G211" i="12787"/>
  <c r="C267" i="12787"/>
  <c r="H421" i="12787"/>
  <c r="C246" i="12787"/>
  <c r="G246" i="12787" s="1"/>
  <c r="K357" i="12787"/>
  <c r="K151" i="12787" s="1"/>
  <c r="I326" i="12787"/>
  <c r="I212" i="12787"/>
  <c r="C242" i="12787"/>
  <c r="G356" i="12787"/>
  <c r="G150" i="12787" s="1"/>
  <c r="E140" i="12787"/>
  <c r="E127" i="12787"/>
  <c r="E114" i="12787"/>
  <c r="G114" i="12787" s="1"/>
  <c r="E101" i="12787"/>
  <c r="G101" i="12787" s="1"/>
  <c r="H139" i="12787"/>
  <c r="H87" i="12787" s="1"/>
  <c r="M87" i="12787"/>
  <c r="H138" i="12787"/>
  <c r="O85" i="12787"/>
  <c r="I111" i="12787"/>
  <c r="K111" i="12787" s="1"/>
  <c r="K96" i="12787"/>
  <c r="H109" i="12787"/>
  <c r="G96" i="12787"/>
  <c r="C83" i="12787"/>
  <c r="C24" i="12787"/>
  <c r="K40" i="12787"/>
  <c r="C23" i="12787"/>
  <c r="D37" i="12787"/>
  <c r="H37" i="12787" s="1"/>
  <c r="D52" i="12787"/>
  <c r="H52" i="12787" s="1"/>
  <c r="C18" i="12787"/>
  <c r="G72" i="12787"/>
  <c r="G54" i="12787"/>
  <c r="G38" i="12787"/>
  <c r="G34" i="12787"/>
  <c r="C16" i="12787"/>
  <c r="G993" i="12787"/>
  <c r="C812" i="12787"/>
  <c r="C784" i="12787" s="1"/>
  <c r="M776" i="12787"/>
  <c r="H596" i="12787"/>
  <c r="C594" i="12787"/>
  <c r="H586" i="12787"/>
  <c r="H584" i="12787"/>
  <c r="M496" i="12787"/>
  <c r="M495" i="12787"/>
  <c r="M494" i="12787"/>
  <c r="K492" i="12787"/>
  <c r="H175" i="12787"/>
  <c r="H272" i="12787"/>
  <c r="M88" i="12787"/>
  <c r="K86" i="12787"/>
  <c r="H68" i="12787"/>
  <c r="P36" i="12774"/>
  <c r="P32" i="12774"/>
  <c r="I754" i="12787"/>
  <c r="I840" i="12787"/>
  <c r="K840" i="12787" s="1"/>
  <c r="I868" i="12787"/>
  <c r="K868" i="12787" s="1"/>
  <c r="N47" i="12783"/>
  <c r="AA102" i="12764"/>
  <c r="E315" i="12787"/>
  <c r="G315" i="12787" s="1"/>
  <c r="S35" i="12764"/>
  <c r="S21" i="12764"/>
  <c r="M990" i="12787"/>
  <c r="M993" i="12787" s="1"/>
  <c r="P999" i="12766"/>
  <c r="K999" i="12766"/>
  <c r="H999" i="12766"/>
  <c r="M999" i="12766"/>
  <c r="M995" i="12766"/>
  <c r="H995" i="12766"/>
  <c r="P995" i="12766"/>
  <c r="K995" i="12766"/>
  <c r="M976" i="12766"/>
  <c r="H976" i="12766"/>
  <c r="P976" i="12766"/>
  <c r="K976" i="12766"/>
  <c r="H972" i="12766"/>
  <c r="M972" i="12766"/>
  <c r="K972" i="12766"/>
  <c r="P972" i="12766"/>
  <c r="M906" i="12766"/>
  <c r="H906" i="12766"/>
  <c r="P906" i="12766"/>
  <c r="K906" i="12766"/>
  <c r="D884" i="12766"/>
  <c r="K884" i="12766" s="1"/>
  <c r="D890" i="12766"/>
  <c r="D893" i="12766"/>
  <c r="D881" i="12766"/>
  <c r="D882" i="12766"/>
  <c r="D885" i="12766"/>
  <c r="D891" i="12766"/>
  <c r="D895" i="12766"/>
  <c r="C898" i="12766"/>
  <c r="D827" i="12766"/>
  <c r="K827" i="12766" s="1"/>
  <c r="D830" i="12766"/>
  <c r="K830" i="12766" s="1"/>
  <c r="D834" i="12766"/>
  <c r="K834" i="12766" s="1"/>
  <c r="D836" i="12766"/>
  <c r="D840" i="12766"/>
  <c r="K840" i="12766" s="1"/>
  <c r="C813" i="12766"/>
  <c r="C843" i="12766"/>
  <c r="D825" i="12766"/>
  <c r="D826" i="12766"/>
  <c r="D829" i="12766"/>
  <c r="D835" i="12766"/>
  <c r="K835" i="12766" s="1"/>
  <c r="D838" i="12766"/>
  <c r="K838" i="12766" s="1"/>
  <c r="G795" i="12766"/>
  <c r="G767" i="12766" s="1"/>
  <c r="M753" i="12766"/>
  <c r="K753" i="12766"/>
  <c r="I752" i="12766"/>
  <c r="M739" i="12766"/>
  <c r="K739" i="12766"/>
  <c r="I749" i="12766"/>
  <c r="M735" i="12766"/>
  <c r="K735" i="12766"/>
  <c r="I746" i="12766"/>
  <c r="D654" i="12766"/>
  <c r="K654" i="12766" s="1"/>
  <c r="D663" i="12766"/>
  <c r="D664" i="12766"/>
  <c r="D665" i="12766"/>
  <c r="D669" i="12766"/>
  <c r="D670" i="12766"/>
  <c r="C625" i="12766"/>
  <c r="C627" i="12766" s="1"/>
  <c r="C678" i="12766"/>
  <c r="D653" i="12766"/>
  <c r="K653" i="12766" s="1"/>
  <c r="D650" i="12766"/>
  <c r="H650" i="12766" s="1"/>
  <c r="D651" i="12766"/>
  <c r="H651" i="12766" s="1"/>
  <c r="D672" i="12766"/>
  <c r="H672" i="12766" s="1"/>
  <c r="D673" i="12766"/>
  <c r="H673" i="12766" s="1"/>
  <c r="D675" i="12766"/>
  <c r="G494" i="12766"/>
  <c r="D552" i="12766"/>
  <c r="K552" i="12766" s="1"/>
  <c r="D555" i="12766"/>
  <c r="D560" i="12766"/>
  <c r="D565" i="12766"/>
  <c r="D553" i="12766"/>
  <c r="D556" i="12766"/>
  <c r="H556" i="12766" s="1"/>
  <c r="D558" i="12766"/>
  <c r="K558" i="12766" s="1"/>
  <c r="D559" i="12766"/>
  <c r="D566" i="12766"/>
  <c r="H566" i="12766" s="1"/>
  <c r="D567" i="12766"/>
  <c r="H567" i="12766" s="1"/>
  <c r="D568" i="12766"/>
  <c r="H568" i="12766" s="1"/>
  <c r="D569" i="12766"/>
  <c r="D571" i="12766"/>
  <c r="C506" i="12766"/>
  <c r="C508" i="12766" s="1"/>
  <c r="C576" i="12766"/>
  <c r="H219" i="12766"/>
  <c r="D331" i="12766"/>
  <c r="C348" i="12766"/>
  <c r="D239" i="12766"/>
  <c r="D430" i="12766"/>
  <c r="H430" i="12766" s="1"/>
  <c r="D389" i="12766"/>
  <c r="D398" i="12766"/>
  <c r="H398" i="12766" s="1"/>
  <c r="D404" i="12766"/>
  <c r="D393" i="12766"/>
  <c r="K393" i="12766" s="1"/>
  <c r="H413" i="12766"/>
  <c r="D355" i="12766"/>
  <c r="K83" i="12766"/>
  <c r="U84" i="12766" s="1"/>
  <c r="W84" i="12766" s="1"/>
  <c r="H40" i="12766"/>
  <c r="H23" i="12766" s="1"/>
  <c r="D23" i="12766"/>
  <c r="M23" i="12766" s="1"/>
  <c r="H35" i="12766"/>
  <c r="K35" i="12766"/>
  <c r="G369" i="12766"/>
  <c r="K128" i="12766"/>
  <c r="K130" i="12766" s="1"/>
  <c r="K87" i="12766"/>
  <c r="K85" i="12766"/>
  <c r="H20" i="12766"/>
  <c r="M980" i="12766"/>
  <c r="H980" i="12766"/>
  <c r="P980" i="12766"/>
  <c r="K980" i="12766"/>
  <c r="M973" i="12766"/>
  <c r="H973" i="12766"/>
  <c r="P973" i="12766"/>
  <c r="K973" i="12766"/>
  <c r="H917" i="12766"/>
  <c r="M917" i="12766"/>
  <c r="K917" i="12766"/>
  <c r="H837" i="12766"/>
  <c r="M767" i="12766"/>
  <c r="D768" i="12766"/>
  <c r="H857" i="12766"/>
  <c r="D701" i="12766"/>
  <c r="H701" i="12766" s="1"/>
  <c r="D702" i="12766"/>
  <c r="H702" i="12766" s="1"/>
  <c r="D723" i="12766"/>
  <c r="H723" i="12766" s="1"/>
  <c r="D724" i="12766"/>
  <c r="H724" i="12766" s="1"/>
  <c r="D726" i="12766"/>
  <c r="C729" i="12766"/>
  <c r="D693" i="12766"/>
  <c r="K693" i="12766" s="1"/>
  <c r="K591" i="12766" s="1"/>
  <c r="D695" i="12766"/>
  <c r="D696" i="12766"/>
  <c r="D697" i="12766"/>
  <c r="K697" i="12766" s="1"/>
  <c r="K595" i="12766" s="1"/>
  <c r="D704" i="12766"/>
  <c r="H704" i="12766" s="1"/>
  <c r="D705" i="12766"/>
  <c r="H705" i="12766" s="1"/>
  <c r="D712" i="12766"/>
  <c r="K712" i="12766" s="1"/>
  <c r="D714" i="12766"/>
  <c r="H714" i="12766" s="1"/>
  <c r="D715" i="12766"/>
  <c r="H715" i="12766" s="1"/>
  <c r="D716" i="12766"/>
  <c r="H716" i="12766" s="1"/>
  <c r="D720" i="12766"/>
  <c r="D721" i="12766"/>
  <c r="K582" i="12766"/>
  <c r="C117" i="12766"/>
  <c r="H72" i="12766"/>
  <c r="K72" i="12766"/>
  <c r="D21" i="12766"/>
  <c r="H38" i="12766"/>
  <c r="K38" i="12766"/>
  <c r="R97" i="12761"/>
  <c r="G804" i="12766"/>
  <c r="G776" i="12766" s="1"/>
  <c r="K623" i="12766"/>
  <c r="G600" i="12766"/>
  <c r="K586" i="12766"/>
  <c r="K556" i="12766"/>
  <c r="K272" i="12766"/>
  <c r="K268" i="12766"/>
  <c r="K86" i="12766"/>
  <c r="K84" i="12766"/>
  <c r="AA110" i="12764"/>
  <c r="P102" i="12764"/>
  <c r="P95" i="12764"/>
  <c r="AC88" i="12764"/>
  <c r="P77" i="12764"/>
  <c r="P71" i="12764"/>
  <c r="L71" i="12764"/>
  <c r="P67" i="12764"/>
  <c r="P60" i="12764"/>
  <c r="C71" i="12763"/>
  <c r="M997" i="12766"/>
  <c r="K996" i="12766"/>
  <c r="G995" i="12766"/>
  <c r="K993" i="12766"/>
  <c r="M992" i="12766"/>
  <c r="K990" i="12766"/>
  <c r="M989" i="12766"/>
  <c r="K988" i="12766"/>
  <c r="M985" i="12766"/>
  <c r="K984" i="12766"/>
  <c r="M982" i="12766"/>
  <c r="K981" i="12766"/>
  <c r="G980" i="12766"/>
  <c r="K977" i="12766"/>
  <c r="G976" i="12766"/>
  <c r="K974" i="12766"/>
  <c r="G973" i="12766"/>
  <c r="P996" i="12766"/>
  <c r="P993" i="12766"/>
  <c r="P990" i="12766"/>
  <c r="P988" i="12766"/>
  <c r="P984" i="12766"/>
  <c r="P981" i="12766"/>
  <c r="P977" i="12766"/>
  <c r="P974" i="12766"/>
  <c r="C955" i="12766"/>
  <c r="G939" i="12766"/>
  <c r="C942" i="12766"/>
  <c r="K907" i="12766"/>
  <c r="G906" i="12766"/>
  <c r="K905" i="12766"/>
  <c r="P907" i="12766"/>
  <c r="P905" i="12766"/>
  <c r="P904" i="12766"/>
  <c r="I810" i="12766"/>
  <c r="I807" i="12766"/>
  <c r="I804" i="12766"/>
  <c r="G868" i="12766"/>
  <c r="G812" i="12766" s="1"/>
  <c r="G784" i="12766" s="1"/>
  <c r="D866" i="12766"/>
  <c r="K866" i="12766" s="1"/>
  <c r="C892" i="12766"/>
  <c r="C781" i="12766" s="1"/>
  <c r="I864" i="12766"/>
  <c r="I836" i="12766"/>
  <c r="D863" i="12766"/>
  <c r="K863" i="12766" s="1"/>
  <c r="I889" i="12766"/>
  <c r="K889" i="12766" s="1"/>
  <c r="I887" i="12766"/>
  <c r="K887" i="12766" s="1"/>
  <c r="H860" i="12766"/>
  <c r="G858" i="12766"/>
  <c r="G802" i="12766" s="1"/>
  <c r="G774" i="12766" s="1"/>
  <c r="G829" i="12766"/>
  <c r="G855" i="12766"/>
  <c r="G799" i="12766" s="1"/>
  <c r="G771" i="12766" s="1"/>
  <c r="C852" i="12766"/>
  <c r="C760" i="12766"/>
  <c r="E757" i="12766"/>
  <c r="G757" i="12766" s="1"/>
  <c r="I756" i="12766"/>
  <c r="D756" i="12766"/>
  <c r="E755" i="12766"/>
  <c r="E751" i="12766"/>
  <c r="E750" i="12766"/>
  <c r="I748" i="12766"/>
  <c r="I747" i="12766"/>
  <c r="D742" i="12766"/>
  <c r="D740" i="12766"/>
  <c r="I724" i="12766"/>
  <c r="I673" i="12766"/>
  <c r="I723" i="12766"/>
  <c r="I672" i="12766"/>
  <c r="E721" i="12766"/>
  <c r="E670" i="12766"/>
  <c r="E720" i="12766"/>
  <c r="E669" i="12766"/>
  <c r="I711" i="12766"/>
  <c r="K711" i="12766" s="1"/>
  <c r="I660" i="12766"/>
  <c r="K660" i="12766" s="1"/>
  <c r="H660" i="12766"/>
  <c r="H609" i="12766" s="1"/>
  <c r="H659" i="12766"/>
  <c r="H608" i="12766" s="1"/>
  <c r="H658" i="12766"/>
  <c r="I707" i="12766"/>
  <c r="K707" i="12766" s="1"/>
  <c r="I656" i="12766"/>
  <c r="K656" i="12766" s="1"/>
  <c r="H656" i="12766"/>
  <c r="G653" i="12766"/>
  <c r="C602" i="12766"/>
  <c r="E600" i="12766"/>
  <c r="E619" i="12766" s="1"/>
  <c r="I701" i="12766"/>
  <c r="I650" i="12766"/>
  <c r="O593" i="12766"/>
  <c r="G693" i="12766"/>
  <c r="G636" i="12766"/>
  <c r="G585" i="12766" s="1"/>
  <c r="D539" i="12766"/>
  <c r="C573" i="12766"/>
  <c r="C572" i="12766"/>
  <c r="D537" i="12766"/>
  <c r="D536" i="12766"/>
  <c r="D535" i="12766"/>
  <c r="D534" i="12766"/>
  <c r="D533" i="12766"/>
  <c r="D532" i="12766"/>
  <c r="I565" i="12766"/>
  <c r="H530" i="12766"/>
  <c r="H528" i="12766"/>
  <c r="G559" i="12766"/>
  <c r="G491" i="12766" s="1"/>
  <c r="D525" i="12766"/>
  <c r="D524" i="12766"/>
  <c r="K524" i="12766" s="1"/>
  <c r="G550" i="12766"/>
  <c r="G482" i="12766" s="1"/>
  <c r="W481" i="12766"/>
  <c r="C551" i="12766"/>
  <c r="D299" i="12766"/>
  <c r="G229" i="12766"/>
  <c r="G201" i="12766" s="1"/>
  <c r="D229" i="12766"/>
  <c r="I431" i="12766"/>
  <c r="I402" i="12766"/>
  <c r="I256" i="12766"/>
  <c r="I228" i="12766"/>
  <c r="K228" i="12766" s="1"/>
  <c r="I342" i="12766"/>
  <c r="K342" i="12766" s="1"/>
  <c r="D226" i="12766"/>
  <c r="I311" i="12766"/>
  <c r="D225" i="12766"/>
  <c r="I339" i="12766"/>
  <c r="K339" i="12766" s="1"/>
  <c r="I310" i="12766"/>
  <c r="D224" i="12766"/>
  <c r="K224" i="12766" s="1"/>
  <c r="D223" i="12766"/>
  <c r="H396" i="12766"/>
  <c r="I307" i="12766"/>
  <c r="K307" i="12766" s="1"/>
  <c r="I336" i="12766"/>
  <c r="K336" i="12766" s="1"/>
  <c r="D424" i="12766"/>
  <c r="H424" i="12766" s="1"/>
  <c r="H307" i="12766"/>
  <c r="H278" i="12766" s="1"/>
  <c r="G333" i="12766"/>
  <c r="G420" i="12766"/>
  <c r="G362" i="12766" s="1"/>
  <c r="G245" i="12766"/>
  <c r="G189" i="12766" s="1"/>
  <c r="G390" i="12766"/>
  <c r="C361" i="12766"/>
  <c r="C159" i="12766" s="1"/>
  <c r="C271" i="12766"/>
  <c r="G211" i="12766"/>
  <c r="H384" i="12766"/>
  <c r="O88" i="12766"/>
  <c r="U85" i="12766"/>
  <c r="W85" i="12766" s="1"/>
  <c r="M85" i="12766"/>
  <c r="C85" i="12766"/>
  <c r="I140" i="12766"/>
  <c r="K140" i="12766" s="1"/>
  <c r="K141" i="12766" s="1"/>
  <c r="K143" i="12766" s="1"/>
  <c r="G74" i="12766"/>
  <c r="G40" i="12766"/>
  <c r="C23" i="12766"/>
  <c r="C21" i="12766"/>
  <c r="C18" i="12766"/>
  <c r="D20" i="12766"/>
  <c r="H931" i="12787"/>
  <c r="M931" i="12787"/>
  <c r="G923" i="12787"/>
  <c r="AE41" i="12764"/>
  <c r="G1030" i="12787"/>
  <c r="G943" i="12787"/>
  <c r="G827" i="12787"/>
  <c r="K825" i="12787"/>
  <c r="I834" i="12787"/>
  <c r="K834" i="12787" s="1"/>
  <c r="D826" i="12787"/>
  <c r="C798" i="12787"/>
  <c r="C770" i="12787" s="1"/>
  <c r="H880" i="12787"/>
  <c r="G880" i="12787"/>
  <c r="G823" i="12787"/>
  <c r="E833" i="12787"/>
  <c r="M766" i="12787"/>
  <c r="U767" i="12787"/>
  <c r="G739" i="12787"/>
  <c r="H739" i="12787"/>
  <c r="G674" i="12787"/>
  <c r="H674" i="12787"/>
  <c r="D653" i="12787"/>
  <c r="D650" i="12787"/>
  <c r="H650" i="12787" s="1"/>
  <c r="D651" i="12787"/>
  <c r="H651" i="12787" s="1"/>
  <c r="D672" i="12787"/>
  <c r="H672" i="12787" s="1"/>
  <c r="D673" i="12787"/>
  <c r="H673" i="12787" s="1"/>
  <c r="D675" i="12787"/>
  <c r="H675" i="12787" s="1"/>
  <c r="D654" i="12787"/>
  <c r="D663" i="12787"/>
  <c r="D664" i="12787"/>
  <c r="D665" i="12787"/>
  <c r="D669" i="12787"/>
  <c r="D670" i="12787"/>
  <c r="C625" i="12787"/>
  <c r="I663" i="12787"/>
  <c r="K663" i="12787" s="1"/>
  <c r="K644" i="12787"/>
  <c r="I651" i="12787"/>
  <c r="K633" i="12787"/>
  <c r="I656" i="12787"/>
  <c r="K656" i="12787" s="1"/>
  <c r="G536" i="12787"/>
  <c r="D553" i="12787"/>
  <c r="H553" i="12787" s="1"/>
  <c r="D559" i="12787"/>
  <c r="H559" i="12787" s="1"/>
  <c r="D556" i="12787"/>
  <c r="H556" i="12787" s="1"/>
  <c r="D560" i="12787"/>
  <c r="H560" i="12787" s="1"/>
  <c r="D566" i="12787"/>
  <c r="H566" i="12787" s="1"/>
  <c r="D568" i="12787"/>
  <c r="D569" i="12787"/>
  <c r="D571" i="12787"/>
  <c r="H571" i="12787" s="1"/>
  <c r="D552" i="12787"/>
  <c r="H552" i="12787" s="1"/>
  <c r="D558" i="12787"/>
  <c r="D555" i="12787"/>
  <c r="H555" i="12787" s="1"/>
  <c r="D565" i="12787"/>
  <c r="H565" i="12787" s="1"/>
  <c r="D567" i="12787"/>
  <c r="H567" i="12787" s="1"/>
  <c r="D573" i="12787"/>
  <c r="G276" i="12787"/>
  <c r="K272" i="12787"/>
  <c r="D1028" i="12787"/>
  <c r="H1028" i="12787" s="1"/>
  <c r="D1025" i="12787"/>
  <c r="H1025" i="12787" s="1"/>
  <c r="D1022" i="12787"/>
  <c r="H1022" i="12787" s="1"/>
  <c r="D1019" i="12787"/>
  <c r="H1019" i="12787" s="1"/>
  <c r="D1017" i="12787"/>
  <c r="H1017" i="12787" s="1"/>
  <c r="D1013" i="12787"/>
  <c r="H1013" i="12787" s="1"/>
  <c r="D1010" i="12787"/>
  <c r="H1010" i="12787" s="1"/>
  <c r="D1006" i="12787"/>
  <c r="H1006" i="12787" s="1"/>
  <c r="D1003" i="12787"/>
  <c r="H1003" i="12787" s="1"/>
  <c r="C993" i="12787"/>
  <c r="K992" i="12787"/>
  <c r="K993" i="12787" s="1"/>
  <c r="I980" i="12787"/>
  <c r="K980" i="12787" s="1"/>
  <c r="K943" i="12787" s="1"/>
  <c r="D913" i="12787"/>
  <c r="D905" i="12787"/>
  <c r="D840" i="12787"/>
  <c r="K830" i="12787"/>
  <c r="K802" i="12787" s="1"/>
  <c r="K774" i="12787" s="1"/>
  <c r="H881" i="12787"/>
  <c r="D825" i="12787"/>
  <c r="D768" i="12787"/>
  <c r="T767" i="12787"/>
  <c r="K850" i="12787"/>
  <c r="M753" i="12787"/>
  <c r="M748" i="12787"/>
  <c r="G600" i="12787"/>
  <c r="H597" i="12787"/>
  <c r="H585" i="12787"/>
  <c r="K497" i="12787"/>
  <c r="K494" i="12787"/>
  <c r="G202" i="12787"/>
  <c r="G282" i="12787"/>
  <c r="G279" i="12787"/>
  <c r="G193" i="12787"/>
  <c r="K276" i="12787"/>
  <c r="K853" i="12787"/>
  <c r="I862" i="12787"/>
  <c r="K862" i="12787" s="1"/>
  <c r="C869" i="12787"/>
  <c r="C801" i="12787"/>
  <c r="C773" i="12787" s="1"/>
  <c r="G877" i="12787"/>
  <c r="E887" i="12787"/>
  <c r="G735" i="12787"/>
  <c r="E746" i="12787"/>
  <c r="H735" i="12787"/>
  <c r="I665" i="12787"/>
  <c r="K665" i="12787" s="1"/>
  <c r="K646" i="12787"/>
  <c r="K595" i="12787" s="1"/>
  <c r="K636" i="12787"/>
  <c r="I659" i="12787"/>
  <c r="K659" i="12787" s="1"/>
  <c r="G229" i="12787"/>
  <c r="K303" i="12787"/>
  <c r="I312" i="12787"/>
  <c r="K312" i="12787" s="1"/>
  <c r="G415" i="12787"/>
  <c r="H415" i="12787"/>
  <c r="I385" i="12787"/>
  <c r="I414" i="12787"/>
  <c r="O150" i="12787"/>
  <c r="E854" i="12787"/>
  <c r="E826" i="12787"/>
  <c r="E850" i="12787"/>
  <c r="E822" i="12787"/>
  <c r="E757" i="12787"/>
  <c r="G757" i="12787" s="1"/>
  <c r="E755" i="12787"/>
  <c r="I749" i="12787"/>
  <c r="E748" i="12787"/>
  <c r="I746" i="12787"/>
  <c r="I726" i="12787"/>
  <c r="K726" i="12787" s="1"/>
  <c r="K624" i="12787" s="1"/>
  <c r="D726" i="12787"/>
  <c r="E725" i="12787"/>
  <c r="I724" i="12787"/>
  <c r="K724" i="12787" s="1"/>
  <c r="I673" i="12787"/>
  <c r="K673" i="12787" s="1"/>
  <c r="D723" i="12787"/>
  <c r="H723" i="12787" s="1"/>
  <c r="E721" i="12787"/>
  <c r="E670" i="12787"/>
  <c r="H656" i="12787"/>
  <c r="G653" i="12787"/>
  <c r="C602" i="12787"/>
  <c r="D702" i="12787"/>
  <c r="H702" i="12787" s="1"/>
  <c r="D701" i="12787"/>
  <c r="G699" i="12787"/>
  <c r="M595" i="12787"/>
  <c r="G697" i="12787"/>
  <c r="G695" i="12787"/>
  <c r="O591" i="12787"/>
  <c r="G642" i="12787"/>
  <c r="G591" i="12787" s="1"/>
  <c r="C638" i="12787"/>
  <c r="C587" i="12787" s="1"/>
  <c r="O585" i="12787"/>
  <c r="G636" i="12787"/>
  <c r="D704" i="12787"/>
  <c r="H704" i="12787" s="1"/>
  <c r="I693" i="12787"/>
  <c r="D696" i="12787"/>
  <c r="I684" i="12787"/>
  <c r="H633" i="12787"/>
  <c r="I573" i="12787"/>
  <c r="K573" i="12787" s="1"/>
  <c r="I572" i="12787"/>
  <c r="K572" i="12787" s="1"/>
  <c r="H538" i="12787"/>
  <c r="I571" i="12787"/>
  <c r="K571" i="12787" s="1"/>
  <c r="I537" i="12787"/>
  <c r="K537" i="12787" s="1"/>
  <c r="G519" i="12787"/>
  <c r="I556" i="12787"/>
  <c r="I522" i="12787"/>
  <c r="G550" i="12787"/>
  <c r="H514" i="12787"/>
  <c r="I471" i="12766"/>
  <c r="I432" i="12787"/>
  <c r="K432" i="12787" s="1"/>
  <c r="I403" i="12787"/>
  <c r="K403" i="12787" s="1"/>
  <c r="I257" i="12787"/>
  <c r="K257" i="12787" s="1"/>
  <c r="E432" i="12787"/>
  <c r="E403" i="12787"/>
  <c r="E257" i="12787"/>
  <c r="C227" i="12787"/>
  <c r="H337" i="12787"/>
  <c r="H424" i="12787"/>
  <c r="H334" i="12787"/>
  <c r="C346" i="12787"/>
  <c r="G355" i="12787"/>
  <c r="G149" i="12787" s="1"/>
  <c r="I217" i="12787"/>
  <c r="I245" i="12787"/>
  <c r="I391" i="12787"/>
  <c r="I420" i="12787"/>
  <c r="D419" i="12787"/>
  <c r="H419" i="12787" s="1"/>
  <c r="D420" i="12787"/>
  <c r="K269" i="12787"/>
  <c r="H269" i="12787"/>
  <c r="I240" i="12787"/>
  <c r="H414" i="12787"/>
  <c r="H122" i="12787"/>
  <c r="H96" i="12787"/>
  <c r="I74" i="12787"/>
  <c r="K74" i="12787" s="1"/>
  <c r="I57" i="12787"/>
  <c r="K57" i="12787" s="1"/>
  <c r="D74" i="12787"/>
  <c r="H74" i="12787" s="1"/>
  <c r="D40" i="12787"/>
  <c r="D56" i="12787"/>
  <c r="H56" i="12787" s="1"/>
  <c r="C22" i="12787"/>
  <c r="D72" i="12787"/>
  <c r="H72" i="12787" s="1"/>
  <c r="D38" i="12787"/>
  <c r="D54" i="12787"/>
  <c r="H54" i="12787" s="1"/>
  <c r="C20" i="12787"/>
  <c r="D69" i="12787"/>
  <c r="H34" i="12787"/>
  <c r="D51" i="12787"/>
  <c r="H51" i="12787" s="1"/>
  <c r="C17" i="12787"/>
  <c r="H33" i="12787"/>
  <c r="B25" i="12783"/>
  <c r="B26" i="12783" s="1"/>
  <c r="W106" i="12764" l="1"/>
  <c r="Y53" i="12764"/>
  <c r="F126" i="12812"/>
  <c r="S126" i="12812" s="1"/>
  <c r="E84" i="12763"/>
  <c r="E114" i="12763" s="1"/>
  <c r="E116" i="12763" s="1"/>
  <c r="G82" i="12763"/>
  <c r="K82" i="12763" s="1"/>
  <c r="G83" i="12763"/>
  <c r="Q775" i="12843"/>
  <c r="Q762" i="12843"/>
  <c r="U771" i="12843"/>
  <c r="K217" i="12766"/>
  <c r="Q765" i="12843"/>
  <c r="U776" i="12843"/>
  <c r="U773" i="12843"/>
  <c r="U767" i="12843"/>
  <c r="K279" i="12766"/>
  <c r="U765" i="12843"/>
  <c r="Q776" i="12843"/>
  <c r="Q773" i="12843"/>
  <c r="Q767" i="12843"/>
  <c r="U770" i="12843"/>
  <c r="Q772" i="12843"/>
  <c r="Q766" i="12843"/>
  <c r="Q770" i="12843"/>
  <c r="U772" i="12843"/>
  <c r="U766" i="12843"/>
  <c r="K648" i="12843"/>
  <c r="K688" i="12843" s="1"/>
  <c r="M688" i="12843" s="1"/>
  <c r="U775" i="12843"/>
  <c r="U762" i="12843"/>
  <c r="Q771" i="12843"/>
  <c r="U623" i="12843"/>
  <c r="Q640" i="12843"/>
  <c r="Q641" i="12843"/>
  <c r="Q619" i="12843"/>
  <c r="U206" i="12843"/>
  <c r="Q769" i="12843"/>
  <c r="Q638" i="12843"/>
  <c r="Q648" i="12843"/>
  <c r="Q764" i="12843"/>
  <c r="U620" i="12843"/>
  <c r="U750" i="12843"/>
  <c r="U746" i="12843"/>
  <c r="U637" i="12843"/>
  <c r="U769" i="12843"/>
  <c r="U755" i="12843"/>
  <c r="U22" i="12843"/>
  <c r="M910" i="12843"/>
  <c r="U648" i="12843"/>
  <c r="Q639" i="12843"/>
  <c r="U748" i="12843"/>
  <c r="U764" i="12843"/>
  <c r="Q207" i="12843"/>
  <c r="Q739" i="12843"/>
  <c r="Q208" i="12843"/>
  <c r="Q740" i="12843"/>
  <c r="M759" i="12843"/>
  <c r="Q624" i="12843"/>
  <c r="Q737" i="12843"/>
  <c r="Q754" i="12843"/>
  <c r="M644" i="12843"/>
  <c r="Q621" i="12843"/>
  <c r="Q751" i="12843"/>
  <c r="M1177" i="12843"/>
  <c r="M1222" i="12843"/>
  <c r="Q782" i="12843"/>
  <c r="U741" i="12843"/>
  <c r="U752" i="12843"/>
  <c r="Q620" i="12843"/>
  <c r="Q750" i="12843"/>
  <c r="Q746" i="12843"/>
  <c r="Q637" i="12843"/>
  <c r="Q749" i="12843"/>
  <c r="Q755" i="12843"/>
  <c r="Q22" i="12843"/>
  <c r="M739" i="12843"/>
  <c r="U639" i="12843"/>
  <c r="Q748" i="12843"/>
  <c r="U640" i="12843"/>
  <c r="U641" i="12843"/>
  <c r="U619" i="12843"/>
  <c r="Q206" i="12843"/>
  <c r="U749" i="12843"/>
  <c r="U638" i="12843"/>
  <c r="Q623" i="12843"/>
  <c r="Q741" i="12843"/>
  <c r="Q752" i="12843"/>
  <c r="M782" i="12843"/>
  <c r="U207" i="12843"/>
  <c r="U739" i="12843"/>
  <c r="U208" i="12843"/>
  <c r="U740" i="12843"/>
  <c r="U624" i="12843"/>
  <c r="U737" i="12843"/>
  <c r="U754" i="12843"/>
  <c r="U621" i="12843"/>
  <c r="U751" i="12843"/>
  <c r="Q1177" i="12843"/>
  <c r="Q1222" i="12843"/>
  <c r="Q1251" i="12843"/>
  <c r="M1251" i="12843"/>
  <c r="Y8" i="12764"/>
  <c r="W8" i="12764"/>
  <c r="F151" i="12812"/>
  <c r="E117" i="12764"/>
  <c r="G597" i="12787"/>
  <c r="C436" i="12766"/>
  <c r="D429" i="12766"/>
  <c r="H429" i="12766" s="1"/>
  <c r="G191" i="12787"/>
  <c r="K202" i="12787"/>
  <c r="K281" i="12787"/>
  <c r="G370" i="12787"/>
  <c r="G168" i="12787" s="1"/>
  <c r="K942" i="12787"/>
  <c r="H428" i="12787"/>
  <c r="M89" i="12766"/>
  <c r="D420" i="12766"/>
  <c r="D426" i="12766"/>
  <c r="K426" i="12766" s="1"/>
  <c r="E669" i="12787"/>
  <c r="D419" i="12766"/>
  <c r="D422" i="12766"/>
  <c r="H422" i="12766" s="1"/>
  <c r="G584" i="12787"/>
  <c r="I226" i="12766"/>
  <c r="K226" i="12766" s="1"/>
  <c r="D619" i="12787"/>
  <c r="M619" i="12787" s="1"/>
  <c r="K413" i="12766"/>
  <c r="D570" i="12766"/>
  <c r="H570" i="12766" s="1"/>
  <c r="D485" i="12766"/>
  <c r="M485" i="12766" s="1"/>
  <c r="G184" i="12787"/>
  <c r="G610" i="12787"/>
  <c r="K282" i="12787"/>
  <c r="I702" i="12766"/>
  <c r="K702" i="12766" s="1"/>
  <c r="G488" i="12787"/>
  <c r="H748" i="12766"/>
  <c r="G154" i="12787"/>
  <c r="I667" i="12766"/>
  <c r="K667" i="12766" s="1"/>
  <c r="K616" i="12766" s="1"/>
  <c r="C317" i="12787"/>
  <c r="D304" i="12787" s="1"/>
  <c r="K855" i="12766"/>
  <c r="E568" i="12787"/>
  <c r="G568" i="12787" s="1"/>
  <c r="H851" i="12787"/>
  <c r="H795" i="12787" s="1"/>
  <c r="H767" i="12787" s="1"/>
  <c r="M743" i="12766"/>
  <c r="K20" i="12766"/>
  <c r="H661" i="12787"/>
  <c r="K197" i="12787"/>
  <c r="K807" i="12787"/>
  <c r="K779" i="12787" s="1"/>
  <c r="G183" i="12787"/>
  <c r="C768" i="12766"/>
  <c r="G497" i="12766"/>
  <c r="G18" i="12787"/>
  <c r="D311" i="12766"/>
  <c r="H311" i="12766" s="1"/>
  <c r="H282" i="12766" s="1"/>
  <c r="D305" i="12766"/>
  <c r="K305" i="12766" s="1"/>
  <c r="K276" i="12766" s="1"/>
  <c r="D316" i="12766"/>
  <c r="H316" i="12766" s="1"/>
  <c r="H287" i="12766" s="1"/>
  <c r="D310" i="12766"/>
  <c r="H310" i="12766" s="1"/>
  <c r="H281" i="12766" s="1"/>
  <c r="C158" i="12766"/>
  <c r="G272" i="12787"/>
  <c r="G867" i="12787"/>
  <c r="G811" i="12787" s="1"/>
  <c r="G783" i="12787" s="1"/>
  <c r="G166" i="12766"/>
  <c r="I660" i="12787"/>
  <c r="K660" i="12787" s="1"/>
  <c r="K609" i="12787" s="1"/>
  <c r="K798" i="12787"/>
  <c r="K770" i="12787" s="1"/>
  <c r="G613" i="12787"/>
  <c r="K518" i="12766"/>
  <c r="K484" i="12766" s="1"/>
  <c r="G595" i="12787"/>
  <c r="H569" i="12787"/>
  <c r="C796" i="12766"/>
  <c r="M747" i="12787"/>
  <c r="K369" i="12787"/>
  <c r="G269" i="12787"/>
  <c r="K496" i="12766"/>
  <c r="H366" i="12766"/>
  <c r="H752" i="12787"/>
  <c r="H494" i="12766"/>
  <c r="G602" i="12766"/>
  <c r="D227" i="12766"/>
  <c r="K227" i="12766" s="1"/>
  <c r="K499" i="12787"/>
  <c r="H710" i="12787"/>
  <c r="G20" i="12766"/>
  <c r="K757" i="12766"/>
  <c r="K218" i="12766"/>
  <c r="G505" i="12787"/>
  <c r="K801" i="12787"/>
  <c r="K773" i="12787" s="1"/>
  <c r="U771" i="12787" s="1"/>
  <c r="W771" i="12787" s="1"/>
  <c r="K608" i="12766"/>
  <c r="G594" i="12787"/>
  <c r="K333" i="12787"/>
  <c r="C319" i="12766"/>
  <c r="D303" i="12766"/>
  <c r="K303" i="12766" s="1"/>
  <c r="D313" i="12766"/>
  <c r="H313" i="12766" s="1"/>
  <c r="H284" i="12766" s="1"/>
  <c r="D309" i="12766"/>
  <c r="H309" i="12766" s="1"/>
  <c r="H280" i="12766" s="1"/>
  <c r="D391" i="12766"/>
  <c r="D401" i="12766"/>
  <c r="H401" i="12766" s="1"/>
  <c r="H372" i="12766" s="1"/>
  <c r="D397" i="12766"/>
  <c r="H397" i="12766" s="1"/>
  <c r="K664" i="12766"/>
  <c r="H909" i="12766"/>
  <c r="H911" i="12766" s="1"/>
  <c r="P909" i="12766" s="1"/>
  <c r="K115" i="12787"/>
  <c r="H396" i="12787"/>
  <c r="I667" i="12787"/>
  <c r="K667" i="12787" s="1"/>
  <c r="H88" i="12766"/>
  <c r="G165" i="12766"/>
  <c r="H865" i="12766"/>
  <c r="H572" i="12787"/>
  <c r="H504" i="12787" s="1"/>
  <c r="H563" i="12787"/>
  <c r="O967" i="12766"/>
  <c r="K805" i="12766"/>
  <c r="K777" i="12766" s="1"/>
  <c r="G503" i="12766"/>
  <c r="K280" i="12787"/>
  <c r="K166" i="12787" s="1"/>
  <c r="G336" i="12787"/>
  <c r="G278" i="12787" s="1"/>
  <c r="G164" i="12787" s="1"/>
  <c r="H336" i="12787"/>
  <c r="M755" i="12787"/>
  <c r="D312" i="12766"/>
  <c r="H312" i="12766" s="1"/>
  <c r="D809" i="12766"/>
  <c r="H697" i="12787"/>
  <c r="H595" i="12787" s="1"/>
  <c r="G83" i="12787"/>
  <c r="H425" i="12787"/>
  <c r="H367" i="12787" s="1"/>
  <c r="M610" i="12787"/>
  <c r="G273" i="12787"/>
  <c r="H430" i="12787"/>
  <c r="H279" i="12787"/>
  <c r="G593" i="12787"/>
  <c r="G801" i="12766"/>
  <c r="G773" i="12766" s="1"/>
  <c r="D315" i="12766"/>
  <c r="H315" i="12766" s="1"/>
  <c r="H286" i="12766" s="1"/>
  <c r="D302" i="12766"/>
  <c r="K302" i="12766" s="1"/>
  <c r="D304" i="12766"/>
  <c r="H304" i="12766" s="1"/>
  <c r="H275" i="12766" s="1"/>
  <c r="D386" i="12766"/>
  <c r="K386" i="12766" s="1"/>
  <c r="K357" i="12766" s="1"/>
  <c r="K151" i="12766" s="1"/>
  <c r="D400" i="12766"/>
  <c r="H400" i="12766" s="1"/>
  <c r="D392" i="12766"/>
  <c r="H392" i="12766" s="1"/>
  <c r="K155" i="12787"/>
  <c r="U151" i="12787" s="1"/>
  <c r="W151" i="12787" s="1"/>
  <c r="H395" i="12787"/>
  <c r="H366" i="12787" s="1"/>
  <c r="K724" i="12766"/>
  <c r="D314" i="12766"/>
  <c r="K314" i="12766" s="1"/>
  <c r="K285" i="12766" s="1"/>
  <c r="C288" i="12766"/>
  <c r="C290" i="12766" s="1"/>
  <c r="D402" i="12766"/>
  <c r="H402" i="12766" s="1"/>
  <c r="C407" i="12766"/>
  <c r="D399" i="12766"/>
  <c r="H399" i="12766" s="1"/>
  <c r="K743" i="12766"/>
  <c r="K521" i="12766"/>
  <c r="H278" i="12787"/>
  <c r="H953" i="12766"/>
  <c r="H955" i="12766" s="1"/>
  <c r="K607" i="12766"/>
  <c r="G596" i="12787"/>
  <c r="D391" i="12787"/>
  <c r="H391" i="12787" s="1"/>
  <c r="D404" i="12787"/>
  <c r="H404" i="12787" s="1"/>
  <c r="D392" i="12787"/>
  <c r="D363" i="12787" s="1"/>
  <c r="D399" i="12787"/>
  <c r="H399" i="12787" s="1"/>
  <c r="H370" i="12787" s="1"/>
  <c r="D393" i="12787"/>
  <c r="H393" i="12787" s="1"/>
  <c r="H364" i="12787" s="1"/>
  <c r="C376" i="12787"/>
  <c r="G667" i="12787"/>
  <c r="H667" i="12787"/>
  <c r="K526" i="12766"/>
  <c r="H693" i="12787"/>
  <c r="H591" i="12787" s="1"/>
  <c r="D591" i="12787"/>
  <c r="M591" i="12787" s="1"/>
  <c r="K804" i="12766"/>
  <c r="K776" i="12766" s="1"/>
  <c r="K644" i="12766"/>
  <c r="I651" i="12766"/>
  <c r="I670" i="12766" s="1"/>
  <c r="K670" i="12766" s="1"/>
  <c r="I663" i="12766"/>
  <c r="H569" i="12766"/>
  <c r="K569" i="12766"/>
  <c r="G173" i="12766"/>
  <c r="K738" i="12766"/>
  <c r="M738" i="12766"/>
  <c r="G83" i="12766"/>
  <c r="G102" i="12766"/>
  <c r="G104" i="12766" s="1"/>
  <c r="H51" i="12766"/>
  <c r="H17" i="12766" s="1"/>
  <c r="D17" i="12766"/>
  <c r="O17" i="12766" s="1"/>
  <c r="G747" i="12766"/>
  <c r="H747" i="12766"/>
  <c r="G660" i="12787"/>
  <c r="G609" i="12787" s="1"/>
  <c r="H660" i="12787"/>
  <c r="H609" i="12787" s="1"/>
  <c r="K296" i="12766"/>
  <c r="K267" i="12766" s="1"/>
  <c r="D267" i="12766"/>
  <c r="D270" i="12766" s="1"/>
  <c r="K687" i="12787"/>
  <c r="K585" i="12787" s="1"/>
  <c r="I710" i="12787"/>
  <c r="K710" i="12787" s="1"/>
  <c r="K608" i="12787" s="1"/>
  <c r="P45" i="12775"/>
  <c r="H296" i="12766"/>
  <c r="H267" i="12766" s="1"/>
  <c r="D397" i="12787"/>
  <c r="H397" i="12787" s="1"/>
  <c r="H368" i="12787" s="1"/>
  <c r="H701" i="12787"/>
  <c r="H599" i="12787" s="1"/>
  <c r="H605" i="12787"/>
  <c r="H573" i="12787"/>
  <c r="K663" i="12766"/>
  <c r="H570" i="12787"/>
  <c r="G168" i="12766"/>
  <c r="G23" i="12787"/>
  <c r="G942" i="12787"/>
  <c r="G945" i="12787" s="1"/>
  <c r="K808" i="12787"/>
  <c r="G16" i="12787"/>
  <c r="K603" i="12787"/>
  <c r="G808" i="12766"/>
  <c r="G780" i="12766" s="1"/>
  <c r="K183" i="12787"/>
  <c r="K153" i="12787" s="1"/>
  <c r="K809" i="12787"/>
  <c r="K781" i="12787" s="1"/>
  <c r="G499" i="12766"/>
  <c r="K191" i="12787"/>
  <c r="K162" i="12787" s="1"/>
  <c r="G599" i="12766"/>
  <c r="G603" i="12787"/>
  <c r="G85" i="12766"/>
  <c r="H279" i="12766"/>
  <c r="G540" i="12766"/>
  <c r="K665" i="12766"/>
  <c r="G59" i="12787"/>
  <c r="K83" i="12787"/>
  <c r="U84" i="12787" s="1"/>
  <c r="W84" i="12787" s="1"/>
  <c r="K485" i="12787"/>
  <c r="G472" i="12766"/>
  <c r="G474" i="12766" s="1"/>
  <c r="K311" i="12766"/>
  <c r="K282" i="12766" s="1"/>
  <c r="H605" i="12766"/>
  <c r="H621" i="12766"/>
  <c r="H283" i="12766"/>
  <c r="G21" i="12787"/>
  <c r="H355" i="12787"/>
  <c r="H149" i="12787" s="1"/>
  <c r="G164" i="12766"/>
  <c r="K487" i="12787"/>
  <c r="K285" i="12787"/>
  <c r="G185" i="12787"/>
  <c r="G155" i="12787" s="1"/>
  <c r="P45" i="12774"/>
  <c r="K614" i="12787"/>
  <c r="H783" i="12787"/>
  <c r="H496" i="12766"/>
  <c r="H738" i="12766"/>
  <c r="C259" i="12766"/>
  <c r="D241" i="12766" s="1"/>
  <c r="K806" i="12766"/>
  <c r="K778" i="12766" s="1"/>
  <c r="H431" i="12787"/>
  <c r="K480" i="12787"/>
  <c r="H830" i="12787"/>
  <c r="H738" i="12787"/>
  <c r="G162" i="12766"/>
  <c r="G812" i="12787"/>
  <c r="G784" i="12787" s="1"/>
  <c r="K484" i="12787"/>
  <c r="G162" i="12787"/>
  <c r="K836" i="12766"/>
  <c r="K857" i="12766"/>
  <c r="G22" i="12787"/>
  <c r="K187" i="12787"/>
  <c r="G487" i="12787"/>
  <c r="D16" i="12766"/>
  <c r="M16" i="12766" s="1"/>
  <c r="G501" i="12766"/>
  <c r="H712" i="12787"/>
  <c r="C796" i="12787"/>
  <c r="C259" i="12787"/>
  <c r="D243" i="12787" s="1"/>
  <c r="H243" i="12787" s="1"/>
  <c r="K505" i="12787"/>
  <c r="G602" i="12787"/>
  <c r="E861" i="12787"/>
  <c r="G861" i="12787" s="1"/>
  <c r="H750" i="12787"/>
  <c r="D618" i="12787"/>
  <c r="M618" i="12787" s="1"/>
  <c r="H600" i="12766"/>
  <c r="H862" i="12766"/>
  <c r="K864" i="12766"/>
  <c r="K566" i="12766"/>
  <c r="K799" i="12766"/>
  <c r="K422" i="12766"/>
  <c r="K355" i="12766"/>
  <c r="K149" i="12766" s="1"/>
  <c r="G17" i="12787"/>
  <c r="D364" i="12787"/>
  <c r="K286" i="12787"/>
  <c r="G492" i="12787"/>
  <c r="K494" i="12766"/>
  <c r="K951" i="12766"/>
  <c r="K780" i="12787"/>
  <c r="K586" i="12787"/>
  <c r="G16" i="12766"/>
  <c r="F516" i="12843"/>
  <c r="F481" i="12843" s="1"/>
  <c r="F197" i="12843" s="1"/>
  <c r="C481" i="12843"/>
  <c r="F473" i="12843"/>
  <c r="F185" i="12843" s="1"/>
  <c r="U185" i="12843"/>
  <c r="Q185" i="12843"/>
  <c r="F509" i="12843"/>
  <c r="F474" i="12843" s="1"/>
  <c r="F186" i="12843" s="1"/>
  <c r="C474" i="12843"/>
  <c r="C186" i="12843" s="1"/>
  <c r="U509" i="12843"/>
  <c r="U474" i="12843" s="1"/>
  <c r="Q509" i="12843"/>
  <c r="Q474" i="12843" s="1"/>
  <c r="F510" i="12843"/>
  <c r="F475" i="12843" s="1"/>
  <c r="F187" i="12843" s="1"/>
  <c r="C475" i="12843"/>
  <c r="C187" i="12843" s="1"/>
  <c r="U510" i="12843"/>
  <c r="U475" i="12843" s="1"/>
  <c r="Q510" i="12843"/>
  <c r="Q475" i="12843" s="1"/>
  <c r="F515" i="12843"/>
  <c r="F480" i="12843" s="1"/>
  <c r="F196" i="12843" s="1"/>
  <c r="C480" i="12843"/>
  <c r="C479" i="12843"/>
  <c r="C535" i="12843"/>
  <c r="C500" i="12843" s="1"/>
  <c r="C219" i="12843" s="1"/>
  <c r="F514" i="12843"/>
  <c r="F479" i="12843" s="1"/>
  <c r="F195" i="12843" s="1"/>
  <c r="R106" i="12764"/>
  <c r="T106" i="12764" s="1"/>
  <c r="D22" i="12766"/>
  <c r="K567" i="12766"/>
  <c r="M742" i="12787"/>
  <c r="D760" i="12787"/>
  <c r="K531" i="12766"/>
  <c r="H531" i="12766"/>
  <c r="G502" i="12766"/>
  <c r="K332" i="12787"/>
  <c r="K274" i="12787" s="1"/>
  <c r="I341" i="12787"/>
  <c r="K341" i="12787" s="1"/>
  <c r="K283" i="12787" s="1"/>
  <c r="K696" i="12787"/>
  <c r="K594" i="12787" s="1"/>
  <c r="I715" i="12787"/>
  <c r="K715" i="12787" s="1"/>
  <c r="K613" i="12787" s="1"/>
  <c r="G709" i="12787"/>
  <c r="G607" i="12787" s="1"/>
  <c r="H709" i="12787"/>
  <c r="G717" i="12787"/>
  <c r="H717" i="12787"/>
  <c r="G929" i="12766"/>
  <c r="G953" i="12766"/>
  <c r="G955" i="12766" s="1"/>
  <c r="K332" i="12766"/>
  <c r="I341" i="12766"/>
  <c r="K341" i="12766" s="1"/>
  <c r="H571" i="12766"/>
  <c r="K571" i="12766"/>
  <c r="H853" i="12766"/>
  <c r="K853" i="12766"/>
  <c r="H216" i="12766"/>
  <c r="K216" i="12766"/>
  <c r="I534" i="12766"/>
  <c r="K534" i="12766" s="1"/>
  <c r="K522" i="12766"/>
  <c r="K488" i="12766" s="1"/>
  <c r="H314" i="12766"/>
  <c r="H285" i="12766" s="1"/>
  <c r="K69" i="12766"/>
  <c r="K76" i="12766" s="1"/>
  <c r="K78" i="12766" s="1"/>
  <c r="G246" i="12766"/>
  <c r="G190" i="12766" s="1"/>
  <c r="H331" i="12766"/>
  <c r="H346" i="12766" s="1"/>
  <c r="H348" i="12766" s="1"/>
  <c r="K331" i="12766"/>
  <c r="H891" i="12766"/>
  <c r="K891" i="12766"/>
  <c r="K750" i="12766"/>
  <c r="M750" i="12766"/>
  <c r="H67" i="12787"/>
  <c r="H16" i="12787" s="1"/>
  <c r="D16" i="12787"/>
  <c r="K647" i="12787"/>
  <c r="I666" i="12787"/>
  <c r="K666" i="12787" s="1"/>
  <c r="K699" i="12787"/>
  <c r="K597" i="12787" s="1"/>
  <c r="I718" i="12787"/>
  <c r="K718" i="12787" s="1"/>
  <c r="H868" i="12766"/>
  <c r="K868" i="12766"/>
  <c r="H76" i="12766"/>
  <c r="H78" i="12766" s="1"/>
  <c r="D18" i="12766"/>
  <c r="O18" i="12766" s="1"/>
  <c r="K364" i="12766"/>
  <c r="K39" i="12766"/>
  <c r="K22" i="12766" s="1"/>
  <c r="G344" i="12787"/>
  <c r="G286" i="12787" s="1"/>
  <c r="H344" i="12787"/>
  <c r="G433" i="12787"/>
  <c r="H433" i="12787"/>
  <c r="D176" i="12787"/>
  <c r="G171" i="12766"/>
  <c r="K481" i="12787"/>
  <c r="G504" i="12787"/>
  <c r="K615" i="12766"/>
  <c r="G76" i="12787"/>
  <c r="C483" i="12787"/>
  <c r="K373" i="12787"/>
  <c r="H86" i="12787"/>
  <c r="K23" i="12766"/>
  <c r="K168" i="12787"/>
  <c r="C483" i="12766"/>
  <c r="C587" i="12766"/>
  <c r="G480" i="12787"/>
  <c r="K87" i="12787"/>
  <c r="G501" i="12787"/>
  <c r="G503" i="12787"/>
  <c r="H267" i="12787"/>
  <c r="K495" i="12766"/>
  <c r="G165" i="12787"/>
  <c r="K672" i="12766"/>
  <c r="H809" i="12766"/>
  <c r="K42" i="12766"/>
  <c r="K44" i="12766" s="1"/>
  <c r="H488" i="12766"/>
  <c r="K167" i="12787"/>
  <c r="K287" i="12787"/>
  <c r="G500" i="12787"/>
  <c r="T86" i="12766"/>
  <c r="M755" i="12766"/>
  <c r="K375" i="12787"/>
  <c r="K896" i="12787"/>
  <c r="K811" i="12787"/>
  <c r="K783" i="12787" s="1"/>
  <c r="H84" i="12787"/>
  <c r="K141" i="12787"/>
  <c r="H481" i="12787"/>
  <c r="G21" i="12766"/>
  <c r="K805" i="12787"/>
  <c r="K777" i="12787" s="1"/>
  <c r="G488" i="12766"/>
  <c r="K374" i="12766"/>
  <c r="G169" i="12766"/>
  <c r="K421" i="12787"/>
  <c r="I430" i="12787"/>
  <c r="K430" i="12787" s="1"/>
  <c r="I390" i="12843"/>
  <c r="D603" i="12787"/>
  <c r="M603" i="12787" s="1"/>
  <c r="H654" i="12787"/>
  <c r="H603" i="12787" s="1"/>
  <c r="K430" i="12766"/>
  <c r="K88" i="12787"/>
  <c r="K158" i="12787"/>
  <c r="H426" i="12766"/>
  <c r="H622" i="12766"/>
  <c r="M754" i="12787"/>
  <c r="K754" i="12787"/>
  <c r="H854" i="12766"/>
  <c r="K854" i="12766"/>
  <c r="K971" i="12787"/>
  <c r="D593" i="12787"/>
  <c r="M593" i="12787" s="1"/>
  <c r="H695" i="12787"/>
  <c r="H593" i="12787" s="1"/>
  <c r="H213" i="12766"/>
  <c r="K213" i="12766"/>
  <c r="G809" i="12766"/>
  <c r="K392" i="12787"/>
  <c r="I401" i="12787"/>
  <c r="K401" i="12787" s="1"/>
  <c r="H414" i="12766"/>
  <c r="H356" i="12766" s="1"/>
  <c r="H150" i="12766" s="1"/>
  <c r="D356" i="12766"/>
  <c r="D150" i="12766" s="1"/>
  <c r="M150" i="12766" s="1"/>
  <c r="D416" i="12766"/>
  <c r="D358" i="12766" s="1"/>
  <c r="K414" i="12766"/>
  <c r="K356" i="12766" s="1"/>
  <c r="K150" i="12766" s="1"/>
  <c r="I570" i="12787"/>
  <c r="K570" i="12787" s="1"/>
  <c r="K502" i="12787" s="1"/>
  <c r="K559" i="12787"/>
  <c r="H59" i="12787"/>
  <c r="H61" i="12787" s="1"/>
  <c r="H22" i="12787"/>
  <c r="H658" i="12787"/>
  <c r="G482" i="12787"/>
  <c r="G42" i="12787"/>
  <c r="K673" i="12766"/>
  <c r="G1001" i="12766"/>
  <c r="G1003" i="12766" s="1"/>
  <c r="H559" i="12766"/>
  <c r="K559" i="12766"/>
  <c r="H345" i="12787"/>
  <c r="N114" i="12763"/>
  <c r="I723" i="12787"/>
  <c r="K723" i="12787" s="1"/>
  <c r="K621" i="12787" s="1"/>
  <c r="D968" i="12787"/>
  <c r="D969" i="12787"/>
  <c r="D943" i="12787" s="1"/>
  <c r="M943" i="12787" s="1"/>
  <c r="C945" i="12787"/>
  <c r="H427" i="12766"/>
  <c r="H369" i="12766" s="1"/>
  <c r="K427" i="12766"/>
  <c r="G888" i="12787"/>
  <c r="H888" i="12787"/>
  <c r="G166" i="12787"/>
  <c r="K312" i="12766"/>
  <c r="G481" i="12787"/>
  <c r="G499" i="12787"/>
  <c r="H615" i="12766"/>
  <c r="K384" i="12787"/>
  <c r="K355" i="12787" s="1"/>
  <c r="K149" i="12787" s="1"/>
  <c r="I395" i="12787"/>
  <c r="K395" i="12787" s="1"/>
  <c r="K366" i="12787" s="1"/>
  <c r="K164" i="12787" s="1"/>
  <c r="D390" i="12787"/>
  <c r="H390" i="12787" s="1"/>
  <c r="H361" i="12787" s="1"/>
  <c r="G585" i="12787"/>
  <c r="H659" i="12787"/>
  <c r="E720" i="12787"/>
  <c r="G720" i="12787" s="1"/>
  <c r="D622" i="12787"/>
  <c r="M622" i="12787" s="1"/>
  <c r="G172" i="12766"/>
  <c r="K565" i="12766"/>
  <c r="K723" i="12766"/>
  <c r="H804" i="12766"/>
  <c r="H776" i="12766" s="1"/>
  <c r="K909" i="12766"/>
  <c r="K911" i="12766" s="1"/>
  <c r="P912" i="12766" s="1"/>
  <c r="C376" i="12766"/>
  <c r="C378" i="12766" s="1"/>
  <c r="D431" i="12766"/>
  <c r="H431" i="12766" s="1"/>
  <c r="D418" i="12766"/>
  <c r="K418" i="12766" s="1"/>
  <c r="D428" i="12766"/>
  <c r="K428" i="12766" s="1"/>
  <c r="G20" i="12787"/>
  <c r="H115" i="12787"/>
  <c r="H117" i="12787" s="1"/>
  <c r="G115" i="12787"/>
  <c r="G287" i="12787"/>
  <c r="G484" i="12787"/>
  <c r="G59" i="12766"/>
  <c r="G61" i="12766" s="1"/>
  <c r="D401" i="12787"/>
  <c r="H401" i="12787" s="1"/>
  <c r="D402" i="12787"/>
  <c r="H402" i="12787" s="1"/>
  <c r="D389" i="12787"/>
  <c r="D360" i="12787" s="1"/>
  <c r="K858" i="12766"/>
  <c r="K802" i="12766" s="1"/>
  <c r="K482" i="12787"/>
  <c r="G586" i="12787"/>
  <c r="K810" i="12787"/>
  <c r="K782" i="12787" s="1"/>
  <c r="M750" i="12787"/>
  <c r="G688" i="12843"/>
  <c r="I688" i="12843" s="1"/>
  <c r="G726" i="12843"/>
  <c r="I726" i="12843" s="1"/>
  <c r="K695" i="12787"/>
  <c r="K593" i="12787" s="1"/>
  <c r="I714" i="12787"/>
  <c r="K714" i="12787" s="1"/>
  <c r="K612" i="12787" s="1"/>
  <c r="E865" i="12787"/>
  <c r="G865" i="12787" s="1"/>
  <c r="G857" i="12787"/>
  <c r="I252" i="12843"/>
  <c r="I496" i="12843"/>
  <c r="G154" i="12766"/>
  <c r="K425" i="12766"/>
  <c r="K367" i="12766" s="1"/>
  <c r="D386" i="12787"/>
  <c r="D357" i="12787" s="1"/>
  <c r="D151" i="12787" s="1"/>
  <c r="M151" i="12787" s="1"/>
  <c r="K201" i="12787"/>
  <c r="G485" i="12787"/>
  <c r="K504" i="12787"/>
  <c r="H726" i="12787"/>
  <c r="H624" i="12787" s="1"/>
  <c r="E747" i="12787"/>
  <c r="H747" i="12787" s="1"/>
  <c r="C502" i="12787"/>
  <c r="G76" i="12766"/>
  <c r="G78" i="12766" s="1"/>
  <c r="H425" i="12766"/>
  <c r="H367" i="12766" s="1"/>
  <c r="H607" i="12766"/>
  <c r="G909" i="12766"/>
  <c r="G911" i="12766" s="1"/>
  <c r="K812" i="12766"/>
  <c r="K610" i="12766"/>
  <c r="D421" i="12766"/>
  <c r="D433" i="12766"/>
  <c r="K433" i="12766" s="1"/>
  <c r="M909" i="12766"/>
  <c r="G153" i="12787"/>
  <c r="H715" i="12787"/>
  <c r="H736" i="12787"/>
  <c r="H893" i="12787"/>
  <c r="D400" i="12787"/>
  <c r="H400" i="12787" s="1"/>
  <c r="D398" i="12787"/>
  <c r="H398" i="12787" s="1"/>
  <c r="H369" i="12787" s="1"/>
  <c r="C502" i="12766"/>
  <c r="G158" i="12766"/>
  <c r="H805" i="12766"/>
  <c r="H777" i="12766" s="1"/>
  <c r="K297" i="12787"/>
  <c r="I308" i="12787"/>
  <c r="K308" i="12787" s="1"/>
  <c r="I647" i="12843"/>
  <c r="K519" i="12766"/>
  <c r="G71" i="12763"/>
  <c r="J71" i="12763" s="1"/>
  <c r="L71" i="12763" s="1"/>
  <c r="G1003" i="12843"/>
  <c r="I1003" i="12843" s="1"/>
  <c r="I1098" i="12843" s="1"/>
  <c r="G910" i="12843"/>
  <c r="I910" i="12843" s="1"/>
  <c r="I965" i="12843"/>
  <c r="G985" i="12843"/>
  <c r="I985" i="12843" s="1"/>
  <c r="I1079" i="12843" s="1"/>
  <c r="G75" i="12763"/>
  <c r="K75" i="12763" s="1"/>
  <c r="J11" i="12763"/>
  <c r="L11" i="12763" s="1"/>
  <c r="K42" i="12763"/>
  <c r="I85" i="12811" s="1"/>
  <c r="I86" i="12811" s="1"/>
  <c r="K39" i="12763"/>
  <c r="I81" i="12811" s="1"/>
  <c r="C94" i="12763"/>
  <c r="S20" i="12764"/>
  <c r="AB100" i="12764"/>
  <c r="I114" i="12763"/>
  <c r="I116" i="12763" s="1"/>
  <c r="L116" i="12764"/>
  <c r="L117" i="12764" s="1"/>
  <c r="P116" i="12764"/>
  <c r="P117" i="12764" s="1"/>
  <c r="S81" i="12812"/>
  <c r="H600" i="12787"/>
  <c r="K278" i="12766"/>
  <c r="K398" i="12766"/>
  <c r="D176" i="12766"/>
  <c r="G115" i="12766"/>
  <c r="K50" i="12766"/>
  <c r="K16" i="12766" s="1"/>
  <c r="G227" i="12766"/>
  <c r="G199" i="12766" s="1"/>
  <c r="G170" i="12766" s="1"/>
  <c r="K698" i="12787"/>
  <c r="I717" i="12787"/>
  <c r="K717" i="12787" s="1"/>
  <c r="H42" i="12766"/>
  <c r="H44" i="12766" s="1"/>
  <c r="O99" i="12761"/>
  <c r="I469" i="12787"/>
  <c r="K469" i="12787" s="1"/>
  <c r="K469" i="12766"/>
  <c r="G666" i="12787"/>
  <c r="H666" i="12787"/>
  <c r="H753" i="12787"/>
  <c r="G753" i="12787"/>
  <c r="S36" i="12764"/>
  <c r="J10" i="12763"/>
  <c r="L10" i="12763" s="1"/>
  <c r="W36" i="12764"/>
  <c r="K714" i="12766"/>
  <c r="K716" i="12766"/>
  <c r="G18" i="12766"/>
  <c r="G22" i="12766"/>
  <c r="G155" i="12766"/>
  <c r="C160" i="12766"/>
  <c r="K950" i="12766"/>
  <c r="G187" i="12787"/>
  <c r="G158" i="12787" s="1"/>
  <c r="G343" i="12787"/>
  <c r="G285" i="12787" s="1"/>
  <c r="G171" i="12787" s="1"/>
  <c r="H343" i="12787"/>
  <c r="G529" i="12787"/>
  <c r="G495" i="12787" s="1"/>
  <c r="H529" i="12787"/>
  <c r="H530" i="12787"/>
  <c r="G530" i="12787"/>
  <c r="I650" i="12787"/>
  <c r="K642" i="12787"/>
  <c r="K752" i="12787"/>
  <c r="M752" i="12787"/>
  <c r="G339" i="12787"/>
  <c r="H339" i="12787"/>
  <c r="W42" i="12764"/>
  <c r="M756" i="12766"/>
  <c r="K316" i="12766"/>
  <c r="K287" i="12766" s="1"/>
  <c r="K705" i="12766"/>
  <c r="K603" i="12766" s="1"/>
  <c r="K246" i="12787"/>
  <c r="G570" i="12787"/>
  <c r="G502" i="12787" s="1"/>
  <c r="M757" i="12766"/>
  <c r="F122" i="12811"/>
  <c r="D85" i="12787"/>
  <c r="H98" i="12787"/>
  <c r="H85" i="12787" s="1"/>
  <c r="G724" i="12787"/>
  <c r="G622" i="12787" s="1"/>
  <c r="H724" i="12787"/>
  <c r="H622" i="12787" s="1"/>
  <c r="H980" i="12787"/>
  <c r="H982" i="12787" s="1"/>
  <c r="H984" i="12787" s="1"/>
  <c r="K51" i="12766"/>
  <c r="G746" i="12766"/>
  <c r="H746" i="12766"/>
  <c r="H20" i="12787"/>
  <c r="W56" i="12764"/>
  <c r="W26" i="12764"/>
  <c r="F50" i="12811"/>
  <c r="E49" i="12811"/>
  <c r="E50" i="12811" s="1"/>
  <c r="F83" i="12811"/>
  <c r="F100" i="12811" s="1"/>
  <c r="E80" i="12811"/>
  <c r="D89" i="12787"/>
  <c r="D104" i="12787"/>
  <c r="G420" i="12787"/>
  <c r="G362" i="12787" s="1"/>
  <c r="E429" i="12787"/>
  <c r="E82" i="12811"/>
  <c r="F54" i="12811"/>
  <c r="E53" i="12811"/>
  <c r="E54" i="12811" s="1"/>
  <c r="G304" i="12787"/>
  <c r="K304" i="12787"/>
  <c r="K751" i="12787"/>
  <c r="M751" i="12787"/>
  <c r="M932" i="12787"/>
  <c r="M934" i="12787" s="1"/>
  <c r="H932" i="12787"/>
  <c r="H934" i="12787" s="1"/>
  <c r="H936" i="12787" s="1"/>
  <c r="C275" i="12766"/>
  <c r="C161" i="12766" s="1"/>
  <c r="G304" i="12766"/>
  <c r="G317" i="12766" s="1"/>
  <c r="G319" i="12766" s="1"/>
  <c r="G749" i="12766"/>
  <c r="H749" i="12766"/>
  <c r="I106" i="12811"/>
  <c r="I122" i="12811" s="1"/>
  <c r="S97" i="12764"/>
  <c r="S101" i="12764"/>
  <c r="N81" i="12764"/>
  <c r="R81" i="12764" s="1"/>
  <c r="T81" i="12764" s="1"/>
  <c r="N82" i="12764"/>
  <c r="K570" i="12766"/>
  <c r="C104" i="12763"/>
  <c r="K568" i="12766"/>
  <c r="C74" i="12763"/>
  <c r="C76" i="12763" s="1"/>
  <c r="K28" i="12763"/>
  <c r="J28" i="12763"/>
  <c r="L28" i="12763" s="1"/>
  <c r="C82" i="12763"/>
  <c r="K23" i="12787"/>
  <c r="S49" i="12764"/>
  <c r="J82" i="12763"/>
  <c r="L82" i="12763" s="1"/>
  <c r="S12" i="12764"/>
  <c r="N65" i="12764"/>
  <c r="R65" i="12764" s="1"/>
  <c r="T65" i="12764" s="1"/>
  <c r="C99" i="12764"/>
  <c r="C102" i="12764" s="1"/>
  <c r="L126" i="12812"/>
  <c r="X53" i="12764"/>
  <c r="AC53" i="12764"/>
  <c r="AB53" i="12764"/>
  <c r="U106" i="12764"/>
  <c r="AA8" i="12764"/>
  <c r="AA70" i="12764" s="1"/>
  <c r="X100" i="12764"/>
  <c r="J24" i="12763"/>
  <c r="L24" i="12763" s="1"/>
  <c r="R48" i="12764"/>
  <c r="T48" i="12764" s="1"/>
  <c r="N94" i="12764"/>
  <c r="C83" i="12764"/>
  <c r="C85" i="12764" s="1"/>
  <c r="C73" i="12764"/>
  <c r="S22" i="12764"/>
  <c r="R22" i="12764"/>
  <c r="T22" i="12764" s="1"/>
  <c r="R47" i="12764"/>
  <c r="T47" i="12764" s="1"/>
  <c r="N49" i="12764"/>
  <c r="N93" i="12764"/>
  <c r="AC100" i="12764"/>
  <c r="S42" i="12764"/>
  <c r="R42" i="12764"/>
  <c r="T42" i="12764" s="1"/>
  <c r="S100" i="12764"/>
  <c r="AE100" i="12764" s="1"/>
  <c r="R100" i="12764"/>
  <c r="T100" i="12764" s="1"/>
  <c r="C66" i="12764"/>
  <c r="C67" i="12764" s="1"/>
  <c r="C88" i="12764"/>
  <c r="C90" i="12764" s="1"/>
  <c r="J47" i="12763"/>
  <c r="L47" i="12763" s="1"/>
  <c r="G49" i="12763"/>
  <c r="K49" i="12763" s="1"/>
  <c r="G92" i="12763"/>
  <c r="G12" i="12763"/>
  <c r="J12" i="12763" s="1"/>
  <c r="L12" i="12763" s="1"/>
  <c r="C70" i="12763"/>
  <c r="G8" i="12763"/>
  <c r="C70" i="12764"/>
  <c r="C69" i="12764"/>
  <c r="J9" i="12763"/>
  <c r="L9" i="12763" s="1"/>
  <c r="G74" i="12763"/>
  <c r="K9" i="12763"/>
  <c r="I15" i="12811" s="1"/>
  <c r="K53" i="12763"/>
  <c r="I126" i="12811" s="1"/>
  <c r="J53" i="12763"/>
  <c r="L53" i="12763" s="1"/>
  <c r="G104" i="12763"/>
  <c r="S9" i="12764"/>
  <c r="R9" i="12764"/>
  <c r="T9" i="12764" s="1"/>
  <c r="N75" i="12764"/>
  <c r="G54" i="12763"/>
  <c r="C106" i="12763"/>
  <c r="C76" i="12764"/>
  <c r="C77" i="12764" s="1"/>
  <c r="G57" i="12763"/>
  <c r="C112" i="12763"/>
  <c r="C575" i="12787"/>
  <c r="C576" i="12787" s="1"/>
  <c r="C77" i="12787"/>
  <c r="C78" i="12787" s="1"/>
  <c r="K21" i="12763"/>
  <c r="I42" i="12811" s="1"/>
  <c r="J21" i="12763"/>
  <c r="L21" i="12763" s="1"/>
  <c r="S80" i="12764"/>
  <c r="R80" i="12764"/>
  <c r="T80" i="12764" s="1"/>
  <c r="R27" i="12764"/>
  <c r="T27" i="12764" s="1"/>
  <c r="N112" i="12764"/>
  <c r="G127" i="12787"/>
  <c r="H127" i="12787"/>
  <c r="H128" i="12787" s="1"/>
  <c r="H130" i="12787" s="1"/>
  <c r="K212" i="12787"/>
  <c r="I222" i="12787"/>
  <c r="K222" i="12787" s="1"/>
  <c r="C153" i="12787"/>
  <c r="C156" i="12787" s="1"/>
  <c r="C270" i="12787"/>
  <c r="I458" i="12787"/>
  <c r="K458" i="12787" s="1"/>
  <c r="K458" i="12766"/>
  <c r="I460" i="12787"/>
  <c r="K460" i="12787" s="1"/>
  <c r="K460" i="12766"/>
  <c r="I462" i="12787"/>
  <c r="K462" i="12787" s="1"/>
  <c r="K462" i="12766"/>
  <c r="G528" i="12787"/>
  <c r="G494" i="12787" s="1"/>
  <c r="H528" i="12787"/>
  <c r="H494" i="12787" s="1"/>
  <c r="G718" i="12787"/>
  <c r="H718" i="12787"/>
  <c r="G855" i="12787"/>
  <c r="G799" i="12787" s="1"/>
  <c r="G771" i="12787" s="1"/>
  <c r="E864" i="12787"/>
  <c r="G864" i="12787" s="1"/>
  <c r="G808" i="12787" s="1"/>
  <c r="G780" i="12787" s="1"/>
  <c r="G858" i="12787"/>
  <c r="E866" i="12787"/>
  <c r="G866" i="12787" s="1"/>
  <c r="H911" i="12787"/>
  <c r="P911" i="12787"/>
  <c r="G7" i="12763"/>
  <c r="C69" i="12763"/>
  <c r="G26" i="12763"/>
  <c r="C66" i="12763"/>
  <c r="G27" i="12763"/>
  <c r="C110" i="12763"/>
  <c r="K36" i="12763"/>
  <c r="I74" i="12811" s="1"/>
  <c r="J36" i="12763"/>
  <c r="L36" i="12763" s="1"/>
  <c r="G55" i="12763"/>
  <c r="C107" i="12763"/>
  <c r="R24" i="12764"/>
  <c r="T24" i="12764" s="1"/>
  <c r="N87" i="12764"/>
  <c r="R39" i="12764"/>
  <c r="T39" i="12764" s="1"/>
  <c r="S54" i="12764"/>
  <c r="N108" i="12764"/>
  <c r="R54" i="12764"/>
  <c r="T54" i="12764" s="1"/>
  <c r="N58" i="12764"/>
  <c r="S56" i="12764"/>
  <c r="R56" i="12764"/>
  <c r="T56" i="12764" s="1"/>
  <c r="N104" i="12764"/>
  <c r="C154" i="12766"/>
  <c r="C156" i="12766" s="1"/>
  <c r="C186" i="12766"/>
  <c r="C157" i="12766" s="1"/>
  <c r="G41" i="12763"/>
  <c r="G99" i="12763" s="1"/>
  <c r="G34" i="12763"/>
  <c r="K751" i="12766"/>
  <c r="M751" i="12766"/>
  <c r="B27" i="12783"/>
  <c r="B29" i="12783" s="1"/>
  <c r="K374" i="12787"/>
  <c r="K503" i="12787"/>
  <c r="G23" i="12766"/>
  <c r="K605" i="12766"/>
  <c r="K808" i="12766"/>
  <c r="H866" i="12766"/>
  <c r="K809" i="12766"/>
  <c r="H742" i="12787"/>
  <c r="H743" i="12787"/>
  <c r="G20" i="12763"/>
  <c r="C78" i="12763"/>
  <c r="G140" i="12787"/>
  <c r="G141" i="12787" s="1"/>
  <c r="H140" i="12787"/>
  <c r="H141" i="12787" s="1"/>
  <c r="H143" i="12787" s="1"/>
  <c r="D239" i="12787"/>
  <c r="D240" i="12787"/>
  <c r="K326" i="12787"/>
  <c r="I337" i="12787"/>
  <c r="K337" i="12787" s="1"/>
  <c r="K279" i="12787" s="1"/>
  <c r="G404" i="12787"/>
  <c r="G375" i="12787" s="1"/>
  <c r="I457" i="12787"/>
  <c r="K457" i="12787" s="1"/>
  <c r="K457" i="12766"/>
  <c r="I459" i="12787"/>
  <c r="K459" i="12787" s="1"/>
  <c r="K459" i="12766"/>
  <c r="I461" i="12787"/>
  <c r="K461" i="12787" s="1"/>
  <c r="K461" i="12766"/>
  <c r="I463" i="12787"/>
  <c r="K463" i="12787" s="1"/>
  <c r="K463" i="12766"/>
  <c r="I470" i="12787"/>
  <c r="K470" i="12787" s="1"/>
  <c r="K470" i="12766"/>
  <c r="G564" i="12787"/>
  <c r="H564" i="12787"/>
  <c r="E834" i="12787"/>
  <c r="G825" i="12787"/>
  <c r="G829" i="12787"/>
  <c r="E837" i="12787"/>
  <c r="G830" i="12787"/>
  <c r="E838" i="12787"/>
  <c r="G25" i="12763"/>
  <c r="G35" i="12763"/>
  <c r="C79" i="12763"/>
  <c r="G37" i="12763"/>
  <c r="C86" i="12763"/>
  <c r="G56" i="12763"/>
  <c r="C102" i="12763"/>
  <c r="AE29" i="12764"/>
  <c r="R29" i="12764"/>
  <c r="T29" i="12764" s="1"/>
  <c r="X29" i="12764"/>
  <c r="N88" i="12764"/>
  <c r="G751" i="12787"/>
  <c r="H751" i="12787"/>
  <c r="S34" i="12764"/>
  <c r="N43" i="12764"/>
  <c r="R34" i="12764"/>
  <c r="T34" i="12764" s="1"/>
  <c r="N79" i="12764"/>
  <c r="S55" i="12764"/>
  <c r="R55" i="12764"/>
  <c r="T55" i="12764" s="1"/>
  <c r="N109" i="12764"/>
  <c r="S57" i="12764"/>
  <c r="R57" i="12764"/>
  <c r="T57" i="12764" s="1"/>
  <c r="N114" i="12764"/>
  <c r="I464" i="12787"/>
  <c r="K464" i="12787" s="1"/>
  <c r="K464" i="12766"/>
  <c r="G756" i="12787"/>
  <c r="H756" i="12787"/>
  <c r="G38" i="12763"/>
  <c r="C96" i="12763"/>
  <c r="H215" i="12766"/>
  <c r="K215" i="12766"/>
  <c r="K918" i="12766"/>
  <c r="K920" i="12766" s="1"/>
  <c r="K922" i="12766" s="1"/>
  <c r="M918" i="12766"/>
  <c r="M920" i="12766" s="1"/>
  <c r="H918" i="12766"/>
  <c r="H920" i="12766" s="1"/>
  <c r="H922" i="12766" s="1"/>
  <c r="H1030" i="12787"/>
  <c r="H1032" i="12787" s="1"/>
  <c r="G160" i="12766"/>
  <c r="G434" i="12766"/>
  <c r="G436" i="12766" s="1"/>
  <c r="P908" i="12766"/>
  <c r="P910" i="12766" s="1"/>
  <c r="K21" i="12766"/>
  <c r="K18" i="12766"/>
  <c r="D488" i="12766"/>
  <c r="M488" i="12766" s="1"/>
  <c r="G853" i="12787"/>
  <c r="G17" i="12766"/>
  <c r="H740" i="12787"/>
  <c r="H141" i="12766"/>
  <c r="G60" i="12787"/>
  <c r="K60" i="12787" s="1"/>
  <c r="C435" i="12787"/>
  <c r="C436" i="12787" s="1"/>
  <c r="C260" i="12787"/>
  <c r="K812" i="12787"/>
  <c r="K784" i="12787" s="1"/>
  <c r="K490" i="12766"/>
  <c r="AA10" i="12764"/>
  <c r="D21" i="12787"/>
  <c r="H38" i="12787"/>
  <c r="H21" i="12787" s="1"/>
  <c r="D23" i="12787"/>
  <c r="M23" i="12787" s="1"/>
  <c r="H40" i="12787"/>
  <c r="H23" i="12787" s="1"/>
  <c r="H83" i="12787"/>
  <c r="T84" i="12787" s="1"/>
  <c r="H102" i="12787"/>
  <c r="H356" i="12787"/>
  <c r="H150" i="12787" s="1"/>
  <c r="I429" i="12787"/>
  <c r="K429" i="12787" s="1"/>
  <c r="K420" i="12787"/>
  <c r="K245" i="12787"/>
  <c r="I254" i="12787"/>
  <c r="K254" i="12787" s="1"/>
  <c r="D246" i="12787"/>
  <c r="H246" i="12787" s="1"/>
  <c r="D254" i="12787"/>
  <c r="H254" i="12787" s="1"/>
  <c r="D247" i="12787"/>
  <c r="H247" i="12787" s="1"/>
  <c r="D255" i="12787"/>
  <c r="H255" i="12787" s="1"/>
  <c r="G257" i="12787"/>
  <c r="G259" i="12787" s="1"/>
  <c r="G432" i="12787"/>
  <c r="H432" i="12787"/>
  <c r="H480" i="12787"/>
  <c r="K522" i="12787"/>
  <c r="I534" i="12787"/>
  <c r="K534" i="12787" s="1"/>
  <c r="K684" i="12787"/>
  <c r="K582" i="12787" s="1"/>
  <c r="I707" i="12787"/>
  <c r="K707" i="12787" s="1"/>
  <c r="K605" i="12787" s="1"/>
  <c r="K693" i="12787"/>
  <c r="I712" i="12787"/>
  <c r="K712" i="12787" s="1"/>
  <c r="K610" i="12787" s="1"/>
  <c r="I701" i="12787"/>
  <c r="C1048" i="12787"/>
  <c r="C1049" i="12787"/>
  <c r="K702" i="12787"/>
  <c r="I721" i="12787"/>
  <c r="K721" i="12787" s="1"/>
  <c r="H720" i="12787"/>
  <c r="G721" i="12787"/>
  <c r="H721" i="12787"/>
  <c r="G725" i="12787"/>
  <c r="G623" i="12787" s="1"/>
  <c r="H725" i="12787"/>
  <c r="H623" i="12787" s="1"/>
  <c r="M746" i="12787"/>
  <c r="K746" i="12787"/>
  <c r="H748" i="12787"/>
  <c r="G748" i="12787"/>
  <c r="H755" i="12787"/>
  <c r="G755" i="12787"/>
  <c r="H850" i="12787"/>
  <c r="G850" i="12787"/>
  <c r="E860" i="12787"/>
  <c r="G854" i="12787"/>
  <c r="E863" i="12787"/>
  <c r="K414" i="12787"/>
  <c r="I425" i="12787"/>
  <c r="K425" i="12787" s="1"/>
  <c r="G746" i="12787"/>
  <c r="H746" i="12787"/>
  <c r="H887" i="12787"/>
  <c r="G887" i="12787"/>
  <c r="D853" i="12787"/>
  <c r="H853" i="12787" s="1"/>
  <c r="D854" i="12787"/>
  <c r="H854" i="12787" s="1"/>
  <c r="D858" i="12787"/>
  <c r="D862" i="12787"/>
  <c r="D855" i="12787"/>
  <c r="D863" i="12787"/>
  <c r="D807" i="12787" s="1"/>
  <c r="D779" i="12787" s="1"/>
  <c r="M779" i="12787" s="1"/>
  <c r="D864" i="12787"/>
  <c r="D865" i="12787"/>
  <c r="D866" i="12787"/>
  <c r="D868" i="12787"/>
  <c r="H868" i="12787" s="1"/>
  <c r="C813" i="12787"/>
  <c r="C785" i="12787" s="1"/>
  <c r="D857" i="12787"/>
  <c r="H905" i="12787"/>
  <c r="P905" i="12787"/>
  <c r="G29" i="12763"/>
  <c r="G88" i="12763" s="1"/>
  <c r="C87" i="12763"/>
  <c r="H558" i="12787"/>
  <c r="D576" i="12787"/>
  <c r="K651" i="12787"/>
  <c r="I670" i="12787"/>
  <c r="K670" i="12787" s="1"/>
  <c r="H664" i="12787"/>
  <c r="D613" i="12787"/>
  <c r="M613" i="12787" s="1"/>
  <c r="D602" i="12787"/>
  <c r="M602" i="12787" s="1"/>
  <c r="H653" i="12787"/>
  <c r="H602" i="12787" s="1"/>
  <c r="T584" i="12787" s="1"/>
  <c r="K841" i="12787"/>
  <c r="K797" i="12787"/>
  <c r="K769" i="12787" s="1"/>
  <c r="M20" i="12766"/>
  <c r="O20" i="12766"/>
  <c r="H355" i="12766"/>
  <c r="H149" i="12766" s="1"/>
  <c r="G361" i="12766"/>
  <c r="G159" i="12766" s="1"/>
  <c r="G405" i="12766"/>
  <c r="H226" i="12766"/>
  <c r="W482" i="12766"/>
  <c r="D491" i="12766"/>
  <c r="M491" i="12766" s="1"/>
  <c r="H525" i="12766"/>
  <c r="D498" i="12766"/>
  <c r="M498" i="12766" s="1"/>
  <c r="H532" i="12766"/>
  <c r="H498" i="12766" s="1"/>
  <c r="D500" i="12766"/>
  <c r="M500" i="12766" s="1"/>
  <c r="H534" i="12766"/>
  <c r="H500" i="12766" s="1"/>
  <c r="D502" i="12766"/>
  <c r="M502" i="12766" s="1"/>
  <c r="H536" i="12766"/>
  <c r="H502" i="12766" s="1"/>
  <c r="G572" i="12766"/>
  <c r="G504" i="12766" s="1"/>
  <c r="C504" i="12766"/>
  <c r="H539" i="12766"/>
  <c r="K539" i="12766"/>
  <c r="K650" i="12766"/>
  <c r="I669" i="12766"/>
  <c r="K669" i="12766" s="1"/>
  <c r="G669" i="12766"/>
  <c r="H669" i="12766"/>
  <c r="G670" i="12766"/>
  <c r="H670" i="12766"/>
  <c r="H742" i="12766"/>
  <c r="M742" i="12766"/>
  <c r="D760" i="12766"/>
  <c r="M748" i="12766"/>
  <c r="K748" i="12766"/>
  <c r="H751" i="12766"/>
  <c r="G751" i="12766"/>
  <c r="H756" i="12766"/>
  <c r="K756" i="12766"/>
  <c r="G928" i="12766"/>
  <c r="G942" i="12766"/>
  <c r="K309" i="12766"/>
  <c r="K280" i="12766" s="1"/>
  <c r="H697" i="12766"/>
  <c r="H595" i="12766" s="1"/>
  <c r="D595" i="12766"/>
  <c r="M595" i="12766" s="1"/>
  <c r="H695" i="12766"/>
  <c r="H593" i="12766" s="1"/>
  <c r="D593" i="12766"/>
  <c r="M593" i="12766" s="1"/>
  <c r="D364" i="12766"/>
  <c r="H393" i="12766"/>
  <c r="H364" i="12766" s="1"/>
  <c r="H404" i="12766"/>
  <c r="K404" i="12766"/>
  <c r="H389" i="12766"/>
  <c r="K389" i="12766"/>
  <c r="H420" i="12766"/>
  <c r="K420" i="12766"/>
  <c r="D183" i="12766"/>
  <c r="H239" i="12766"/>
  <c r="K239" i="12766"/>
  <c r="D249" i="12766"/>
  <c r="D497" i="12766"/>
  <c r="M497" i="12766" s="1"/>
  <c r="H565" i="12766"/>
  <c r="H555" i="12766"/>
  <c r="H487" i="12766" s="1"/>
  <c r="D487" i="12766"/>
  <c r="M487" i="12766" s="1"/>
  <c r="K555" i="12766"/>
  <c r="K487" i="12766" s="1"/>
  <c r="G542" i="12766"/>
  <c r="D624" i="12766"/>
  <c r="M624" i="12766" s="1"/>
  <c r="H675" i="12766"/>
  <c r="K675" i="12766"/>
  <c r="D614" i="12766"/>
  <c r="M614" i="12766" s="1"/>
  <c r="H665" i="12766"/>
  <c r="H614" i="12766" s="1"/>
  <c r="D612" i="12766"/>
  <c r="M612" i="12766" s="1"/>
  <c r="H663" i="12766"/>
  <c r="H612" i="12766" s="1"/>
  <c r="K746" i="12766"/>
  <c r="M746" i="12766"/>
  <c r="K752" i="12766"/>
  <c r="M752" i="12766"/>
  <c r="D807" i="12766"/>
  <c r="D779" i="12766" s="1"/>
  <c r="M779" i="12766" s="1"/>
  <c r="H835" i="12766"/>
  <c r="D798" i="12766"/>
  <c r="D770" i="12766" s="1"/>
  <c r="M770" i="12766" s="1"/>
  <c r="K826" i="12766"/>
  <c r="H826" i="12766"/>
  <c r="H798" i="12766" s="1"/>
  <c r="D812" i="12766"/>
  <c r="D784" i="12766" s="1"/>
  <c r="M784" i="12766" s="1"/>
  <c r="H840" i="12766"/>
  <c r="D806" i="12766"/>
  <c r="D778" i="12766" s="1"/>
  <c r="M778" i="12766" s="1"/>
  <c r="H834" i="12766"/>
  <c r="D799" i="12766"/>
  <c r="D771" i="12766" s="1"/>
  <c r="M771" i="12766" s="1"/>
  <c r="H827" i="12766"/>
  <c r="H799" i="12766" s="1"/>
  <c r="H895" i="12766"/>
  <c r="K895" i="12766"/>
  <c r="H882" i="12766"/>
  <c r="K882" i="12766"/>
  <c r="H893" i="12766"/>
  <c r="K893" i="12766"/>
  <c r="H884" i="12766"/>
  <c r="D898" i="12766"/>
  <c r="H17" i="12787"/>
  <c r="D17" i="12787"/>
  <c r="D22" i="12787"/>
  <c r="H621" i="12787"/>
  <c r="K622" i="12787"/>
  <c r="D600" i="12787"/>
  <c r="M600" i="12787" s="1"/>
  <c r="G795" i="12787"/>
  <c r="G767" i="12787" s="1"/>
  <c r="K982" i="12787"/>
  <c r="K283" i="12766"/>
  <c r="K609" i="12766"/>
  <c r="H863" i="12766"/>
  <c r="U86" i="12766"/>
  <c r="W86" i="12766" s="1"/>
  <c r="K88" i="12766"/>
  <c r="H757" i="12766"/>
  <c r="H21" i="12766"/>
  <c r="K424" i="12766"/>
  <c r="K366" i="12766" s="1"/>
  <c r="G167" i="12766"/>
  <c r="K695" i="12766"/>
  <c r="K715" i="12766"/>
  <c r="K613" i="12766" s="1"/>
  <c r="K807" i="12766"/>
  <c r="G892" i="12766"/>
  <c r="H18" i="12766"/>
  <c r="D621" i="12766"/>
  <c r="M621" i="12766" s="1"/>
  <c r="D599" i="12766"/>
  <c r="M599" i="12766" s="1"/>
  <c r="D619" i="12766"/>
  <c r="M619" i="12766" s="1"/>
  <c r="K1001" i="12766"/>
  <c r="K1003" i="12766" s="1"/>
  <c r="H1001" i="12766"/>
  <c r="H1003" i="12766" s="1"/>
  <c r="P1000" i="12766" s="1"/>
  <c r="P1001" i="12766" s="1"/>
  <c r="D18" i="12787"/>
  <c r="H69" i="12787"/>
  <c r="H18" i="12787" s="1"/>
  <c r="K240" i="12787"/>
  <c r="I250" i="12787"/>
  <c r="K250" i="12787" s="1"/>
  <c r="K194" i="12787" s="1"/>
  <c r="K391" i="12787"/>
  <c r="I400" i="12787"/>
  <c r="K400" i="12787" s="1"/>
  <c r="I226" i="12787"/>
  <c r="K226" i="12787" s="1"/>
  <c r="D331" i="12787"/>
  <c r="H331" i="12787" s="1"/>
  <c r="C348" i="12787"/>
  <c r="C199" i="12787"/>
  <c r="C170" i="12787" s="1"/>
  <c r="G227" i="12787"/>
  <c r="G199" i="12787" s="1"/>
  <c r="G170" i="12787" s="1"/>
  <c r="K227" i="12787"/>
  <c r="K199" i="12787" s="1"/>
  <c r="G403" i="12787"/>
  <c r="H403" i="12787"/>
  <c r="I471" i="12787"/>
  <c r="K471" i="12787" s="1"/>
  <c r="K471" i="12766"/>
  <c r="K556" i="12787"/>
  <c r="I568" i="12787"/>
  <c r="K568" i="12787" s="1"/>
  <c r="H582" i="12787"/>
  <c r="H696" i="12787"/>
  <c r="D594" i="12787"/>
  <c r="M594" i="12787" s="1"/>
  <c r="G669" i="12787"/>
  <c r="H669" i="12787"/>
  <c r="G670" i="12787"/>
  <c r="H670" i="12787"/>
  <c r="M749" i="12787"/>
  <c r="K749" i="12787"/>
  <c r="H822" i="12787"/>
  <c r="G822" i="12787"/>
  <c r="E832" i="12787"/>
  <c r="G826" i="12787"/>
  <c r="H826" i="12787"/>
  <c r="E835" i="12787"/>
  <c r="K385" i="12787"/>
  <c r="I396" i="12787"/>
  <c r="K396" i="12787" s="1"/>
  <c r="G357" i="12787"/>
  <c r="G151" i="12787" s="1"/>
  <c r="K794" i="12787"/>
  <c r="K766" i="12787" s="1"/>
  <c r="K869" i="12787"/>
  <c r="H825" i="12787"/>
  <c r="H840" i="12787"/>
  <c r="H913" i="12787"/>
  <c r="P913" i="12787"/>
  <c r="G22" i="12763"/>
  <c r="G81" i="12763" s="1"/>
  <c r="C80" i="12763"/>
  <c r="H665" i="12787"/>
  <c r="H614" i="12787" s="1"/>
  <c r="D614" i="12787"/>
  <c r="M614" i="12787" s="1"/>
  <c r="H663" i="12787"/>
  <c r="H612" i="12787" s="1"/>
  <c r="D612" i="12787"/>
  <c r="M612" i="12787" s="1"/>
  <c r="W767" i="12787"/>
  <c r="H833" i="12787"/>
  <c r="G833" i="12787"/>
  <c r="U73" i="12764"/>
  <c r="Y73" i="12764" s="1"/>
  <c r="M17" i="12766"/>
  <c r="M22" i="12766"/>
  <c r="O22" i="12766"/>
  <c r="G183" i="12766"/>
  <c r="G153" i="12766" s="1"/>
  <c r="G346" i="12766"/>
  <c r="G348" i="12766" s="1"/>
  <c r="H223" i="12766"/>
  <c r="H224" i="12766"/>
  <c r="H225" i="12766"/>
  <c r="K225" i="12766"/>
  <c r="H229" i="12766"/>
  <c r="D490" i="12766"/>
  <c r="H524" i="12766"/>
  <c r="D542" i="12766"/>
  <c r="D499" i="12766"/>
  <c r="M499" i="12766" s="1"/>
  <c r="H533" i="12766"/>
  <c r="H499" i="12766" s="1"/>
  <c r="D501" i="12766"/>
  <c r="M501" i="12766" s="1"/>
  <c r="H535" i="12766"/>
  <c r="D503" i="12766"/>
  <c r="M503" i="12766" s="1"/>
  <c r="H537" i="12766"/>
  <c r="H503" i="12766" s="1"/>
  <c r="G573" i="12766"/>
  <c r="G505" i="12766" s="1"/>
  <c r="C505" i="12766"/>
  <c r="G591" i="12766"/>
  <c r="H599" i="12766"/>
  <c r="K701" i="12766"/>
  <c r="I720" i="12766"/>
  <c r="K720" i="12766" s="1"/>
  <c r="I721" i="12766"/>
  <c r="K721" i="12766" s="1"/>
  <c r="H720" i="12766"/>
  <c r="G720" i="12766"/>
  <c r="H721" i="12766"/>
  <c r="G721" i="12766"/>
  <c r="H740" i="12766"/>
  <c r="M740" i="12766"/>
  <c r="M747" i="12766"/>
  <c r="K747" i="12766"/>
  <c r="H750" i="12766"/>
  <c r="G750" i="12766"/>
  <c r="H755" i="12766"/>
  <c r="G755" i="12766"/>
  <c r="D940" i="12766"/>
  <c r="D939" i="12766"/>
  <c r="C931" i="12766"/>
  <c r="C933" i="12766" s="1"/>
  <c r="C944" i="12766"/>
  <c r="K89" i="12766"/>
  <c r="K91" i="12766" s="1"/>
  <c r="K104" i="12766"/>
  <c r="O21" i="12766"/>
  <c r="M21" i="12766"/>
  <c r="H305" i="12766"/>
  <c r="H276" i="12766" s="1"/>
  <c r="D275" i="12766"/>
  <c r="D610" i="12766"/>
  <c r="M610" i="12766" s="1"/>
  <c r="H712" i="12766"/>
  <c r="H610" i="12766" s="1"/>
  <c r="H696" i="12766"/>
  <c r="H594" i="12766" s="1"/>
  <c r="K696" i="12766"/>
  <c r="K594" i="12766" s="1"/>
  <c r="D594" i="12766"/>
  <c r="M594" i="12766" s="1"/>
  <c r="D591" i="12766"/>
  <c r="M591" i="12766" s="1"/>
  <c r="H693" i="12766"/>
  <c r="H726" i="12766"/>
  <c r="K726" i="12766"/>
  <c r="H391" i="12766"/>
  <c r="D362" i="12766"/>
  <c r="K391" i="12766"/>
  <c r="D361" i="12766"/>
  <c r="H390" i="12766"/>
  <c r="K390" i="12766"/>
  <c r="H421" i="12766"/>
  <c r="K421" i="12766"/>
  <c r="H419" i="12766"/>
  <c r="K419" i="12766"/>
  <c r="H433" i="12766"/>
  <c r="H240" i="12766"/>
  <c r="H184" i="12766" s="1"/>
  <c r="H154" i="12766" s="1"/>
  <c r="D184" i="12766"/>
  <c r="D154" i="12766" s="1"/>
  <c r="M154" i="12766" s="1"/>
  <c r="K240" i="12766"/>
  <c r="K184" i="12766" s="1"/>
  <c r="K154" i="12766" s="1"/>
  <c r="D576" i="12766"/>
  <c r="H558" i="12766"/>
  <c r="K553" i="12766"/>
  <c r="H553" i="12766"/>
  <c r="H485" i="12766" s="1"/>
  <c r="H560" i="12766"/>
  <c r="H492" i="12766" s="1"/>
  <c r="D492" i="12766"/>
  <c r="M492" i="12766" s="1"/>
  <c r="K560" i="12766"/>
  <c r="H552" i="12766"/>
  <c r="D484" i="12766"/>
  <c r="M484" i="12766" s="1"/>
  <c r="H653" i="12766"/>
  <c r="H602" i="12766" s="1"/>
  <c r="R593" i="12766" s="1"/>
  <c r="D602" i="12766"/>
  <c r="M602" i="12766" s="1"/>
  <c r="D613" i="12766"/>
  <c r="M613" i="12766" s="1"/>
  <c r="H664" i="12766"/>
  <c r="H613" i="12766" s="1"/>
  <c r="D603" i="12766"/>
  <c r="M603" i="12766" s="1"/>
  <c r="H654" i="12766"/>
  <c r="H603" i="12766" s="1"/>
  <c r="K749" i="12766"/>
  <c r="M749" i="12766"/>
  <c r="D810" i="12766"/>
  <c r="D782" i="12766" s="1"/>
  <c r="M782" i="12766" s="1"/>
  <c r="H838" i="12766"/>
  <c r="D801" i="12766"/>
  <c r="H829" i="12766"/>
  <c r="H801" i="12766" s="1"/>
  <c r="K829" i="12766"/>
  <c r="D843" i="12766"/>
  <c r="H825" i="12766"/>
  <c r="D797" i="12766"/>
  <c r="D769" i="12766" s="1"/>
  <c r="M769" i="12766" s="1"/>
  <c r="K825" i="12766"/>
  <c r="C785" i="12766"/>
  <c r="C787" i="12766" s="1"/>
  <c r="C815" i="12766"/>
  <c r="D808" i="12766"/>
  <c r="D780" i="12766" s="1"/>
  <c r="M780" i="12766" s="1"/>
  <c r="H836" i="12766"/>
  <c r="H808" i="12766" s="1"/>
  <c r="H780" i="12766" s="1"/>
  <c r="D802" i="12766"/>
  <c r="D774" i="12766" s="1"/>
  <c r="M774" i="12766" s="1"/>
  <c r="H830" i="12766"/>
  <c r="H802" i="12766" s="1"/>
  <c r="H885" i="12766"/>
  <c r="K885" i="12766"/>
  <c r="H881" i="12766"/>
  <c r="K881" i="12766"/>
  <c r="H890" i="12766"/>
  <c r="K890" i="12766"/>
  <c r="D20" i="12787"/>
  <c r="H420" i="12787"/>
  <c r="H362" i="12787" s="1"/>
  <c r="H757" i="12787"/>
  <c r="D624" i="12787"/>
  <c r="M624" i="12787" s="1"/>
  <c r="D621" i="12787"/>
  <c r="M621" i="12787" s="1"/>
  <c r="D599" i="12787"/>
  <c r="M599" i="12787" s="1"/>
  <c r="K806" i="12787"/>
  <c r="K778" i="12787" s="1"/>
  <c r="G42" i="12766"/>
  <c r="K223" i="12766"/>
  <c r="K533" i="12766"/>
  <c r="K535" i="12766"/>
  <c r="K537" i="12766"/>
  <c r="K742" i="12766"/>
  <c r="K229" i="12766"/>
  <c r="K525" i="12766"/>
  <c r="K532" i="12766"/>
  <c r="K536" i="12766"/>
  <c r="K704" i="12766"/>
  <c r="K602" i="12766" s="1"/>
  <c r="S593" i="12766" s="1"/>
  <c r="U593" i="12766" s="1"/>
  <c r="K740" i="12766"/>
  <c r="G841" i="12766"/>
  <c r="K810" i="12766"/>
  <c r="D573" i="12766"/>
  <c r="D505" i="12766" s="1"/>
  <c r="M505" i="12766" s="1"/>
  <c r="D622" i="12766"/>
  <c r="M622" i="12766" s="1"/>
  <c r="D600" i="12766"/>
  <c r="M600" i="12766" s="1"/>
  <c r="D618" i="12766"/>
  <c r="M618" i="12766" s="1"/>
  <c r="G869" i="12766"/>
  <c r="G871" i="12766" s="1"/>
  <c r="D892" i="12766"/>
  <c r="M1001" i="12766"/>
  <c r="P52" i="12775" l="1"/>
  <c r="K726" i="12843"/>
  <c r="M726" i="12843" s="1"/>
  <c r="Y106" i="12764"/>
  <c r="AE106" i="12764" s="1"/>
  <c r="F74" i="12812"/>
  <c r="S74" i="12812" s="1"/>
  <c r="Y36" i="12764"/>
  <c r="Y26" i="12764"/>
  <c r="L52" i="12812" s="1"/>
  <c r="F85" i="12812"/>
  <c r="S85" i="12812" s="1"/>
  <c r="Y42" i="12764"/>
  <c r="L85" i="12812" s="1"/>
  <c r="W104" i="12764"/>
  <c r="F129" i="12812"/>
  <c r="S129" i="12812" s="1"/>
  <c r="Y56" i="12764"/>
  <c r="L129" i="12812" s="1"/>
  <c r="K83" i="12763"/>
  <c r="J83" i="12763"/>
  <c r="L83" i="12763" s="1"/>
  <c r="C89" i="12763"/>
  <c r="N90" i="12764"/>
  <c r="G16" i="12763"/>
  <c r="K88" i="12763"/>
  <c r="J88" i="12763"/>
  <c r="L88" i="12763" s="1"/>
  <c r="K173" i="12787"/>
  <c r="S759" i="12843"/>
  <c r="S864" i="12843" s="1"/>
  <c r="U864" i="12843" s="1"/>
  <c r="M781" i="12843"/>
  <c r="M22" i="12843"/>
  <c r="M648" i="12843"/>
  <c r="M764" i="12843"/>
  <c r="Q649" i="12843"/>
  <c r="E69" i="12811"/>
  <c r="W66" i="12764"/>
  <c r="U66" i="12764"/>
  <c r="U65" i="12764"/>
  <c r="W12" i="12764"/>
  <c r="W65" i="12764" s="1"/>
  <c r="W27" i="12764"/>
  <c r="S17" i="12812"/>
  <c r="W70" i="12764"/>
  <c r="Y12" i="12764"/>
  <c r="L22" i="12812" s="1"/>
  <c r="W57" i="12764"/>
  <c r="Y10" i="12764"/>
  <c r="L16" i="12812" s="1"/>
  <c r="W10" i="12764"/>
  <c r="H302" i="12766"/>
  <c r="H501" i="12766"/>
  <c r="K392" i="12766"/>
  <c r="D310" i="12787"/>
  <c r="H310" i="12787" s="1"/>
  <c r="H281" i="12787" s="1"/>
  <c r="H608" i="12787"/>
  <c r="H375" i="12787"/>
  <c r="H371" i="12766"/>
  <c r="H392" i="12787"/>
  <c r="H363" i="12787" s="1"/>
  <c r="K275" i="12787"/>
  <c r="K429" i="12766"/>
  <c r="K371" i="12766" s="1"/>
  <c r="D363" i="12766"/>
  <c r="D313" i="12787"/>
  <c r="H313" i="12787" s="1"/>
  <c r="H284" i="12787" s="1"/>
  <c r="K198" i="12787"/>
  <c r="K593" i="12766"/>
  <c r="D303" i="12787"/>
  <c r="G616" i="12787"/>
  <c r="K369" i="12766"/>
  <c r="D316" i="12787"/>
  <c r="H316" i="12787" s="1"/>
  <c r="D305" i="12787"/>
  <c r="H305" i="12787" s="1"/>
  <c r="H276" i="12787" s="1"/>
  <c r="D311" i="12787"/>
  <c r="H311" i="12787" s="1"/>
  <c r="H282" i="12787" s="1"/>
  <c r="D302" i="12787"/>
  <c r="D273" i="12787" s="1"/>
  <c r="K315" i="12766"/>
  <c r="K286" i="12766" s="1"/>
  <c r="H618" i="12787"/>
  <c r="D252" i="12766"/>
  <c r="D196" i="12766" s="1"/>
  <c r="D167" i="12766" s="1"/>
  <c r="M167" i="12766" s="1"/>
  <c r="D314" i="12787"/>
  <c r="H314" i="12787" s="1"/>
  <c r="H285" i="12787" s="1"/>
  <c r="C288" i="12787"/>
  <c r="D309" i="12787"/>
  <c r="H309" i="12787" s="1"/>
  <c r="H280" i="12787" s="1"/>
  <c r="D244" i="12766"/>
  <c r="D274" i="12766"/>
  <c r="D312" i="12787"/>
  <c r="H312" i="12787" s="1"/>
  <c r="H283" i="12787" s="1"/>
  <c r="D315" i="12787"/>
  <c r="H315" i="12787" s="1"/>
  <c r="H286" i="12787" s="1"/>
  <c r="K310" i="12766"/>
  <c r="K281" i="12766" s="1"/>
  <c r="K400" i="12766"/>
  <c r="K614" i="12766"/>
  <c r="G618" i="12787"/>
  <c r="K304" i="12766"/>
  <c r="K275" i="12766" s="1"/>
  <c r="K498" i="12766"/>
  <c r="D273" i="12766"/>
  <c r="G747" i="12787"/>
  <c r="G758" i="12787" s="1"/>
  <c r="K771" i="12766"/>
  <c r="S776" i="12766" s="1"/>
  <c r="U776" i="12766" s="1"/>
  <c r="D257" i="12766"/>
  <c r="D201" i="12766" s="1"/>
  <c r="D172" i="12766" s="1"/>
  <c r="M172" i="12766" s="1"/>
  <c r="K651" i="12766"/>
  <c r="H227" i="12766"/>
  <c r="H231" i="12766" s="1"/>
  <c r="H615" i="12787"/>
  <c r="H373" i="12787"/>
  <c r="H373" i="12766"/>
  <c r="K622" i="12766"/>
  <c r="O16" i="12766"/>
  <c r="K171" i="12787"/>
  <c r="H610" i="12787"/>
  <c r="H568" i="12787"/>
  <c r="H574" i="12787" s="1"/>
  <c r="H576" i="12787" s="1"/>
  <c r="D276" i="12766"/>
  <c r="K362" i="12787"/>
  <c r="K363" i="12787"/>
  <c r="K273" i="12766"/>
  <c r="K621" i="12766"/>
  <c r="K399" i="12766"/>
  <c r="K370" i="12766" s="1"/>
  <c r="D251" i="12766"/>
  <c r="D195" i="12766" s="1"/>
  <c r="D166" i="12766" s="1"/>
  <c r="M166" i="12766" s="1"/>
  <c r="D246" i="12766"/>
  <c r="H303" i="12766"/>
  <c r="H274" i="12766" s="1"/>
  <c r="K616" i="12787"/>
  <c r="D362" i="12787"/>
  <c r="D255" i="12766"/>
  <c r="D199" i="12766" s="1"/>
  <c r="D170" i="12766" s="1"/>
  <c r="M170" i="12766" s="1"/>
  <c r="H812" i="12766"/>
  <c r="D250" i="12766"/>
  <c r="H250" i="12766" s="1"/>
  <c r="H194" i="12766" s="1"/>
  <c r="H165" i="12766" s="1"/>
  <c r="K591" i="12787"/>
  <c r="U583" i="12787" s="1"/>
  <c r="W583" i="12787" s="1"/>
  <c r="K596" i="12787"/>
  <c r="D243" i="12766"/>
  <c r="D187" i="12766" s="1"/>
  <c r="C261" i="12766"/>
  <c r="D254" i="12766"/>
  <c r="H254" i="12766" s="1"/>
  <c r="H198" i="12766" s="1"/>
  <c r="H169" i="12766" s="1"/>
  <c r="D258" i="12766"/>
  <c r="H258" i="12766" s="1"/>
  <c r="H202" i="12766" s="1"/>
  <c r="D245" i="12766"/>
  <c r="K245" i="12766" s="1"/>
  <c r="K189" i="12766" s="1"/>
  <c r="C203" i="12766"/>
  <c r="D253" i="12766"/>
  <c r="D197" i="12766" s="1"/>
  <c r="D168" i="12766" s="1"/>
  <c r="M168" i="12766" s="1"/>
  <c r="D247" i="12766"/>
  <c r="D256" i="12766"/>
  <c r="K256" i="12766" s="1"/>
  <c r="K200" i="12766" s="1"/>
  <c r="H613" i="12787"/>
  <c r="K612" i="12766"/>
  <c r="K401" i="12766"/>
  <c r="H372" i="12787"/>
  <c r="K402" i="12766"/>
  <c r="K313" i="12766"/>
  <c r="K284" i="12766" s="1"/>
  <c r="K801" i="12766"/>
  <c r="K773" i="12766" s="1"/>
  <c r="S777" i="12766" s="1"/>
  <c r="U777" i="12766" s="1"/>
  <c r="H386" i="12766"/>
  <c r="H357" i="12766" s="1"/>
  <c r="H151" i="12766" s="1"/>
  <c r="H616" i="12787"/>
  <c r="K397" i="12766"/>
  <c r="K368" i="12766" s="1"/>
  <c r="D781" i="12766"/>
  <c r="M781" i="12766" s="1"/>
  <c r="H969" i="12787"/>
  <c r="H943" i="12787" s="1"/>
  <c r="K501" i="12766"/>
  <c r="K317" i="12787"/>
  <c r="G619" i="12787"/>
  <c r="D357" i="12766"/>
  <c r="D151" i="12766" s="1"/>
  <c r="M151" i="12766" s="1"/>
  <c r="H861" i="12787"/>
  <c r="H805" i="12787" s="1"/>
  <c r="H777" i="12787" s="1"/>
  <c r="H495" i="12787"/>
  <c r="D798" i="12787"/>
  <c r="D770" i="12787" s="1"/>
  <c r="M770" i="12787" s="1"/>
  <c r="D253" i="12787"/>
  <c r="H253" i="12787" s="1"/>
  <c r="D241" i="12787"/>
  <c r="H241" i="12787" s="1"/>
  <c r="D252" i="12787"/>
  <c r="H252" i="12787" s="1"/>
  <c r="D245" i="12787"/>
  <c r="H245" i="12787" s="1"/>
  <c r="C261" i="12787"/>
  <c r="U481" i="12787"/>
  <c r="W481" i="12787" s="1"/>
  <c r="H59" i="12766"/>
  <c r="H61" i="12766" s="1"/>
  <c r="K492" i="12766"/>
  <c r="H287" i="12787"/>
  <c r="D244" i="12787"/>
  <c r="H244" i="12787" s="1"/>
  <c r="M18" i="12766"/>
  <c r="D812" i="12787"/>
  <c r="D784" i="12787" s="1"/>
  <c r="M784" i="12787" s="1"/>
  <c r="H273" i="12766"/>
  <c r="H812" i="12787"/>
  <c r="H784" i="12787" s="1"/>
  <c r="H806" i="12766"/>
  <c r="H778" i="12766" s="1"/>
  <c r="H497" i="12766"/>
  <c r="D251" i="12787"/>
  <c r="H251" i="12787" s="1"/>
  <c r="D258" i="12787"/>
  <c r="H258" i="12787" s="1"/>
  <c r="D249" i="12787"/>
  <c r="K499" i="12766"/>
  <c r="H76" i="12787"/>
  <c r="H78" i="12787" s="1"/>
  <c r="H773" i="12766"/>
  <c r="R777" i="12766" s="1"/>
  <c r="G798" i="12787"/>
  <c r="G770" i="12787" s="1"/>
  <c r="H869" i="12766"/>
  <c r="H871" i="12766" s="1"/>
  <c r="G896" i="12787"/>
  <c r="D257" i="12787"/>
  <c r="H257" i="12787" s="1"/>
  <c r="D250" i="12787"/>
  <c r="D194" i="12787" s="1"/>
  <c r="D165" i="12787" s="1"/>
  <c r="M165" i="12787" s="1"/>
  <c r="D256" i="12787"/>
  <c r="H256" i="12787" s="1"/>
  <c r="C1019" i="12766"/>
  <c r="H418" i="12766"/>
  <c r="G805" i="12787"/>
  <c r="G777" i="12787" s="1"/>
  <c r="C1020" i="12766"/>
  <c r="K953" i="12766"/>
  <c r="K955" i="12766" s="1"/>
  <c r="K615" i="12787"/>
  <c r="K503" i="12766"/>
  <c r="G275" i="12766"/>
  <c r="G161" i="12766" s="1"/>
  <c r="D797" i="12787"/>
  <c r="D769" i="12787" s="1"/>
  <c r="M769" i="12787" s="1"/>
  <c r="H619" i="12787"/>
  <c r="K798" i="12766"/>
  <c r="K770" i="12766" s="1"/>
  <c r="H491" i="12766"/>
  <c r="H389" i="12787"/>
  <c r="H360" i="12787" s="1"/>
  <c r="K497" i="12766"/>
  <c r="K372" i="12787"/>
  <c r="K170" i="12787" s="1"/>
  <c r="K372" i="12766"/>
  <c r="H368" i="12766"/>
  <c r="G25" i="12787"/>
  <c r="K346" i="12766"/>
  <c r="K348" i="12766" s="1"/>
  <c r="C484" i="12843"/>
  <c r="C196" i="12843"/>
  <c r="C200" i="12843" s="1"/>
  <c r="Q186" i="12843"/>
  <c r="U186" i="12843"/>
  <c r="F535" i="12843"/>
  <c r="Q520" i="12843"/>
  <c r="Q485" i="12843" s="1"/>
  <c r="M520" i="12843"/>
  <c r="M485" i="12843" s="1"/>
  <c r="C483" i="12843"/>
  <c r="C195" i="12843"/>
  <c r="C199" i="12843" s="1"/>
  <c r="Q518" i="12843"/>
  <c r="Q483" i="12843" s="1"/>
  <c r="M518" i="12843"/>
  <c r="M483" i="12843" s="1"/>
  <c r="Q187" i="12843"/>
  <c r="U187" i="12843"/>
  <c r="M519" i="12843"/>
  <c r="M484" i="12843" s="1"/>
  <c r="Q519" i="12843"/>
  <c r="Q484" i="12843" s="1"/>
  <c r="C485" i="12843"/>
  <c r="C197" i="12843"/>
  <c r="C201" i="12843" s="1"/>
  <c r="C71" i="12764"/>
  <c r="C116" i="12764" s="1"/>
  <c r="C117" i="12764" s="1"/>
  <c r="C72" i="12763"/>
  <c r="C67" i="12763"/>
  <c r="K71" i="12763"/>
  <c r="S81" i="12764"/>
  <c r="O923" i="12766"/>
  <c r="P923" i="12766"/>
  <c r="H797" i="12787"/>
  <c r="H769" i="12787" s="1"/>
  <c r="H428" i="12766"/>
  <c r="H370" i="12766" s="1"/>
  <c r="G173" i="12787"/>
  <c r="K172" i="12787"/>
  <c r="G615" i="12787"/>
  <c r="K784" i="12766"/>
  <c r="S495" i="12766"/>
  <c r="G676" i="12787"/>
  <c r="K869" i="12766"/>
  <c r="K871" i="12766" s="1"/>
  <c r="K502" i="12766"/>
  <c r="H362" i="12766"/>
  <c r="K274" i="12766"/>
  <c r="K782" i="12766"/>
  <c r="U768" i="12787"/>
  <c r="W768" i="12787" s="1"/>
  <c r="G259" i="12766"/>
  <c r="G261" i="12766" s="1"/>
  <c r="T495" i="12766"/>
  <c r="V495" i="12766" s="1"/>
  <c r="K780" i="12766"/>
  <c r="H607" i="12787"/>
  <c r="I215" i="12843"/>
  <c r="G574" i="12787"/>
  <c r="H346" i="12787"/>
  <c r="H348" i="12787" s="1"/>
  <c r="D360" i="12766"/>
  <c r="O912" i="12766"/>
  <c r="G802" i="12787"/>
  <c r="G774" i="12787" s="1"/>
  <c r="J75" i="12763"/>
  <c r="L75" i="12763" s="1"/>
  <c r="H810" i="12766"/>
  <c r="H782" i="12766" s="1"/>
  <c r="H386" i="12787"/>
  <c r="H357" i="12787" s="1"/>
  <c r="H151" i="12787" s="1"/>
  <c r="G676" i="12766"/>
  <c r="G678" i="12766" s="1"/>
  <c r="H896" i="12787"/>
  <c r="H898" i="12787" s="1"/>
  <c r="D361" i="12787"/>
  <c r="H496" i="12787"/>
  <c r="I648" i="12843"/>
  <c r="D942" i="12787"/>
  <c r="M942" i="12787" s="1"/>
  <c r="M945" i="12787" s="1"/>
  <c r="H968" i="12787"/>
  <c r="H942" i="12787" s="1"/>
  <c r="K500" i="12766"/>
  <c r="K472" i="12766"/>
  <c r="K474" i="12766" s="1"/>
  <c r="K491" i="12766"/>
  <c r="T494" i="12766" s="1"/>
  <c r="V494" i="12766" s="1"/>
  <c r="K774" i="12766"/>
  <c r="G231" i="12766"/>
  <c r="G233" i="12766" s="1"/>
  <c r="K367" i="12787"/>
  <c r="K165" i="12787" s="1"/>
  <c r="H374" i="12787"/>
  <c r="K371" i="12787"/>
  <c r="K169" i="12787" s="1"/>
  <c r="G727" i="12787"/>
  <c r="G801" i="12787"/>
  <c r="G773" i="12787" s="1"/>
  <c r="G496" i="12787"/>
  <c r="K431" i="12766"/>
  <c r="K373" i="12766" s="1"/>
  <c r="G76" i="12763"/>
  <c r="K76" i="12763" s="1"/>
  <c r="I947" i="12843"/>
  <c r="G782" i="12843"/>
  <c r="G864" i="12843"/>
  <c r="I864" i="12843" s="1"/>
  <c r="S782" i="12843"/>
  <c r="X10" i="12764"/>
  <c r="X27" i="12764"/>
  <c r="U76" i="12764"/>
  <c r="X12" i="12764"/>
  <c r="X57" i="12764"/>
  <c r="H758" i="12787"/>
  <c r="H760" i="12787" s="1"/>
  <c r="H758" i="12766"/>
  <c r="H760" i="12766" s="1"/>
  <c r="K600" i="12787"/>
  <c r="G117" i="12766"/>
  <c r="G89" i="12766"/>
  <c r="G91" i="12766" s="1"/>
  <c r="AA11" i="12764"/>
  <c r="AA73" i="12764" s="1"/>
  <c r="AC73" i="12764" s="1"/>
  <c r="AB57" i="12764"/>
  <c r="AB27" i="12764"/>
  <c r="U114" i="12764"/>
  <c r="AC57" i="12764"/>
  <c r="AC27" i="12764"/>
  <c r="U112" i="12764"/>
  <c r="G281" i="12787"/>
  <c r="G167" i="12787" s="1"/>
  <c r="G346" i="12787"/>
  <c r="K362" i="12766"/>
  <c r="G288" i="12766"/>
  <c r="G290" i="12766" s="1"/>
  <c r="I669" i="12787"/>
  <c r="K669" i="12787" s="1"/>
  <c r="K650" i="12787"/>
  <c r="G201" i="12787"/>
  <c r="AC12" i="12764"/>
  <c r="AB12" i="12764"/>
  <c r="F69" i="12811"/>
  <c r="F145" i="12811" s="1"/>
  <c r="W38" i="12764"/>
  <c r="W40" i="12764"/>
  <c r="U85" i="12787"/>
  <c r="W85" i="12787" s="1"/>
  <c r="T85" i="12787"/>
  <c r="T86" i="12787" s="1"/>
  <c r="D91" i="12787"/>
  <c r="M85" i="12787"/>
  <c r="M89" i="12787" s="1"/>
  <c r="K758" i="12766"/>
  <c r="K760" i="12766" s="1"/>
  <c r="P761" i="12766" s="1"/>
  <c r="G574" i="12766"/>
  <c r="G576" i="12766" s="1"/>
  <c r="K619" i="12787"/>
  <c r="G275" i="12787"/>
  <c r="G317" i="12787"/>
  <c r="G429" i="12787"/>
  <c r="H429" i="12787"/>
  <c r="H371" i="12787" s="1"/>
  <c r="E83" i="12811"/>
  <c r="E100" i="12811" s="1"/>
  <c r="K59" i="12766"/>
  <c r="K17" i="12766"/>
  <c r="S65" i="12764"/>
  <c r="I17" i="12812"/>
  <c r="N17" i="12811" s="1"/>
  <c r="L17" i="12811"/>
  <c r="K81" i="12763"/>
  <c r="J81" i="12763"/>
  <c r="L81" i="12763" s="1"/>
  <c r="S82" i="12764"/>
  <c r="R82" i="12764"/>
  <c r="T82" i="12764" s="1"/>
  <c r="W13" i="12764"/>
  <c r="S18" i="12812" s="1"/>
  <c r="N30" i="12764"/>
  <c r="K472" i="12787"/>
  <c r="K474" i="12787" s="1"/>
  <c r="S43" i="12764"/>
  <c r="N99" i="12764"/>
  <c r="N102" i="12764" s="1"/>
  <c r="C108" i="12763"/>
  <c r="S25" i="12764"/>
  <c r="R25" i="12764"/>
  <c r="T25" i="12764" s="1"/>
  <c r="X106" i="12764"/>
  <c r="AC106" i="12764"/>
  <c r="AB106" i="12764"/>
  <c r="AE53" i="12764"/>
  <c r="S58" i="12764"/>
  <c r="H33" i="12783"/>
  <c r="H45" i="12783" s="1"/>
  <c r="H49" i="12783" s="1"/>
  <c r="S94" i="12764"/>
  <c r="R94" i="12764"/>
  <c r="T94" i="12764" s="1"/>
  <c r="N83" i="12764"/>
  <c r="X83" i="12764" s="1"/>
  <c r="N73" i="12764"/>
  <c r="S93" i="12764"/>
  <c r="N95" i="12764"/>
  <c r="R93" i="12764"/>
  <c r="T93" i="12764" s="1"/>
  <c r="R49" i="12764"/>
  <c r="T49" i="12764" s="1"/>
  <c r="S26" i="12764"/>
  <c r="F52" i="12812" s="1"/>
  <c r="R26" i="12764"/>
  <c r="T26" i="12764" s="1"/>
  <c r="N66" i="12764"/>
  <c r="J92" i="12763"/>
  <c r="L92" i="12763" s="1"/>
  <c r="K92" i="12763"/>
  <c r="G94" i="12763"/>
  <c r="R28" i="12764"/>
  <c r="T28" i="12764" s="1"/>
  <c r="S28" i="12764"/>
  <c r="X28" i="12764"/>
  <c r="G70" i="12763"/>
  <c r="K8" i="12763"/>
  <c r="I14" i="12811" s="1"/>
  <c r="J8" i="12763"/>
  <c r="L8" i="12763" s="1"/>
  <c r="K12" i="12763"/>
  <c r="I22" i="12811" s="1"/>
  <c r="G65" i="12763"/>
  <c r="S8" i="12764"/>
  <c r="F14" i="12812" s="1"/>
  <c r="R8" i="12764"/>
  <c r="T8" i="12764" s="1"/>
  <c r="N70" i="12764"/>
  <c r="T7" i="12764"/>
  <c r="AF7" i="12764" s="1"/>
  <c r="N69" i="12764"/>
  <c r="K74" i="12763"/>
  <c r="J74" i="12763"/>
  <c r="L74" i="12763" s="1"/>
  <c r="K104" i="12763"/>
  <c r="J104" i="12763"/>
  <c r="L104" i="12763" s="1"/>
  <c r="S75" i="12764"/>
  <c r="R75" i="12764"/>
  <c r="T75" i="12764" s="1"/>
  <c r="S10" i="12764"/>
  <c r="N76" i="12764"/>
  <c r="R10" i="12764"/>
  <c r="T10" i="12764" s="1"/>
  <c r="K54" i="12763"/>
  <c r="I127" i="12811" s="1"/>
  <c r="J54" i="12763"/>
  <c r="L54" i="12763" s="1"/>
  <c r="G106" i="12763"/>
  <c r="K57" i="12763"/>
  <c r="I130" i="12811" s="1"/>
  <c r="J57" i="12763"/>
  <c r="L57" i="12763" s="1"/>
  <c r="G112" i="12763"/>
  <c r="S112" i="12764"/>
  <c r="R112" i="12764"/>
  <c r="T112" i="12764" s="1"/>
  <c r="K38" i="12763"/>
  <c r="I80" i="12811" s="1"/>
  <c r="I83" i="12811" s="1"/>
  <c r="G96" i="12763"/>
  <c r="J38" i="12763"/>
  <c r="L38" i="12763" s="1"/>
  <c r="R114" i="12764"/>
  <c r="T114" i="12764" s="1"/>
  <c r="S114" i="12764"/>
  <c r="S79" i="12764"/>
  <c r="R79" i="12764"/>
  <c r="T79" i="12764" s="1"/>
  <c r="R43" i="12764"/>
  <c r="T43" i="12764" s="1"/>
  <c r="K56" i="12763"/>
  <c r="I129" i="12811" s="1"/>
  <c r="J56" i="12763"/>
  <c r="L56" i="12763" s="1"/>
  <c r="G102" i="12763"/>
  <c r="K37" i="12763"/>
  <c r="I77" i="12811" s="1"/>
  <c r="I78" i="12811" s="1"/>
  <c r="G86" i="12763"/>
  <c r="J37" i="12763"/>
  <c r="L37" i="12763" s="1"/>
  <c r="K35" i="12763"/>
  <c r="I73" i="12811" s="1"/>
  <c r="J35" i="12763"/>
  <c r="L35" i="12763" s="1"/>
  <c r="G79" i="12763"/>
  <c r="K25" i="12763"/>
  <c r="I49" i="12811" s="1"/>
  <c r="J25" i="12763"/>
  <c r="L25" i="12763" s="1"/>
  <c r="G834" i="12787"/>
  <c r="G806" i="12787" s="1"/>
  <c r="G778" i="12787" s="1"/>
  <c r="H834" i="12787"/>
  <c r="H240" i="12787"/>
  <c r="H184" i="12787" s="1"/>
  <c r="H154" i="12787" s="1"/>
  <c r="D184" i="12787"/>
  <c r="D154" i="12787" s="1"/>
  <c r="M154" i="12787" s="1"/>
  <c r="K34" i="12763"/>
  <c r="I72" i="12811" s="1"/>
  <c r="J34" i="12763"/>
  <c r="L34" i="12763" s="1"/>
  <c r="G43" i="12763"/>
  <c r="K41" i="12763"/>
  <c r="L41" i="12763"/>
  <c r="R58" i="12764"/>
  <c r="T58" i="12764" s="1"/>
  <c r="S108" i="12764"/>
  <c r="N110" i="12764"/>
  <c r="R108" i="12764"/>
  <c r="T108" i="12764" s="1"/>
  <c r="S87" i="12764"/>
  <c r="R87" i="12764"/>
  <c r="T87" i="12764" s="1"/>
  <c r="K55" i="12763"/>
  <c r="I128" i="12811" s="1"/>
  <c r="G58" i="12763"/>
  <c r="G107" i="12763"/>
  <c r="J55" i="12763"/>
  <c r="L55" i="12763" s="1"/>
  <c r="K27" i="12763"/>
  <c r="I53" i="12811" s="1"/>
  <c r="G110" i="12763"/>
  <c r="J27" i="12763"/>
  <c r="L27" i="12763" s="1"/>
  <c r="K26" i="12763"/>
  <c r="I52" i="12811" s="1"/>
  <c r="G66" i="12763"/>
  <c r="J66" i="12763" s="1"/>
  <c r="L66" i="12763" s="1"/>
  <c r="J26" i="12763"/>
  <c r="L26" i="12763" s="1"/>
  <c r="J7" i="12763"/>
  <c r="L7" i="12763" s="1"/>
  <c r="G69" i="12763"/>
  <c r="K7" i="12763"/>
  <c r="I13" i="12811" s="1"/>
  <c r="M758" i="12766"/>
  <c r="G727" i="12766"/>
  <c r="G729" i="12766" s="1"/>
  <c r="K574" i="12787"/>
  <c r="H771" i="12766"/>
  <c r="R776" i="12766" s="1"/>
  <c r="H784" i="12766"/>
  <c r="G61" i="12787"/>
  <c r="G88" i="12787"/>
  <c r="B28" i="12783"/>
  <c r="H88" i="12787"/>
  <c r="H143" i="12766"/>
  <c r="H89" i="12766"/>
  <c r="H91" i="12766" s="1"/>
  <c r="S109" i="12764"/>
  <c r="R109" i="12764"/>
  <c r="T109" i="12764" s="1"/>
  <c r="X88" i="12764"/>
  <c r="R88" i="12764"/>
  <c r="T88" i="12764" s="1"/>
  <c r="S88" i="12764"/>
  <c r="AE88" i="12764" s="1"/>
  <c r="G98" i="12763"/>
  <c r="C100" i="12763"/>
  <c r="G838" i="12787"/>
  <c r="G810" i="12787" s="1"/>
  <c r="G782" i="12787" s="1"/>
  <c r="H838" i="12787"/>
  <c r="G837" i="12787"/>
  <c r="G809" i="12787" s="1"/>
  <c r="G781" i="12787" s="1"/>
  <c r="H837" i="12787"/>
  <c r="K268" i="12787"/>
  <c r="K346" i="12787"/>
  <c r="D183" i="12787"/>
  <c r="H239" i="12787"/>
  <c r="H183" i="12787" s="1"/>
  <c r="H153" i="12787" s="1"/>
  <c r="J20" i="12763"/>
  <c r="L20" i="12763" s="1"/>
  <c r="G78" i="12763"/>
  <c r="K20" i="12763"/>
  <c r="I41" i="12811" s="1"/>
  <c r="S104" i="12764"/>
  <c r="R104" i="12764"/>
  <c r="T104" i="12764" s="1"/>
  <c r="M625" i="12787"/>
  <c r="S592" i="12766"/>
  <c r="U592" i="12766" s="1"/>
  <c r="G797" i="12787"/>
  <c r="G769" i="12787" s="1"/>
  <c r="C870" i="12787"/>
  <c r="C871" i="12787" s="1"/>
  <c r="C217" i="12787"/>
  <c r="K485" i="12766"/>
  <c r="H591" i="12766"/>
  <c r="R592" i="12766" s="1"/>
  <c r="H727" i="12766"/>
  <c r="H729" i="12766" s="1"/>
  <c r="K939" i="12766"/>
  <c r="D928" i="12766"/>
  <c r="M928" i="12766" s="1"/>
  <c r="H939" i="12766"/>
  <c r="M490" i="12766"/>
  <c r="M506" i="12766" s="1"/>
  <c r="D508" i="12766"/>
  <c r="J22" i="12763"/>
  <c r="L22" i="12763" s="1"/>
  <c r="G30" i="12763"/>
  <c r="G80" i="12763"/>
  <c r="K22" i="12763"/>
  <c r="I43" i="12811" s="1"/>
  <c r="G835" i="12787"/>
  <c r="H835" i="12787"/>
  <c r="G794" i="12787"/>
  <c r="G766" i="12787" s="1"/>
  <c r="G374" i="12787"/>
  <c r="G405" i="12787"/>
  <c r="C97" i="12787"/>
  <c r="Q972" i="12766"/>
  <c r="R972" i="12766" s="1"/>
  <c r="Q974" i="12766"/>
  <c r="R974" i="12766" s="1"/>
  <c r="Q977" i="12766"/>
  <c r="R977" i="12766" s="1"/>
  <c r="Q981" i="12766"/>
  <c r="R981" i="12766" s="1"/>
  <c r="Q984" i="12766"/>
  <c r="R984" i="12766" s="1"/>
  <c r="Q988" i="12766"/>
  <c r="R988" i="12766" s="1"/>
  <c r="Q990" i="12766"/>
  <c r="R990" i="12766" s="1"/>
  <c r="Q993" i="12766"/>
  <c r="R993" i="12766" s="1"/>
  <c r="Q996" i="12766"/>
  <c r="R996" i="12766" s="1"/>
  <c r="Q999" i="12766"/>
  <c r="R999" i="12766" s="1"/>
  <c r="Q973" i="12766"/>
  <c r="R973" i="12766" s="1"/>
  <c r="Q976" i="12766"/>
  <c r="R976" i="12766" s="1"/>
  <c r="Q980" i="12766"/>
  <c r="R980" i="12766" s="1"/>
  <c r="Q982" i="12766"/>
  <c r="R982" i="12766" s="1"/>
  <c r="Q985" i="12766"/>
  <c r="R985" i="12766" s="1"/>
  <c r="Q989" i="12766"/>
  <c r="R989" i="12766" s="1"/>
  <c r="Q992" i="12766"/>
  <c r="R992" i="12766" s="1"/>
  <c r="Q995" i="12766"/>
  <c r="R995" i="12766" s="1"/>
  <c r="Q997" i="12766"/>
  <c r="R997" i="12766" s="1"/>
  <c r="K945" i="12787"/>
  <c r="K254" i="12766"/>
  <c r="K198" i="12766" s="1"/>
  <c r="K252" i="12766"/>
  <c r="K196" i="12766" s="1"/>
  <c r="H252" i="12766"/>
  <c r="H196" i="12766" s="1"/>
  <c r="H167" i="12766" s="1"/>
  <c r="D188" i="12766"/>
  <c r="D159" i="12766" s="1"/>
  <c r="M159" i="12766" s="1"/>
  <c r="H244" i="12766"/>
  <c r="H188" i="12766" s="1"/>
  <c r="K244" i="12766"/>
  <c r="K188" i="12766" s="1"/>
  <c r="K258" i="12766"/>
  <c r="K202" i="12766" s="1"/>
  <c r="D193" i="12766"/>
  <c r="D164" i="12766" s="1"/>
  <c r="M164" i="12766" s="1"/>
  <c r="H249" i="12766"/>
  <c r="H193" i="12766" s="1"/>
  <c r="H164" i="12766" s="1"/>
  <c r="K249" i="12766"/>
  <c r="K193" i="12766" s="1"/>
  <c r="K164" i="12766" s="1"/>
  <c r="K183" i="12766"/>
  <c r="K153" i="12766" s="1"/>
  <c r="S166" i="12766" s="1"/>
  <c r="U166" i="12766" s="1"/>
  <c r="D153" i="12766"/>
  <c r="D186" i="12766"/>
  <c r="X42" i="12764"/>
  <c r="AC42" i="12764"/>
  <c r="AB42" i="12764"/>
  <c r="X26" i="12764"/>
  <c r="AC26" i="12764"/>
  <c r="AB26" i="12764"/>
  <c r="K29" i="12763"/>
  <c r="J29" i="12763"/>
  <c r="L29" i="12763" s="1"/>
  <c r="G87" i="12763"/>
  <c r="H857" i="12787"/>
  <c r="H801" i="12787" s="1"/>
  <c r="H773" i="12787" s="1"/>
  <c r="T771" i="12787" s="1"/>
  <c r="D871" i="12787"/>
  <c r="D801" i="12787"/>
  <c r="H865" i="12787"/>
  <c r="D809" i="12787"/>
  <c r="D781" i="12787" s="1"/>
  <c r="M781" i="12787" s="1"/>
  <c r="H862" i="12787"/>
  <c r="D806" i="12787"/>
  <c r="D778" i="12787" s="1"/>
  <c r="M778" i="12787" s="1"/>
  <c r="G863" i="12787"/>
  <c r="H863" i="12787"/>
  <c r="K701" i="12787"/>
  <c r="K599" i="12787" s="1"/>
  <c r="I720" i="12787"/>
  <c r="K720" i="12787" s="1"/>
  <c r="K488" i="12787"/>
  <c r="U483" i="12787" s="1"/>
  <c r="W483" i="12787" s="1"/>
  <c r="D276" i="12787"/>
  <c r="D275" i="12787"/>
  <c r="H304" i="12787"/>
  <c r="H275" i="12787" s="1"/>
  <c r="H104" i="12787"/>
  <c r="H89" i="12787"/>
  <c r="H91" i="12787" s="1"/>
  <c r="AB10" i="12764"/>
  <c r="AA76" i="12764"/>
  <c r="AC10" i="12764"/>
  <c r="AA65" i="12764"/>
  <c r="C524" i="12787"/>
  <c r="K361" i="12766"/>
  <c r="G758" i="12766"/>
  <c r="G760" i="12766" s="1"/>
  <c r="H676" i="12766"/>
  <c r="O23" i="12766"/>
  <c r="O25" i="12766" s="1"/>
  <c r="K779" i="12766"/>
  <c r="K727" i="12766"/>
  <c r="K729" i="12766" s="1"/>
  <c r="H807" i="12766"/>
  <c r="H779" i="12766" s="1"/>
  <c r="K624" i="12766"/>
  <c r="G506" i="12766"/>
  <c r="G508" i="12766" s="1"/>
  <c r="K363" i="12766"/>
  <c r="H375" i="12766"/>
  <c r="H619" i="12766"/>
  <c r="H618" i="12766"/>
  <c r="K619" i="12766"/>
  <c r="K618" i="12766"/>
  <c r="P922" i="12787"/>
  <c r="K758" i="12787"/>
  <c r="H42" i="12787"/>
  <c r="H892" i="12766"/>
  <c r="H781" i="12766" s="1"/>
  <c r="K892" i="12766"/>
  <c r="K781" i="12766" s="1"/>
  <c r="K573" i="12766"/>
  <c r="K574" i="12766" s="1"/>
  <c r="K576" i="12766" s="1"/>
  <c r="H573" i="12766"/>
  <c r="H574" i="12766" s="1"/>
  <c r="H576" i="12766" s="1"/>
  <c r="G813" i="12766"/>
  <c r="G843" i="12766"/>
  <c r="K231" i="12766"/>
  <c r="G25" i="12766"/>
  <c r="G27" i="12766" s="1"/>
  <c r="G44" i="12766"/>
  <c r="C218" i="12787"/>
  <c r="K797" i="12766"/>
  <c r="K769" i="12766" s="1"/>
  <c r="K841" i="12766"/>
  <c r="H797" i="12766"/>
  <c r="H769" i="12766" s="1"/>
  <c r="H841" i="12766"/>
  <c r="D815" i="12766"/>
  <c r="D773" i="12766"/>
  <c r="H484" i="12766"/>
  <c r="M80" i="12766"/>
  <c r="P92" i="12766"/>
  <c r="O92" i="12766"/>
  <c r="D929" i="12766"/>
  <c r="M929" i="12766" s="1"/>
  <c r="H940" i="12766"/>
  <c r="H929" i="12766" s="1"/>
  <c r="K940" i="12766"/>
  <c r="K929" i="12766" s="1"/>
  <c r="H490" i="12766"/>
  <c r="H540" i="12766"/>
  <c r="AB8" i="12764"/>
  <c r="X8" i="12764"/>
  <c r="AC8" i="12764"/>
  <c r="U70" i="12764"/>
  <c r="AB56" i="12764"/>
  <c r="X56" i="12764"/>
  <c r="AC56" i="12764"/>
  <c r="U104" i="12764"/>
  <c r="Y11" i="12764"/>
  <c r="X11" i="12764"/>
  <c r="K356" i="12787"/>
  <c r="K150" i="12787" s="1"/>
  <c r="K405" i="12787"/>
  <c r="G832" i="12787"/>
  <c r="H832" i="12787"/>
  <c r="H794" i="12787"/>
  <c r="H766" i="12787" s="1"/>
  <c r="H594" i="12787"/>
  <c r="T583" i="12787" s="1"/>
  <c r="H727" i="12787"/>
  <c r="H729" i="12787" s="1"/>
  <c r="K259" i="12787"/>
  <c r="K184" i="12787"/>
  <c r="C216" i="12787"/>
  <c r="O1004" i="12766"/>
  <c r="P1004" i="12766"/>
  <c r="G781" i="12766"/>
  <c r="G896" i="12766"/>
  <c r="G898" i="12766" s="1"/>
  <c r="Q905" i="12766"/>
  <c r="R905" i="12766" s="1"/>
  <c r="Q907" i="12766"/>
  <c r="R907" i="12766" s="1"/>
  <c r="Q904" i="12766"/>
  <c r="R904" i="12766" s="1"/>
  <c r="Q906" i="12766"/>
  <c r="R906" i="12766" s="1"/>
  <c r="C174" i="12766"/>
  <c r="C176" i="12766" s="1"/>
  <c r="C1006" i="12766" s="1"/>
  <c r="C1009" i="12766" s="1"/>
  <c r="C1016" i="12766" s="1"/>
  <c r="C205" i="12766"/>
  <c r="K253" i="12766"/>
  <c r="K197" i="12766" s="1"/>
  <c r="K251" i="12766"/>
  <c r="K195" i="12766" s="1"/>
  <c r="H247" i="12766"/>
  <c r="H191" i="12766" s="1"/>
  <c r="H162" i="12766" s="1"/>
  <c r="D191" i="12766"/>
  <c r="D162" i="12766" s="1"/>
  <c r="M162" i="12766" s="1"/>
  <c r="K247" i="12766"/>
  <c r="K191" i="12766" s="1"/>
  <c r="K162" i="12766" s="1"/>
  <c r="D190" i="12766"/>
  <c r="D161" i="12766" s="1"/>
  <c r="M161" i="12766" s="1"/>
  <c r="H246" i="12766"/>
  <c r="H190" i="12766" s="1"/>
  <c r="K246" i="12766"/>
  <c r="K190" i="12766" s="1"/>
  <c r="D185" i="12766"/>
  <c r="D155" i="12766" s="1"/>
  <c r="M155" i="12766" s="1"/>
  <c r="H241" i="12766"/>
  <c r="H185" i="12766" s="1"/>
  <c r="H155" i="12766" s="1"/>
  <c r="R167" i="12766" s="1"/>
  <c r="K241" i="12766"/>
  <c r="K185" i="12766" s="1"/>
  <c r="K155" i="12766" s="1"/>
  <c r="S167" i="12766" s="1"/>
  <c r="U167" i="12766" s="1"/>
  <c r="H183" i="12766"/>
  <c r="H153" i="12766" s="1"/>
  <c r="R166" i="12766" s="1"/>
  <c r="G931" i="12766"/>
  <c r="G933" i="12766" s="1"/>
  <c r="G944" i="12766"/>
  <c r="K599" i="12766"/>
  <c r="K676" i="12766"/>
  <c r="G407" i="12766"/>
  <c r="G376" i="12766"/>
  <c r="G378" i="12766" s="1"/>
  <c r="L81" i="12812"/>
  <c r="AB39" i="12764"/>
  <c r="AC39" i="12764"/>
  <c r="X39" i="12764"/>
  <c r="K813" i="12787"/>
  <c r="C759" i="12787"/>
  <c r="C760" i="12787" s="1"/>
  <c r="H866" i="12787"/>
  <c r="D810" i="12787"/>
  <c r="D782" i="12787" s="1"/>
  <c r="M782" i="12787" s="1"/>
  <c r="H864" i="12787"/>
  <c r="H808" i="12787" s="1"/>
  <c r="H780" i="12787" s="1"/>
  <c r="D808" i="12787"/>
  <c r="D780" i="12787" s="1"/>
  <c r="M780" i="12787" s="1"/>
  <c r="D799" i="12787"/>
  <c r="D771" i="12787" s="1"/>
  <c r="M771" i="12787" s="1"/>
  <c r="H855" i="12787"/>
  <c r="H799" i="12787" s="1"/>
  <c r="H771" i="12787" s="1"/>
  <c r="T770" i="12787" s="1"/>
  <c r="H858" i="12787"/>
  <c r="H802" i="12787" s="1"/>
  <c r="H774" i="12787" s="1"/>
  <c r="D802" i="12787"/>
  <c r="D774" i="12787" s="1"/>
  <c r="M774" i="12787" s="1"/>
  <c r="G860" i="12787"/>
  <c r="H860" i="12787"/>
  <c r="D274" i="12787"/>
  <c r="H303" i="12787"/>
  <c r="H274" i="12787" s="1"/>
  <c r="D193" i="12787"/>
  <c r="D164" i="12787" s="1"/>
  <c r="M164" i="12787" s="1"/>
  <c r="H249" i="12787"/>
  <c r="H193" i="12787" s="1"/>
  <c r="H164" i="12787" s="1"/>
  <c r="W47" i="12764"/>
  <c r="C123" i="12787"/>
  <c r="H774" i="12766"/>
  <c r="H361" i="12766"/>
  <c r="M625" i="12766"/>
  <c r="M25" i="12766"/>
  <c r="H798" i="12787"/>
  <c r="H770" i="12787" s="1"/>
  <c r="H676" i="12787"/>
  <c r="H770" i="12766"/>
  <c r="H624" i="12766"/>
  <c r="K360" i="12766"/>
  <c r="H363" i="12766"/>
  <c r="K375" i="12766"/>
  <c r="G619" i="12766"/>
  <c r="G618" i="12766"/>
  <c r="K600" i="12766"/>
  <c r="H405" i="12766"/>
  <c r="H923" i="12787"/>
  <c r="H925" i="12787" s="1"/>
  <c r="K434" i="12787"/>
  <c r="M758" i="12787"/>
  <c r="K500" i="12787"/>
  <c r="K540" i="12766"/>
  <c r="I47" i="12811" l="1"/>
  <c r="AE6" i="12775"/>
  <c r="Y104" i="12764"/>
  <c r="AE104" i="12764" s="1"/>
  <c r="F104" i="12812"/>
  <c r="S104" i="12812" s="1"/>
  <c r="Y47" i="12764"/>
  <c r="W112" i="12764"/>
  <c r="Y112" i="12764" s="1"/>
  <c r="AE112" i="12764" s="1"/>
  <c r="F53" i="12812"/>
  <c r="S53" i="12812" s="1"/>
  <c r="Y27" i="12764"/>
  <c r="L53" i="12812" s="1"/>
  <c r="M53" i="12812" s="1"/>
  <c r="F22" i="12812"/>
  <c r="S22" i="12812" s="1"/>
  <c r="W101" i="12764"/>
  <c r="F82" i="12812"/>
  <c r="S82" i="12812" s="1"/>
  <c r="Y40" i="12764"/>
  <c r="W97" i="12764"/>
  <c r="F80" i="12812"/>
  <c r="Y38" i="12764"/>
  <c r="L80" i="12812" s="1"/>
  <c r="W76" i="12764"/>
  <c r="Y76" i="12764" s="1"/>
  <c r="F16" i="12812"/>
  <c r="S16" i="12812" s="1"/>
  <c r="G84" i="12763"/>
  <c r="W114" i="12764"/>
  <c r="Y114" i="12764" s="1"/>
  <c r="AE114" i="12764" s="1"/>
  <c r="F130" i="12812"/>
  <c r="S130" i="12812" s="1"/>
  <c r="Y57" i="12764"/>
  <c r="L130" i="12812" s="1"/>
  <c r="Y65" i="12764"/>
  <c r="AE65" i="12764" s="1"/>
  <c r="Y70" i="12764"/>
  <c r="X112" i="12764"/>
  <c r="Y66" i="12764"/>
  <c r="F500" i="12843"/>
  <c r="F219" i="12843" s="1"/>
  <c r="U22" i="12764"/>
  <c r="K16" i="12763"/>
  <c r="G89" i="12763"/>
  <c r="N85" i="12764"/>
  <c r="S85" i="12764" s="1"/>
  <c r="F1238" i="12843"/>
  <c r="F1239" i="12843" s="1"/>
  <c r="D202" i="12766"/>
  <c r="D173" i="12766" s="1"/>
  <c r="M173" i="12766" s="1"/>
  <c r="F163" i="12843"/>
  <c r="F164" i="12843" s="1"/>
  <c r="F326" i="12843"/>
  <c r="I326" i="12843" s="1"/>
  <c r="M762" i="12843"/>
  <c r="F1294" i="12843"/>
  <c r="F1295" i="12843" s="1"/>
  <c r="O41" i="12831" s="1"/>
  <c r="K169" i="12766"/>
  <c r="F148" i="12843"/>
  <c r="C430" i="12843"/>
  <c r="C326" i="12843"/>
  <c r="C163" i="12843"/>
  <c r="K288" i="12787"/>
  <c r="F65" i="12843"/>
  <c r="I65" i="12843" s="1"/>
  <c r="F47" i="12843"/>
  <c r="I47" i="12843" s="1"/>
  <c r="C1254" i="12843"/>
  <c r="C536" i="12843"/>
  <c r="C65" i="12843"/>
  <c r="C47" i="12843"/>
  <c r="C148" i="12843"/>
  <c r="AC7" i="12775" s="1"/>
  <c r="H47" i="12811"/>
  <c r="F536" i="12843"/>
  <c r="I536" i="12843" s="1"/>
  <c r="F1225" i="12843"/>
  <c r="I1225" i="12843" s="1"/>
  <c r="F430" i="12843"/>
  <c r="I430" i="12843" s="1"/>
  <c r="C1081" i="12843"/>
  <c r="F1163" i="12843"/>
  <c r="I1163" i="12843" s="1"/>
  <c r="F1180" i="12843"/>
  <c r="F1181" i="12843" s="1"/>
  <c r="O39" i="12831" s="1"/>
  <c r="M737" i="12843"/>
  <c r="M645" i="12843"/>
  <c r="M215" i="12843"/>
  <c r="U759" i="12843"/>
  <c r="W67" i="12764"/>
  <c r="W25" i="12764"/>
  <c r="F49" i="12812" s="1"/>
  <c r="AE12" i="12764"/>
  <c r="S52" i="12812"/>
  <c r="W54" i="12764"/>
  <c r="W37" i="12764"/>
  <c r="D189" i="12766"/>
  <c r="I126" i="12812"/>
  <c r="N126" i="12811" s="1"/>
  <c r="S494" i="12766"/>
  <c r="K166" i="12766"/>
  <c r="K250" i="12766"/>
  <c r="K194" i="12766" s="1"/>
  <c r="K165" i="12766" s="1"/>
  <c r="H257" i="12766"/>
  <c r="H201" i="12766" s="1"/>
  <c r="H172" i="12766" s="1"/>
  <c r="K255" i="12766"/>
  <c r="K199" i="12766" s="1"/>
  <c r="H302" i="12787"/>
  <c r="D198" i="12766"/>
  <c r="D169" i="12766" s="1"/>
  <c r="M169" i="12766" s="1"/>
  <c r="D160" i="12766"/>
  <c r="M160" i="12766" s="1"/>
  <c r="K167" i="12766"/>
  <c r="H971" i="12787"/>
  <c r="H973" i="12787" s="1"/>
  <c r="H253" i="12766"/>
  <c r="H197" i="12766" s="1"/>
  <c r="H168" i="12766" s="1"/>
  <c r="H809" i="12787"/>
  <c r="H781" i="12787" s="1"/>
  <c r="D200" i="12766"/>
  <c r="D171" i="12766" s="1"/>
  <c r="M171" i="12766" s="1"/>
  <c r="H251" i="12766"/>
  <c r="H195" i="12766" s="1"/>
  <c r="H166" i="12766" s="1"/>
  <c r="H255" i="12766"/>
  <c r="H199" i="12766" s="1"/>
  <c r="H170" i="12766" s="1"/>
  <c r="K257" i="12766"/>
  <c r="K201" i="12766" s="1"/>
  <c r="K172" i="12766" s="1"/>
  <c r="H245" i="12766"/>
  <c r="H189" i="12766" s="1"/>
  <c r="D194" i="12766"/>
  <c r="D165" i="12766" s="1"/>
  <c r="M165" i="12766" s="1"/>
  <c r="K317" i="12766"/>
  <c r="K405" i="12766"/>
  <c r="K243" i="12766"/>
  <c r="K187" i="12766" s="1"/>
  <c r="K158" i="12766" s="1"/>
  <c r="K171" i="12766"/>
  <c r="H243" i="12766"/>
  <c r="H187" i="12766" s="1"/>
  <c r="H317" i="12766"/>
  <c r="H288" i="12766" s="1"/>
  <c r="H290" i="12766" s="1"/>
  <c r="H256" i="12766"/>
  <c r="H200" i="12766" s="1"/>
  <c r="H171" i="12766" s="1"/>
  <c r="G625" i="12787"/>
  <c r="H434" i="12766"/>
  <c r="H436" i="12766" s="1"/>
  <c r="H405" i="12787"/>
  <c r="H407" i="12787" s="1"/>
  <c r="H806" i="12787"/>
  <c r="H778" i="12787" s="1"/>
  <c r="K168" i="12766"/>
  <c r="U769" i="12787"/>
  <c r="W769" i="12787" s="1"/>
  <c r="H250" i="12787"/>
  <c r="H194" i="12787" s="1"/>
  <c r="H165" i="12787" s="1"/>
  <c r="G203" i="12766"/>
  <c r="G174" i="12766" s="1"/>
  <c r="G176" i="12766" s="1"/>
  <c r="K434" i="12766"/>
  <c r="K436" i="12766" s="1"/>
  <c r="T150" i="12787"/>
  <c r="E132" i="12812"/>
  <c r="E142" i="12812" s="1"/>
  <c r="H25" i="12766"/>
  <c r="H27" i="12766" s="1"/>
  <c r="H160" i="12766"/>
  <c r="O761" i="12766"/>
  <c r="H360" i="12766"/>
  <c r="H158" i="12766" s="1"/>
  <c r="K154" i="12787"/>
  <c r="U150" i="12787" s="1"/>
  <c r="W150" i="12787" s="1"/>
  <c r="K170" i="12766"/>
  <c r="K160" i="12766"/>
  <c r="Q201" i="12843"/>
  <c r="M201" i="12843"/>
  <c r="M200" i="12843"/>
  <c r="Q200" i="12843"/>
  <c r="M199" i="12843"/>
  <c r="Q199" i="12843"/>
  <c r="K15" i="12811"/>
  <c r="L15" i="12811" s="1"/>
  <c r="K16" i="12811"/>
  <c r="L16" i="12811" s="1"/>
  <c r="C178" i="12843"/>
  <c r="K42" i="12811"/>
  <c r="L42" i="12811" s="1"/>
  <c r="K52" i="12811"/>
  <c r="L52" i="12811" s="1"/>
  <c r="K41" i="12811"/>
  <c r="L41" i="12811" s="1"/>
  <c r="H50" i="12811"/>
  <c r="C693" i="12843"/>
  <c r="AF18" i="12775" s="1"/>
  <c r="G172" i="12787"/>
  <c r="H841" i="12787"/>
  <c r="H843" i="12787" s="1"/>
  <c r="H44" i="12811"/>
  <c r="I692" i="12843"/>
  <c r="G288" i="12787"/>
  <c r="J76" i="12763"/>
  <c r="L76" i="12763" s="1"/>
  <c r="H505" i="12766"/>
  <c r="K896" i="12766"/>
  <c r="K898" i="12766" s="1"/>
  <c r="G625" i="12766"/>
  <c r="G627" i="12766" s="1"/>
  <c r="H434" i="12787"/>
  <c r="H436" i="12787" s="1"/>
  <c r="K618" i="12787"/>
  <c r="K676" i="12787"/>
  <c r="F1254" i="12843"/>
  <c r="G869" i="12787"/>
  <c r="H810" i="12787"/>
  <c r="H782" i="12787" s="1"/>
  <c r="D158" i="12766"/>
  <c r="M158" i="12766" s="1"/>
  <c r="F1081" i="12843"/>
  <c r="K18" i="12811"/>
  <c r="C291" i="12843"/>
  <c r="H54" i="12811"/>
  <c r="I759" i="12843"/>
  <c r="S886" i="12843"/>
  <c r="U886" i="12843" s="1"/>
  <c r="G886" i="12843"/>
  <c r="I886" i="12843" s="1"/>
  <c r="I782" i="12843" s="1"/>
  <c r="V1192" i="12843"/>
  <c r="V1251" i="12843"/>
  <c r="V1161" i="12843"/>
  <c r="V1177" i="12843"/>
  <c r="V1292" i="12843"/>
  <c r="X54" i="12764"/>
  <c r="X76" i="12764"/>
  <c r="AB11" i="12764"/>
  <c r="N60" i="12764"/>
  <c r="R60" i="12764" s="1"/>
  <c r="T60" i="12764" s="1"/>
  <c r="R30" i="12764"/>
  <c r="T30" i="12764" s="1"/>
  <c r="C114" i="12763"/>
  <c r="C116" i="12763" s="1"/>
  <c r="AC11" i="12764"/>
  <c r="AC114" i="12764"/>
  <c r="AB37" i="12764"/>
  <c r="K161" i="12766"/>
  <c r="S99" i="12764"/>
  <c r="E145" i="12811"/>
  <c r="K43" i="12811"/>
  <c r="L43" i="12811" s="1"/>
  <c r="K53" i="12811"/>
  <c r="L53" i="12811" s="1"/>
  <c r="AB73" i="12764"/>
  <c r="AB112" i="12764"/>
  <c r="X114" i="12764"/>
  <c r="I50" i="12811"/>
  <c r="K49" i="12811"/>
  <c r="L49" i="12811" s="1"/>
  <c r="K14" i="12811"/>
  <c r="L14" i="12811" s="1"/>
  <c r="I23" i="12811"/>
  <c r="K22" i="12811"/>
  <c r="S30" i="12764"/>
  <c r="AC112" i="12764"/>
  <c r="AB114" i="12764"/>
  <c r="X37" i="12764"/>
  <c r="U108" i="12764"/>
  <c r="H869" i="12787"/>
  <c r="H871" i="12787" s="1"/>
  <c r="K727" i="12787"/>
  <c r="H23" i="12811"/>
  <c r="E50" i="12812"/>
  <c r="AC37" i="12764"/>
  <c r="AC54" i="12764"/>
  <c r="AB54" i="12764"/>
  <c r="K61" i="12766"/>
  <c r="K25" i="12766"/>
  <c r="K27" i="12766" s="1"/>
  <c r="G371" i="12787"/>
  <c r="G169" i="12787" s="1"/>
  <c r="G434" i="12787"/>
  <c r="G376" i="12787" s="1"/>
  <c r="I54" i="12811"/>
  <c r="I132" i="12811"/>
  <c r="I142" i="12811" s="1"/>
  <c r="AE11" i="12764"/>
  <c r="M17" i="12812"/>
  <c r="I75" i="12811"/>
  <c r="I100" i="12811" s="1"/>
  <c r="L14" i="12812"/>
  <c r="E44" i="12812"/>
  <c r="R99" i="12764"/>
  <c r="T99" i="12764" s="1"/>
  <c r="AE28" i="12764"/>
  <c r="AE10" i="12764"/>
  <c r="W93" i="12764"/>
  <c r="I44" i="12811"/>
  <c r="E54" i="12812"/>
  <c r="E47" i="12812"/>
  <c r="J17" i="12812"/>
  <c r="E23" i="12812"/>
  <c r="F86" i="12812"/>
  <c r="AE56" i="12764"/>
  <c r="I129" i="12812"/>
  <c r="G60" i="12763"/>
  <c r="K60" i="12763" s="1"/>
  <c r="L74" i="12812"/>
  <c r="X36" i="12764"/>
  <c r="AB36" i="12764"/>
  <c r="AC36" i="12764"/>
  <c r="AE8" i="12764"/>
  <c r="AE26" i="12764"/>
  <c r="AE42" i="12764"/>
  <c r="AE39" i="12764"/>
  <c r="K30" i="12763"/>
  <c r="K43" i="12763"/>
  <c r="K58" i="12763"/>
  <c r="S83" i="12764"/>
  <c r="AE83" i="12764" s="1"/>
  <c r="R83" i="12764"/>
  <c r="T83" i="12764" s="1"/>
  <c r="X73" i="12764"/>
  <c r="R73" i="12764"/>
  <c r="T73" i="12764" s="1"/>
  <c r="S73" i="12764"/>
  <c r="AE73" i="12764" s="1"/>
  <c r="S95" i="12764"/>
  <c r="R95" i="12764"/>
  <c r="T95" i="12764" s="1"/>
  <c r="R66" i="12764"/>
  <c r="T66" i="12764" s="1"/>
  <c r="S66" i="12764"/>
  <c r="N67" i="12764"/>
  <c r="K65" i="12763"/>
  <c r="J65" i="12763"/>
  <c r="L65" i="12763" s="1"/>
  <c r="J70" i="12763"/>
  <c r="L70" i="12763" s="1"/>
  <c r="K70" i="12763"/>
  <c r="J94" i="12763"/>
  <c r="L94" i="12763" s="1"/>
  <c r="K94" i="12763"/>
  <c r="S70" i="12764"/>
  <c r="R70" i="12764"/>
  <c r="T70" i="12764" s="1"/>
  <c r="N71" i="12764"/>
  <c r="R69" i="12764"/>
  <c r="T69" i="12764" s="1"/>
  <c r="S69" i="12764"/>
  <c r="K112" i="12763"/>
  <c r="J112" i="12763"/>
  <c r="L112" i="12763" s="1"/>
  <c r="K106" i="12763"/>
  <c r="J106" i="12763"/>
  <c r="L106" i="12763" s="1"/>
  <c r="S76" i="12764"/>
  <c r="N77" i="12764"/>
  <c r="R76" i="12764"/>
  <c r="T76" i="12764" s="1"/>
  <c r="S16" i="12764"/>
  <c r="R16" i="12764"/>
  <c r="T16" i="12764" s="1"/>
  <c r="K78" i="12763"/>
  <c r="J78" i="12763"/>
  <c r="L78" i="12763" s="1"/>
  <c r="K69" i="12763"/>
  <c r="J69" i="12763"/>
  <c r="L69" i="12763" s="1"/>
  <c r="G72" i="12763"/>
  <c r="K110" i="12763"/>
  <c r="J110" i="12763"/>
  <c r="L110" i="12763" s="1"/>
  <c r="S90" i="12764"/>
  <c r="R90" i="12764"/>
  <c r="T90" i="12764" s="1"/>
  <c r="S102" i="12764"/>
  <c r="R102" i="12764"/>
  <c r="T102" i="12764" s="1"/>
  <c r="L99" i="12763"/>
  <c r="K99" i="12763"/>
  <c r="K79" i="12763"/>
  <c r="J79" i="12763"/>
  <c r="L79" i="12763" s="1"/>
  <c r="K86" i="12763"/>
  <c r="J86" i="12763"/>
  <c r="L86" i="12763" s="1"/>
  <c r="K102" i="12763"/>
  <c r="J102" i="12763"/>
  <c r="L102" i="12763" s="1"/>
  <c r="G43" i="12787"/>
  <c r="D153" i="12787"/>
  <c r="D186" i="12787"/>
  <c r="G100" i="12763"/>
  <c r="J98" i="12763"/>
  <c r="L98" i="12763" s="1"/>
  <c r="K98" i="12763"/>
  <c r="B30" i="12783"/>
  <c r="B33" i="12783" s="1"/>
  <c r="K66" i="12763"/>
  <c r="G67" i="12763"/>
  <c r="G994" i="12787"/>
  <c r="K107" i="12763"/>
  <c r="G108" i="12763"/>
  <c r="J107" i="12763"/>
  <c r="L107" i="12763" s="1"/>
  <c r="S110" i="12764"/>
  <c r="R110" i="12764"/>
  <c r="T110" i="12764" s="1"/>
  <c r="K96" i="12763"/>
  <c r="J96" i="12763"/>
  <c r="L96" i="12763" s="1"/>
  <c r="C983" i="12787"/>
  <c r="C984" i="12787" s="1"/>
  <c r="C972" i="12787"/>
  <c r="C1031" i="12787"/>
  <c r="C1032" i="12787" s="1"/>
  <c r="C406" i="12787"/>
  <c r="C318" i="12787"/>
  <c r="C232" i="12787"/>
  <c r="C204" i="12787" s="1"/>
  <c r="C994" i="12787"/>
  <c r="C995" i="12787" s="1"/>
  <c r="C842" i="12787"/>
  <c r="C541" i="12787"/>
  <c r="C507" i="12787" s="1"/>
  <c r="K506" i="12766"/>
  <c r="K508" i="12766" s="1"/>
  <c r="K542" i="12766"/>
  <c r="H407" i="12766"/>
  <c r="K625" i="12766"/>
  <c r="K627" i="12766" s="1"/>
  <c r="K678" i="12766"/>
  <c r="G972" i="12787"/>
  <c r="G983" i="12787"/>
  <c r="G318" i="12787"/>
  <c r="G406" i="12787"/>
  <c r="G407" i="12787" s="1"/>
  <c r="G260" i="12787"/>
  <c r="G728" i="12787"/>
  <c r="U67" i="12764"/>
  <c r="X65" i="12764"/>
  <c r="X70" i="12764"/>
  <c r="AC70" i="12764"/>
  <c r="AB70" i="12764"/>
  <c r="X480" i="12766"/>
  <c r="S493" i="12766"/>
  <c r="S775" i="12766"/>
  <c r="U775" i="12766" s="1"/>
  <c r="P766" i="12766"/>
  <c r="C190" i="12787"/>
  <c r="C161" i="12787" s="1"/>
  <c r="G218" i="12787"/>
  <c r="G190" i="12787" s="1"/>
  <c r="G161" i="12787" s="1"/>
  <c r="K218" i="12787"/>
  <c r="K190" i="12787" s="1"/>
  <c r="K161" i="12787" s="1"/>
  <c r="K233" i="12766"/>
  <c r="H25" i="12787"/>
  <c r="H27" i="12787" s="1"/>
  <c r="H44" i="12787"/>
  <c r="P16" i="12766"/>
  <c r="P18" i="12766"/>
  <c r="P21" i="12766"/>
  <c r="P17" i="12766"/>
  <c r="P20" i="12766"/>
  <c r="P22" i="12766"/>
  <c r="H625" i="12766"/>
  <c r="H627" i="12766" s="1"/>
  <c r="H678" i="12766"/>
  <c r="K407" i="12766"/>
  <c r="G935" i="12787"/>
  <c r="K87" i="12763"/>
  <c r="J87" i="12763"/>
  <c r="L87" i="12763" s="1"/>
  <c r="C728" i="12787"/>
  <c r="C729" i="12787" s="1"/>
  <c r="X66" i="12764"/>
  <c r="AC66" i="12764"/>
  <c r="AB66" i="12764"/>
  <c r="D1020" i="12766"/>
  <c r="D157" i="12766"/>
  <c r="D1019" i="12766" s="1"/>
  <c r="C924" i="12787"/>
  <c r="C925" i="12787" s="1"/>
  <c r="G1031" i="12787"/>
  <c r="C84" i="12787"/>
  <c r="G97" i="12787"/>
  <c r="K97" i="12787"/>
  <c r="C98" i="12787"/>
  <c r="C102" i="12787" s="1"/>
  <c r="G103" i="12787"/>
  <c r="G541" i="12787"/>
  <c r="C103" i="12787"/>
  <c r="G575" i="12787"/>
  <c r="T493" i="12766"/>
  <c r="V493" i="12766" s="1"/>
  <c r="P480" i="12766"/>
  <c r="X481" i="12766"/>
  <c r="C189" i="12787"/>
  <c r="C160" i="12787" s="1"/>
  <c r="G217" i="12787"/>
  <c r="G189" i="12787" s="1"/>
  <c r="G160" i="12787" s="1"/>
  <c r="K217" i="12787"/>
  <c r="K189" i="12787" s="1"/>
  <c r="K160" i="12787" s="1"/>
  <c r="C60" i="12787"/>
  <c r="C61" i="12787" s="1"/>
  <c r="AB38" i="12764"/>
  <c r="X38" i="12764"/>
  <c r="AC38" i="12764"/>
  <c r="U97" i="12764"/>
  <c r="H161" i="12766"/>
  <c r="T768" i="12787"/>
  <c r="T769" i="12787" s="1"/>
  <c r="G804" i="12787"/>
  <c r="G776" i="12787" s="1"/>
  <c r="R775" i="12766"/>
  <c r="H896" i="12766"/>
  <c r="H898" i="12766" s="1"/>
  <c r="K173" i="12766"/>
  <c r="H173" i="12766"/>
  <c r="H159" i="12766"/>
  <c r="G841" i="12787"/>
  <c r="H807" i="12787"/>
  <c r="H779" i="12787" s="1"/>
  <c r="M931" i="12766"/>
  <c r="H233" i="12766"/>
  <c r="H319" i="12766"/>
  <c r="H625" i="12787"/>
  <c r="H627" i="12787" s="1"/>
  <c r="H678" i="12787"/>
  <c r="G123" i="12787"/>
  <c r="K123" i="12787"/>
  <c r="C124" i="12787"/>
  <c r="C128" i="12787" s="1"/>
  <c r="G924" i="12787"/>
  <c r="C116" i="12787"/>
  <c r="C117" i="12787" s="1"/>
  <c r="C142" i="12787"/>
  <c r="C143" i="12787" s="1"/>
  <c r="G897" i="12787"/>
  <c r="G347" i="12787"/>
  <c r="C935" i="12787"/>
  <c r="C936" i="12787" s="1"/>
  <c r="K785" i="12787"/>
  <c r="C43" i="12787"/>
  <c r="G142" i="12787"/>
  <c r="G116" i="12787"/>
  <c r="C231" i="12787"/>
  <c r="C188" i="12787"/>
  <c r="C159" i="12787" s="1"/>
  <c r="G216" i="12787"/>
  <c r="K216" i="12787"/>
  <c r="G232" i="12787"/>
  <c r="G77" i="12787"/>
  <c r="G759" i="12787"/>
  <c r="G435" i="12787"/>
  <c r="K376" i="12787"/>
  <c r="X104" i="12764"/>
  <c r="AC104" i="12764"/>
  <c r="AB104" i="12764"/>
  <c r="H506" i="12766"/>
  <c r="H508" i="12766" s="1"/>
  <c r="H542" i="12766"/>
  <c r="M773" i="12766"/>
  <c r="M785" i="12766" s="1"/>
  <c r="D787" i="12766"/>
  <c r="D1006" i="12766" s="1"/>
  <c r="D1009" i="12766" s="1"/>
  <c r="D1016" i="12766" s="1"/>
  <c r="H813" i="12766"/>
  <c r="H843" i="12766"/>
  <c r="K813" i="12766"/>
  <c r="K843" i="12766"/>
  <c r="C897" i="12787"/>
  <c r="G785" i="12766"/>
  <c r="G787" i="12766" s="1"/>
  <c r="G815" i="12766"/>
  <c r="C525" i="12787"/>
  <c r="C540" i="12787" s="1"/>
  <c r="C490" i="12787"/>
  <c r="G524" i="12787"/>
  <c r="K524" i="12787"/>
  <c r="AB65" i="12764"/>
  <c r="AC65" i="12764"/>
  <c r="AA67" i="12764"/>
  <c r="AC76" i="12764"/>
  <c r="AB76" i="12764"/>
  <c r="H273" i="12787"/>
  <c r="H317" i="12787"/>
  <c r="D773" i="12787"/>
  <c r="D815" i="12787"/>
  <c r="C677" i="12787"/>
  <c r="M153" i="12766"/>
  <c r="D156" i="12766"/>
  <c r="G129" i="12787"/>
  <c r="K129" i="12787" s="1"/>
  <c r="C129" i="12787"/>
  <c r="G677" i="12787"/>
  <c r="K80" i="12763"/>
  <c r="J80" i="12763"/>
  <c r="L80" i="12763" s="1"/>
  <c r="H942" i="12766"/>
  <c r="H928" i="12766"/>
  <c r="K928" i="12766"/>
  <c r="K942" i="12766"/>
  <c r="H804" i="12787"/>
  <c r="H776" i="12787" s="1"/>
  <c r="K505" i="12766"/>
  <c r="K159" i="12766"/>
  <c r="G807" i="12787"/>
  <c r="G779" i="12787" s="1"/>
  <c r="H259" i="12787"/>
  <c r="H261" i="12787" s="1"/>
  <c r="C327" i="12843" l="1"/>
  <c r="AF14" i="12775" s="1"/>
  <c r="AC14" i="12775"/>
  <c r="C66" i="12843"/>
  <c r="AF20" i="12775" s="1"/>
  <c r="AC20" i="12775"/>
  <c r="C431" i="12843"/>
  <c r="AF15" i="12775" s="1"/>
  <c r="AC15" i="12775"/>
  <c r="C1045" i="12843"/>
  <c r="C1046" i="12843" s="1"/>
  <c r="AC19" i="12775"/>
  <c r="C537" i="12843"/>
  <c r="AF16" i="12775" s="1"/>
  <c r="AC16" i="12775"/>
  <c r="C1255" i="12843"/>
  <c r="AC21" i="12775"/>
  <c r="U7" i="12775"/>
  <c r="H53" i="12775" s="1"/>
  <c r="X7" i="12775"/>
  <c r="K53" i="12775" s="1"/>
  <c r="Y7" i="12775"/>
  <c r="L53" i="12775" s="1"/>
  <c r="V7" i="12775"/>
  <c r="I53" i="12775" s="1"/>
  <c r="Z7" i="12775"/>
  <c r="M53" i="12775" s="1"/>
  <c r="W7" i="12775"/>
  <c r="J53" i="12775" s="1"/>
  <c r="T7" i="12775"/>
  <c r="G53" i="12775" s="1"/>
  <c r="AB7" i="12775"/>
  <c r="O53" i="12775" s="1"/>
  <c r="R7" i="12775"/>
  <c r="E53" i="12775" s="1"/>
  <c r="S7" i="12775"/>
  <c r="F53" i="12775" s="1"/>
  <c r="AA7" i="12775"/>
  <c r="N53" i="12775" s="1"/>
  <c r="Q7" i="12775"/>
  <c r="D53" i="12775" s="1"/>
  <c r="AE7" i="12775"/>
  <c r="Q53" i="12775" s="1"/>
  <c r="C164" i="12843"/>
  <c r="AF8" i="12775" s="1"/>
  <c r="AC8" i="12775"/>
  <c r="C292" i="12843"/>
  <c r="AF11" i="12775" s="1"/>
  <c r="AC11" i="12775"/>
  <c r="C179" i="12843"/>
  <c r="AF9" i="12775" s="1"/>
  <c r="AC9" i="12775"/>
  <c r="C48" i="12843"/>
  <c r="AF10" i="12775" s="1"/>
  <c r="AC10" i="12775"/>
  <c r="K46" i="12811"/>
  <c r="K47" i="12811" s="1"/>
  <c r="AE27" i="12764"/>
  <c r="J30" i="12783"/>
  <c r="AF21" i="12775"/>
  <c r="S60" i="12764"/>
  <c r="S54" i="12812"/>
  <c r="Q52" i="12775"/>
  <c r="I53" i="12812"/>
  <c r="J53" i="12812" s="1"/>
  <c r="N53" i="12812" s="1"/>
  <c r="Y97" i="12764"/>
  <c r="AE97" i="12764" s="1"/>
  <c r="F23" i="12812"/>
  <c r="I22" i="12812"/>
  <c r="I23" i="12812" s="1"/>
  <c r="AE76" i="12764"/>
  <c r="I130" i="12812"/>
  <c r="N130" i="12811" s="1"/>
  <c r="AE57" i="12764"/>
  <c r="S80" i="12812"/>
  <c r="S83" i="12812" s="1"/>
  <c r="F83" i="12812"/>
  <c r="W108" i="12764"/>
  <c r="Y108" i="12764" s="1"/>
  <c r="AE108" i="12764" s="1"/>
  <c r="Y54" i="12764"/>
  <c r="L127" i="12812" s="1"/>
  <c r="F127" i="12812"/>
  <c r="C149" i="12843"/>
  <c r="AF7" i="12775" s="1"/>
  <c r="C100" i="12843"/>
  <c r="I148" i="12843"/>
  <c r="Y37" i="12764"/>
  <c r="L77" i="12812" s="1"/>
  <c r="F77" i="12812"/>
  <c r="I77" i="12812" s="1"/>
  <c r="J77" i="12812" s="1"/>
  <c r="Y67" i="12764"/>
  <c r="F50" i="12812"/>
  <c r="S49" i="12812"/>
  <c r="I49" i="12812"/>
  <c r="W99" i="12764"/>
  <c r="W102" i="12764" s="1"/>
  <c r="Y25" i="12764"/>
  <c r="L49" i="12812" s="1"/>
  <c r="AC108" i="12764"/>
  <c r="I1238" i="12843"/>
  <c r="K19" i="12811"/>
  <c r="L19" i="12811" s="1"/>
  <c r="S14" i="12812"/>
  <c r="I20" i="12811"/>
  <c r="I38" i="12811" s="1"/>
  <c r="H20" i="12811"/>
  <c r="I1294" i="12843"/>
  <c r="F431" i="12843"/>
  <c r="F1164" i="12843"/>
  <c r="O38" i="12831" s="1"/>
  <c r="F537" i="12843"/>
  <c r="F327" i="12843"/>
  <c r="F66" i="12843"/>
  <c r="F149" i="12843"/>
  <c r="L31" i="12831"/>
  <c r="I163" i="12843"/>
  <c r="F1226" i="12843"/>
  <c r="L38" i="12783"/>
  <c r="C987" i="12843"/>
  <c r="C988" i="12843" s="1"/>
  <c r="C1082" i="12843"/>
  <c r="AF19" i="12775" s="1"/>
  <c r="F1194" i="12843"/>
  <c r="F1195" i="12843" s="1"/>
  <c r="L39" i="12783" s="1"/>
  <c r="I1180" i="12843"/>
  <c r="F178" i="12843"/>
  <c r="I178" i="12843" s="1"/>
  <c r="F48" i="12843"/>
  <c r="L40" i="12783"/>
  <c r="F291" i="12843"/>
  <c r="I291" i="12843" s="1"/>
  <c r="C118" i="12843"/>
  <c r="AF6" i="12775" s="1"/>
  <c r="AF12" i="12775" s="1"/>
  <c r="H945" i="12787"/>
  <c r="H947" i="12787" s="1"/>
  <c r="U782" i="12843"/>
  <c r="Q650" i="12843"/>
  <c r="F1119" i="12843"/>
  <c r="I1119" i="12843" s="1"/>
  <c r="M1119" i="12843" s="1"/>
  <c r="F835" i="12843"/>
  <c r="F836" i="12843" s="1"/>
  <c r="F730" i="12843"/>
  <c r="F652" i="12843" s="1"/>
  <c r="I652" i="12843" s="1"/>
  <c r="F360" i="12843"/>
  <c r="I360" i="12843" s="1"/>
  <c r="C1119" i="12843"/>
  <c r="C1180" i="12843"/>
  <c r="E86" i="12812"/>
  <c r="F571" i="12843"/>
  <c r="F572" i="12843" s="1"/>
  <c r="C360" i="12843"/>
  <c r="K130" i="12811"/>
  <c r="L130" i="12811" s="1"/>
  <c r="C1100" i="12843"/>
  <c r="F1100" i="12843"/>
  <c r="I1100" i="12843" s="1"/>
  <c r="C1225" i="12843"/>
  <c r="C730" i="12843"/>
  <c r="AC27" i="12775" s="1"/>
  <c r="K85" i="12811"/>
  <c r="K86" i="12811" s="1"/>
  <c r="C1163" i="12843"/>
  <c r="C16" i="12859"/>
  <c r="K129" i="12811"/>
  <c r="L129" i="12811" s="1"/>
  <c r="F912" i="12843"/>
  <c r="C888" i="12843"/>
  <c r="K105" i="12811"/>
  <c r="L105" i="12811" s="1"/>
  <c r="E78" i="12812"/>
  <c r="K128" i="12811"/>
  <c r="L128" i="12811" s="1"/>
  <c r="H78" i="12811"/>
  <c r="F888" i="12843"/>
  <c r="F465" i="12843"/>
  <c r="F466" i="12843" s="1"/>
  <c r="H86" i="12811"/>
  <c r="I80" i="12812"/>
  <c r="N80" i="12811" s="1"/>
  <c r="C83" i="12843"/>
  <c r="C1238" i="12843"/>
  <c r="I81" i="12812"/>
  <c r="J81" i="12812" s="1"/>
  <c r="K127" i="12811"/>
  <c r="L127" i="12811" s="1"/>
  <c r="K77" i="12811"/>
  <c r="L77" i="12811" s="1"/>
  <c r="E83" i="12812"/>
  <c r="K81" i="12811"/>
  <c r="L81" i="12811" s="1"/>
  <c r="C835" i="12843"/>
  <c r="C1294" i="12843"/>
  <c r="I85" i="12812"/>
  <c r="N85" i="12811" s="1"/>
  <c r="K72" i="12811"/>
  <c r="L72" i="12811" s="1"/>
  <c r="K126" i="12811"/>
  <c r="L126" i="12811" s="1"/>
  <c r="K82" i="12811"/>
  <c r="L82" i="12811" s="1"/>
  <c r="E75" i="12812"/>
  <c r="I74" i="12812"/>
  <c r="N74" i="12811" s="1"/>
  <c r="K74" i="12811"/>
  <c r="L74" i="12811" s="1"/>
  <c r="C571" i="12843"/>
  <c r="F83" i="12843"/>
  <c r="I83" i="12843" s="1"/>
  <c r="H132" i="12811"/>
  <c r="H142" i="12811" s="1"/>
  <c r="H106" i="12811"/>
  <c r="H122" i="12811" s="1"/>
  <c r="E106" i="12812"/>
  <c r="E122" i="12812" s="1"/>
  <c r="K104" i="12811"/>
  <c r="F54" i="12812"/>
  <c r="C465" i="12843"/>
  <c r="AB22" i="12764"/>
  <c r="W22" i="12764"/>
  <c r="AE54" i="12764"/>
  <c r="I52" i="12812"/>
  <c r="J52" i="12812" s="1"/>
  <c r="U58" i="12764"/>
  <c r="W55" i="12764"/>
  <c r="I14" i="12812"/>
  <c r="N14" i="12811" s="1"/>
  <c r="X13" i="12764"/>
  <c r="W82" i="12764"/>
  <c r="J126" i="12812"/>
  <c r="H376" i="12766"/>
  <c r="H378" i="12766" s="1"/>
  <c r="H259" i="12766"/>
  <c r="H261" i="12766" s="1"/>
  <c r="K288" i="12766"/>
  <c r="K290" i="12766" s="1"/>
  <c r="K319" i="12766"/>
  <c r="K259" i="12766"/>
  <c r="K261" i="12766" s="1"/>
  <c r="G205" i="12766"/>
  <c r="Q159" i="12766"/>
  <c r="R169" i="12766" s="1"/>
  <c r="K376" i="12766"/>
  <c r="K378" i="12766" s="1"/>
  <c r="X482" i="12766"/>
  <c r="M174" i="12766"/>
  <c r="K625" i="12787"/>
  <c r="H38" i="12811"/>
  <c r="K13" i="12811"/>
  <c r="AE66" i="12764"/>
  <c r="AE67" i="12764" s="1"/>
  <c r="H69" i="12811"/>
  <c r="F693" i="12843"/>
  <c r="K73" i="12811"/>
  <c r="L73" i="12811" s="1"/>
  <c r="H75" i="12811"/>
  <c r="K75" i="12811" s="1"/>
  <c r="K80" i="12811"/>
  <c r="L80" i="12811" s="1"/>
  <c r="C912" i="12843"/>
  <c r="H83" i="12811"/>
  <c r="K83" i="12811" s="1"/>
  <c r="H376" i="12787"/>
  <c r="H378" i="12787" s="1"/>
  <c r="R168" i="12766"/>
  <c r="I1081" i="12843"/>
  <c r="F987" i="12843"/>
  <c r="F1045" i="12843"/>
  <c r="F1082" i="12843"/>
  <c r="H813" i="12787"/>
  <c r="H785" i="12787" s="1"/>
  <c r="H787" i="12787" s="1"/>
  <c r="I1254" i="12843"/>
  <c r="F1255" i="12843"/>
  <c r="O1236" i="12843"/>
  <c r="I1236" i="12843"/>
  <c r="I1237" i="12843" s="1"/>
  <c r="S1236" i="12843"/>
  <c r="U1236" i="12843" s="1"/>
  <c r="I1292" i="12843"/>
  <c r="G1178" i="12843"/>
  <c r="I1177" i="12843"/>
  <c r="S1192" i="12843"/>
  <c r="I1192" i="12843"/>
  <c r="I1161" i="12843"/>
  <c r="L46" i="12811"/>
  <c r="L47" i="12811" s="1"/>
  <c r="G114" i="12763"/>
  <c r="G116" i="12763" s="1"/>
  <c r="AB55" i="12764"/>
  <c r="K54" i="12811"/>
  <c r="AE70" i="12764"/>
  <c r="K50" i="12811"/>
  <c r="N116" i="12764"/>
  <c r="J60" i="12763"/>
  <c r="L60" i="12763" s="1"/>
  <c r="R85" i="12764"/>
  <c r="T85" i="12764" s="1"/>
  <c r="AC13" i="12764"/>
  <c r="L44" i="12811"/>
  <c r="X108" i="12764"/>
  <c r="I69" i="12811"/>
  <c r="K44" i="12811"/>
  <c r="AB108" i="12764"/>
  <c r="U81" i="12764"/>
  <c r="G1006" i="12766"/>
  <c r="G1009" i="12766" s="1"/>
  <c r="G1016" i="12766" s="1"/>
  <c r="X22" i="12764"/>
  <c r="U109" i="12764"/>
  <c r="X55" i="12764"/>
  <c r="AC55" i="12764"/>
  <c r="U82" i="12764"/>
  <c r="AB13" i="12764"/>
  <c r="P28" i="12766"/>
  <c r="O28" i="12766"/>
  <c r="O29" i="12766" s="1"/>
  <c r="I16" i="12812"/>
  <c r="N16" i="12811" s="1"/>
  <c r="AC22" i="12764"/>
  <c r="E69" i="12812"/>
  <c r="M130" i="12812"/>
  <c r="L54" i="12811"/>
  <c r="L50" i="12811"/>
  <c r="E38" i="12812"/>
  <c r="I82" i="12812"/>
  <c r="M81" i="12812"/>
  <c r="M74" i="12812"/>
  <c r="I50" i="12812"/>
  <c r="N49" i="12811"/>
  <c r="J49" i="12812"/>
  <c r="O17" i="12811"/>
  <c r="P17" i="12811" s="1"/>
  <c r="Q17" i="12811" s="1"/>
  <c r="P17" i="12812"/>
  <c r="Q17" i="12812" s="1"/>
  <c r="I18" i="12812"/>
  <c r="N17" i="12812"/>
  <c r="M14" i="12812"/>
  <c r="M16" i="12812"/>
  <c r="K23" i="12811"/>
  <c r="L22" i="12811"/>
  <c r="L23" i="12811" s="1"/>
  <c r="O53" i="12811"/>
  <c r="N129" i="12811"/>
  <c r="J129" i="12812"/>
  <c r="AE36" i="12764"/>
  <c r="AE38" i="12764"/>
  <c r="G842" i="12787"/>
  <c r="K842" i="12787" s="1"/>
  <c r="K843" i="12787" s="1"/>
  <c r="U101" i="12764"/>
  <c r="Y101" i="12764" s="1"/>
  <c r="L82" i="12812"/>
  <c r="AC40" i="12764"/>
  <c r="X40" i="12764"/>
  <c r="AB40" i="12764"/>
  <c r="R67" i="12764"/>
  <c r="T67" i="12764" s="1"/>
  <c r="S67" i="12764"/>
  <c r="R71" i="12764"/>
  <c r="T71" i="12764" s="1"/>
  <c r="S71" i="12764"/>
  <c r="S77" i="12764"/>
  <c r="R77" i="12764"/>
  <c r="T77" i="12764" s="1"/>
  <c r="K108" i="12763"/>
  <c r="J108" i="12763"/>
  <c r="L108" i="12763" s="1"/>
  <c r="K994" i="12787"/>
  <c r="K995" i="12787" s="1"/>
  <c r="G995" i="12787"/>
  <c r="J67" i="12763"/>
  <c r="L67" i="12763" s="1"/>
  <c r="K67" i="12763"/>
  <c r="J100" i="12763"/>
  <c r="L100" i="12763" s="1"/>
  <c r="K100" i="12763"/>
  <c r="D156" i="12787"/>
  <c r="M153" i="12787"/>
  <c r="K72" i="12763"/>
  <c r="J72" i="12763"/>
  <c r="B36" i="12783"/>
  <c r="G870" i="12787"/>
  <c r="D1049" i="12787"/>
  <c r="D157" i="12787"/>
  <c r="D1048" i="12787" s="1"/>
  <c r="K43" i="12787"/>
  <c r="G44" i="12787"/>
  <c r="K89" i="12763"/>
  <c r="J89" i="12763"/>
  <c r="L89" i="12763" s="1"/>
  <c r="C407" i="12787"/>
  <c r="C377" i="12787"/>
  <c r="C378" i="12787" s="1"/>
  <c r="C946" i="12787"/>
  <c r="C947" i="12787" s="1"/>
  <c r="C973" i="12787"/>
  <c r="C843" i="12787"/>
  <c r="C814" i="12787"/>
  <c r="C815" i="12787" s="1"/>
  <c r="C289" i="12787"/>
  <c r="C290" i="12787" s="1"/>
  <c r="C319" i="12787"/>
  <c r="R159" i="12766"/>
  <c r="S168" i="12766" s="1"/>
  <c r="U168" i="12766" s="1"/>
  <c r="K931" i="12766"/>
  <c r="K933" i="12766" s="1"/>
  <c r="K944" i="12766"/>
  <c r="H288" i="12787"/>
  <c r="H290" i="12787" s="1"/>
  <c r="H319" i="12787"/>
  <c r="AB67" i="12764"/>
  <c r="AC67" i="12764"/>
  <c r="D525" i="12787"/>
  <c r="D521" i="12787"/>
  <c r="D522" i="12787"/>
  <c r="D531" i="12787"/>
  <c r="D533" i="12787"/>
  <c r="D536" i="12787"/>
  <c r="D539" i="12787"/>
  <c r="D518" i="12787"/>
  <c r="D519" i="12787"/>
  <c r="D524" i="12787"/>
  <c r="D526" i="12787"/>
  <c r="D532" i="12787"/>
  <c r="D534" i="12787"/>
  <c r="D535" i="12787"/>
  <c r="D537" i="12787"/>
  <c r="C506" i="12787"/>
  <c r="C508" i="12787" s="1"/>
  <c r="C542" i="12787"/>
  <c r="K785" i="12766"/>
  <c r="K787" i="12766" s="1"/>
  <c r="K815" i="12766"/>
  <c r="H815" i="12766"/>
  <c r="H785" i="12766"/>
  <c r="H787" i="12766" s="1"/>
  <c r="K435" i="12787"/>
  <c r="K436" i="12787" s="1"/>
  <c r="G436" i="12787"/>
  <c r="G26" i="12787"/>
  <c r="K77" i="12787"/>
  <c r="G78" i="12787"/>
  <c r="G188" i="12787"/>
  <c r="G159" i="12787" s="1"/>
  <c r="G231" i="12787"/>
  <c r="D213" i="12787"/>
  <c r="D216" i="12787"/>
  <c r="D217" i="12787"/>
  <c r="D218" i="12787"/>
  <c r="D219" i="12787"/>
  <c r="D223" i="12787"/>
  <c r="D225" i="12787"/>
  <c r="D227" i="12787"/>
  <c r="D229" i="12787"/>
  <c r="D215" i="12787"/>
  <c r="D224" i="12787"/>
  <c r="D226" i="12787"/>
  <c r="D228" i="12787"/>
  <c r="D230" i="12787"/>
  <c r="C203" i="12787"/>
  <c r="C233" i="12787"/>
  <c r="K924" i="12787"/>
  <c r="G925" i="12787"/>
  <c r="G813" i="12787"/>
  <c r="X97" i="12764"/>
  <c r="AC97" i="12764"/>
  <c r="AB97" i="12764"/>
  <c r="G90" i="12787"/>
  <c r="K90" i="12787" s="1"/>
  <c r="K103" i="12787"/>
  <c r="C89" i="12787"/>
  <c r="C104" i="12787"/>
  <c r="K84" i="12787"/>
  <c r="K935" i="12787"/>
  <c r="K936" i="12787" s="1"/>
  <c r="G936" i="12787"/>
  <c r="R22" i="12766"/>
  <c r="Q22" i="12766"/>
  <c r="R17" i="12766"/>
  <c r="Q17" i="12766"/>
  <c r="R18" i="12766"/>
  <c r="Q18" i="12766"/>
  <c r="K260" i="12787"/>
  <c r="K261" i="12787" s="1"/>
  <c r="G261" i="12787"/>
  <c r="G377" i="12787"/>
  <c r="K377" i="12787" s="1"/>
  <c r="K378" i="12787" s="1"/>
  <c r="K406" i="12787"/>
  <c r="K407" i="12787" s="1"/>
  <c r="K318" i="12787"/>
  <c r="K319" i="12787" s="1"/>
  <c r="G289" i="12787"/>
  <c r="G319" i="12787"/>
  <c r="G984" i="12787"/>
  <c r="K983" i="12787"/>
  <c r="K984" i="12787" s="1"/>
  <c r="P628" i="12766"/>
  <c r="O628" i="12766"/>
  <c r="O630" i="12766" s="1"/>
  <c r="M630" i="12766"/>
  <c r="L104" i="12812"/>
  <c r="AB47" i="12764"/>
  <c r="U93" i="12764"/>
  <c r="Y93" i="12764" s="1"/>
  <c r="X47" i="12764"/>
  <c r="AC47" i="12764"/>
  <c r="AB25" i="12764"/>
  <c r="U99" i="12764"/>
  <c r="X25" i="12764"/>
  <c r="AC25" i="12764"/>
  <c r="C130" i="12787"/>
  <c r="C90" i="12787"/>
  <c r="K84" i="12763"/>
  <c r="J84" i="12763"/>
  <c r="L84" i="12763" s="1"/>
  <c r="H931" i="12766"/>
  <c r="H933" i="12766" s="1"/>
  <c r="H944" i="12766"/>
  <c r="G626" i="12787"/>
  <c r="K677" i="12787"/>
  <c r="K678" i="12787" s="1"/>
  <c r="G678" i="12787"/>
  <c r="C626" i="12787"/>
  <c r="C627" i="12787" s="1"/>
  <c r="C678" i="12787"/>
  <c r="M773" i="12787"/>
  <c r="M785" i="12787" s="1"/>
  <c r="D787" i="12787"/>
  <c r="K490" i="12787"/>
  <c r="G490" i="12787"/>
  <c r="C491" i="12787"/>
  <c r="G525" i="12787"/>
  <c r="G491" i="12787" s="1"/>
  <c r="K525" i="12787"/>
  <c r="K491" i="12787" s="1"/>
  <c r="C898" i="12787"/>
  <c r="K759" i="12787"/>
  <c r="K760" i="12787" s="1"/>
  <c r="G760" i="12787"/>
  <c r="G204" i="12787"/>
  <c r="K232" i="12787"/>
  <c r="K188" i="12787"/>
  <c r="K159" i="12787" s="1"/>
  <c r="K231" i="12787"/>
  <c r="K116" i="12787"/>
  <c r="K117" i="12787" s="1"/>
  <c r="G117" i="12787"/>
  <c r="K142" i="12787"/>
  <c r="K143" i="12787" s="1"/>
  <c r="G143" i="12787"/>
  <c r="C44" i="12787"/>
  <c r="C26" i="12787"/>
  <c r="C27" i="12787" s="1"/>
  <c r="K347" i="12787"/>
  <c r="K348" i="12787" s="1"/>
  <c r="G348" i="12787"/>
  <c r="K897" i="12787"/>
  <c r="K898" i="12787" s="1"/>
  <c r="G898" i="12787"/>
  <c r="G124" i="12787"/>
  <c r="G128" i="12787" s="1"/>
  <c r="G130" i="12787" s="1"/>
  <c r="K124" i="12787"/>
  <c r="K128" i="12787" s="1"/>
  <c r="K130" i="12787" s="1"/>
  <c r="K575" i="12787"/>
  <c r="K576" i="12787" s="1"/>
  <c r="G576" i="12787"/>
  <c r="G507" i="12787"/>
  <c r="K507" i="12787" s="1"/>
  <c r="K541" i="12787"/>
  <c r="C85" i="12787"/>
  <c r="G98" i="12787"/>
  <c r="G102" i="12787" s="1"/>
  <c r="K98" i="12787"/>
  <c r="G84" i="12787"/>
  <c r="K1031" i="12787"/>
  <c r="G1032" i="12787"/>
  <c r="R20" i="12766"/>
  <c r="Q20" i="12766"/>
  <c r="R21" i="12766"/>
  <c r="Q21" i="12766"/>
  <c r="R16" i="12766"/>
  <c r="Q16" i="12766"/>
  <c r="X67" i="12764"/>
  <c r="K728" i="12787"/>
  <c r="K729" i="12787" s="1"/>
  <c r="G729" i="12787"/>
  <c r="G946" i="12787"/>
  <c r="K972" i="12787"/>
  <c r="K973" i="12787" s="1"/>
  <c r="G973" i="12787"/>
  <c r="P509" i="12766"/>
  <c r="M512" i="12766"/>
  <c r="O509" i="12766"/>
  <c r="O511" i="12766" s="1"/>
  <c r="AF22" i="12775" l="1"/>
  <c r="R14" i="12775"/>
  <c r="E60" i="12775" s="1"/>
  <c r="Z14" i="12775"/>
  <c r="M60" i="12775" s="1"/>
  <c r="U14" i="12775"/>
  <c r="H60" i="12775" s="1"/>
  <c r="V14" i="12775"/>
  <c r="I60" i="12775" s="1"/>
  <c r="W14" i="12775"/>
  <c r="J60" i="12775" s="1"/>
  <c r="X14" i="12775"/>
  <c r="K60" i="12775" s="1"/>
  <c r="S14" i="12775"/>
  <c r="F60" i="12775" s="1"/>
  <c r="AA14" i="12775"/>
  <c r="N60" i="12775" s="1"/>
  <c r="T14" i="12775"/>
  <c r="G60" i="12775" s="1"/>
  <c r="AB14" i="12775"/>
  <c r="O60" i="12775" s="1"/>
  <c r="Y14" i="12775"/>
  <c r="L60" i="12775" s="1"/>
  <c r="X8" i="12775"/>
  <c r="K54" i="12775" s="1"/>
  <c r="W8" i="12775"/>
  <c r="J54" i="12775" s="1"/>
  <c r="Y8" i="12775"/>
  <c r="L54" i="12775" s="1"/>
  <c r="R8" i="12775"/>
  <c r="E54" i="12775" s="1"/>
  <c r="Z8" i="12775"/>
  <c r="M54" i="12775" s="1"/>
  <c r="S8" i="12775"/>
  <c r="F54" i="12775" s="1"/>
  <c r="AA8" i="12775"/>
  <c r="N54" i="12775" s="1"/>
  <c r="AB8" i="12775"/>
  <c r="O54" i="12775" s="1"/>
  <c r="T8" i="12775"/>
  <c r="G54" i="12775" s="1"/>
  <c r="U8" i="12775"/>
  <c r="H54" i="12775" s="1"/>
  <c r="V8" i="12775"/>
  <c r="I54" i="12775" s="1"/>
  <c r="V10" i="12775"/>
  <c r="W10" i="12775"/>
  <c r="X10" i="12775"/>
  <c r="Y10" i="12775"/>
  <c r="R10" i="12775"/>
  <c r="Z10" i="12775"/>
  <c r="S10" i="12775"/>
  <c r="AA10" i="12775"/>
  <c r="T10" i="12775"/>
  <c r="AB10" i="12775"/>
  <c r="U10" i="12775"/>
  <c r="R53" i="12775"/>
  <c r="P53" i="12775"/>
  <c r="S9" i="12775"/>
  <c r="AA9" i="12775"/>
  <c r="T9" i="12775"/>
  <c r="AB9" i="12775"/>
  <c r="U9" i="12775"/>
  <c r="V9" i="12775"/>
  <c r="W9" i="12775"/>
  <c r="X9" i="12775"/>
  <c r="Y9" i="12775"/>
  <c r="R9" i="12775"/>
  <c r="Z9" i="12775"/>
  <c r="Y11" i="12775"/>
  <c r="L57" i="12775" s="1"/>
  <c r="R11" i="12775"/>
  <c r="E57" i="12775" s="1"/>
  <c r="Z11" i="12775"/>
  <c r="M57" i="12775" s="1"/>
  <c r="S11" i="12775"/>
  <c r="F57" i="12775" s="1"/>
  <c r="AA11" i="12775"/>
  <c r="N57" i="12775" s="1"/>
  <c r="T11" i="12775"/>
  <c r="G57" i="12775" s="1"/>
  <c r="AB11" i="12775"/>
  <c r="O57" i="12775" s="1"/>
  <c r="U11" i="12775"/>
  <c r="H57" i="12775" s="1"/>
  <c r="V11" i="12775"/>
  <c r="I57" i="12775" s="1"/>
  <c r="W11" i="12775"/>
  <c r="J57" i="12775" s="1"/>
  <c r="X11" i="12775"/>
  <c r="K57" i="12775" s="1"/>
  <c r="C1295" i="12843"/>
  <c r="AC42" i="12775"/>
  <c r="C1164" i="12843"/>
  <c r="AC41" i="12775"/>
  <c r="C1239" i="12843"/>
  <c r="AF40" i="12775" s="1"/>
  <c r="AC40" i="12775"/>
  <c r="C1226" i="12843"/>
  <c r="AF39" i="12775" s="1"/>
  <c r="AC39" i="12775"/>
  <c r="C1181" i="12843"/>
  <c r="AC38" i="12775"/>
  <c r="C889" i="12843"/>
  <c r="AF35" i="12775" s="1"/>
  <c r="AC35" i="12775"/>
  <c r="C836" i="12843"/>
  <c r="AF34" i="12775" s="1"/>
  <c r="AC34" i="12775"/>
  <c r="C84" i="12843"/>
  <c r="AF31" i="12775" s="1"/>
  <c r="AC31" i="12775"/>
  <c r="C1101" i="12843"/>
  <c r="AF30" i="12775" s="1"/>
  <c r="AC30" i="12775"/>
  <c r="C1120" i="12843"/>
  <c r="AC29" i="12775"/>
  <c r="C913" i="12843"/>
  <c r="AC28" i="12775"/>
  <c r="C572" i="12843"/>
  <c r="AF26" i="12775" s="1"/>
  <c r="AC26" i="12775"/>
  <c r="C395" i="12843"/>
  <c r="C396" i="12843" s="1"/>
  <c r="AC25" i="12775"/>
  <c r="C361" i="12843"/>
  <c r="AF24" i="12775" s="1"/>
  <c r="AC24" i="12775"/>
  <c r="R52" i="12775"/>
  <c r="P53" i="12812"/>
  <c r="Q53" i="12812" s="1"/>
  <c r="N53" i="12811"/>
  <c r="P53" i="12811" s="1"/>
  <c r="Q53" i="12811" s="1"/>
  <c r="I1239" i="12843"/>
  <c r="N22" i="12811"/>
  <c r="N23" i="12811" s="1"/>
  <c r="J22" i="12812"/>
  <c r="J130" i="12812"/>
  <c r="W81" i="12764"/>
  <c r="Y81" i="12764" s="1"/>
  <c r="AE81" i="12764" s="1"/>
  <c r="F43" i="12812"/>
  <c r="Y22" i="12764"/>
  <c r="L43" i="12812" s="1"/>
  <c r="M43" i="12812" s="1"/>
  <c r="O43" i="12811" s="1"/>
  <c r="AE37" i="12764"/>
  <c r="Y55" i="12764"/>
  <c r="L128" i="12812" s="1"/>
  <c r="F128" i="12812"/>
  <c r="S127" i="12812"/>
  <c r="I127" i="12812"/>
  <c r="AC58" i="12764"/>
  <c r="F100" i="12843"/>
  <c r="S77" i="12812"/>
  <c r="F78" i="12812"/>
  <c r="Y99" i="12764"/>
  <c r="AE99" i="12764" s="1"/>
  <c r="U110" i="12764"/>
  <c r="AB110" i="12764" s="1"/>
  <c r="Y82" i="12764"/>
  <c r="AE82" i="12764" s="1"/>
  <c r="C652" i="12843"/>
  <c r="C653" i="12843" s="1"/>
  <c r="J25" i="12783" s="1"/>
  <c r="C650" i="12843"/>
  <c r="W84" i="12764"/>
  <c r="AC14" i="12764"/>
  <c r="Y14" i="12764"/>
  <c r="AE14" i="12764" s="1"/>
  <c r="AB14" i="12764"/>
  <c r="U84" i="12764"/>
  <c r="L13" i="12811"/>
  <c r="K20" i="12811"/>
  <c r="K38" i="12811" s="1"/>
  <c r="L37" i="12783"/>
  <c r="F292" i="12843"/>
  <c r="C101" i="12843"/>
  <c r="L18" i="12831" s="1"/>
  <c r="L21" i="12831" s="1"/>
  <c r="F179" i="12843"/>
  <c r="O40" i="12831"/>
  <c r="I1194" i="12843"/>
  <c r="S1161" i="12843"/>
  <c r="S1222" i="12843"/>
  <c r="H203" i="12766"/>
  <c r="H174" i="12766" s="1"/>
  <c r="H176" i="12766" s="1"/>
  <c r="I117" i="12843"/>
  <c r="I100" i="12843" s="1"/>
  <c r="F118" i="12843"/>
  <c r="M629" i="12843"/>
  <c r="U1177" i="12843"/>
  <c r="U1251" i="12843"/>
  <c r="S1292" i="12843"/>
  <c r="J37" i="12783"/>
  <c r="U1161" i="12843"/>
  <c r="U1292" i="12843"/>
  <c r="F731" i="12843"/>
  <c r="F257" i="12843"/>
  <c r="F258" i="12843" s="1"/>
  <c r="I835" i="12843"/>
  <c r="I571" i="12843"/>
  <c r="F1063" i="12843"/>
  <c r="F1025" i="12843" s="1"/>
  <c r="F1120" i="12843"/>
  <c r="F1005" i="12843"/>
  <c r="I1005" i="12843" s="1"/>
  <c r="C1063" i="12843"/>
  <c r="C1025" i="12843" s="1"/>
  <c r="C1026" i="12843" s="1"/>
  <c r="C1005" i="12843"/>
  <c r="C1006" i="12843" s="1"/>
  <c r="L85" i="12811"/>
  <c r="L86" i="12811" s="1"/>
  <c r="I730" i="12843"/>
  <c r="F361" i="12843"/>
  <c r="C731" i="12843"/>
  <c r="AF27" i="12775" s="1"/>
  <c r="F1101" i="12843"/>
  <c r="C257" i="12843"/>
  <c r="C258" i="12843" s="1"/>
  <c r="F501" i="12843"/>
  <c r="F502" i="12843" s="1"/>
  <c r="F889" i="12843"/>
  <c r="C17" i="12859"/>
  <c r="I17" i="12859" s="1"/>
  <c r="I16" i="12859"/>
  <c r="I912" i="12843"/>
  <c r="Q912" i="12843" s="1"/>
  <c r="K106" i="12811"/>
  <c r="K122" i="12811" s="1"/>
  <c r="E19" i="12810" s="1"/>
  <c r="F19" i="12810" s="1"/>
  <c r="J85" i="12812"/>
  <c r="F913" i="12843"/>
  <c r="F784" i="12843"/>
  <c r="F785" i="12843" s="1"/>
  <c r="L132" i="12811"/>
  <c r="L142" i="12811" s="1"/>
  <c r="I78" i="12812"/>
  <c r="N77" i="12811"/>
  <c r="N78" i="12811" s="1"/>
  <c r="I888" i="12843"/>
  <c r="N81" i="12811"/>
  <c r="J80" i="12812"/>
  <c r="F395" i="12843"/>
  <c r="F396" i="12843" s="1"/>
  <c r="I86" i="12812"/>
  <c r="K78" i="12811"/>
  <c r="K100" i="12811" s="1"/>
  <c r="I465" i="12843"/>
  <c r="C26" i="12843"/>
  <c r="C27" i="12843" s="1"/>
  <c r="N81" i="12812"/>
  <c r="C1194" i="12843"/>
  <c r="C1195" i="12843" s="1"/>
  <c r="J74" i="12812"/>
  <c r="E100" i="12812"/>
  <c r="E145" i="12812" s="1"/>
  <c r="C784" i="12843"/>
  <c r="C785" i="12843" s="1"/>
  <c r="L75" i="12811"/>
  <c r="C501" i="12843"/>
  <c r="C502" i="12843" s="1"/>
  <c r="K132" i="12811"/>
  <c r="K142" i="12811" s="1"/>
  <c r="E20" i="12810" s="1"/>
  <c r="F20" i="12810" s="1"/>
  <c r="L83" i="12811"/>
  <c r="L104" i="12811"/>
  <c r="L106" i="12811" s="1"/>
  <c r="L122" i="12811" s="1"/>
  <c r="F84" i="12843"/>
  <c r="F26" i="12843"/>
  <c r="I26" i="12843" s="1"/>
  <c r="Y7" i="12764"/>
  <c r="X7" i="12764"/>
  <c r="W7" i="12764"/>
  <c r="F13" i="12812" s="1"/>
  <c r="I54" i="12812"/>
  <c r="W9" i="12764"/>
  <c r="C466" i="12843"/>
  <c r="AF25" i="12775" s="1"/>
  <c r="W58" i="12764"/>
  <c r="Y58" i="12764" s="1"/>
  <c r="W109" i="12764"/>
  <c r="W110" i="12764" s="1"/>
  <c r="N52" i="12811"/>
  <c r="J14" i="12812"/>
  <c r="AB58" i="12764"/>
  <c r="X58" i="12764"/>
  <c r="W48" i="12764"/>
  <c r="W34" i="12764"/>
  <c r="R116" i="12764"/>
  <c r="N117" i="12764"/>
  <c r="K203" i="12766"/>
  <c r="H205" i="12766"/>
  <c r="H815" i="12787"/>
  <c r="F653" i="12843"/>
  <c r="M965" i="12843"/>
  <c r="M947" i="12843" s="1"/>
  <c r="Q965" i="12843"/>
  <c r="Q947" i="12843" s="1"/>
  <c r="M1236" i="12843"/>
  <c r="Q1236" i="12843"/>
  <c r="H100" i="12811"/>
  <c r="H145" i="12811" s="1"/>
  <c r="S169" i="12766"/>
  <c r="U169" i="12766" s="1"/>
  <c r="S1251" i="12843"/>
  <c r="S1177" i="12843"/>
  <c r="L30" i="12783"/>
  <c r="O31" i="12831"/>
  <c r="F1046" i="12843"/>
  <c r="I1045" i="12843"/>
  <c r="Q23" i="12766"/>
  <c r="F988" i="12843"/>
  <c r="I987" i="12843"/>
  <c r="I1162" i="12843"/>
  <c r="I1164" i="12843" s="1"/>
  <c r="U1192" i="12843"/>
  <c r="I1293" i="12843"/>
  <c r="I1295" i="12843" s="1"/>
  <c r="I1251" i="12843"/>
  <c r="I1222" i="12843"/>
  <c r="I1224" i="12843" s="1"/>
  <c r="I1179" i="12843"/>
  <c r="I1181" i="12843" s="1"/>
  <c r="X1181" i="12843" s="1"/>
  <c r="K69" i="12811"/>
  <c r="E17" i="12810" s="1"/>
  <c r="F17" i="12810" s="1"/>
  <c r="S116" i="12764"/>
  <c r="S117" i="12764" s="1"/>
  <c r="AC109" i="12764"/>
  <c r="I145" i="12811"/>
  <c r="AB109" i="12764"/>
  <c r="AC82" i="12764"/>
  <c r="AC81" i="12764"/>
  <c r="AB81" i="12764"/>
  <c r="X81" i="12764"/>
  <c r="X109" i="12764"/>
  <c r="X82" i="12764"/>
  <c r="AB34" i="12764"/>
  <c r="AC34" i="12764"/>
  <c r="AB82" i="12764"/>
  <c r="X34" i="12764"/>
  <c r="U49" i="12764"/>
  <c r="AE13" i="12764"/>
  <c r="G378" i="12787"/>
  <c r="H1006" i="12766"/>
  <c r="H1009" i="12766" s="1"/>
  <c r="H1016" i="12766" s="1"/>
  <c r="G843" i="12787"/>
  <c r="X48" i="12764"/>
  <c r="J16" i="12812"/>
  <c r="O130" i="12811"/>
  <c r="P130" i="12811" s="1"/>
  <c r="Q130" i="12811" s="1"/>
  <c r="P130" i="12812"/>
  <c r="Q130" i="12812" s="1"/>
  <c r="L69" i="12811"/>
  <c r="P81" i="12812"/>
  <c r="Q81" i="12812" s="1"/>
  <c r="O81" i="12811"/>
  <c r="J82" i="12812"/>
  <c r="N82" i="12811"/>
  <c r="I83" i="12812"/>
  <c r="M80" i="12812"/>
  <c r="O74" i="12811"/>
  <c r="P74" i="12811" s="1"/>
  <c r="Q74" i="12811" s="1"/>
  <c r="P74" i="12812"/>
  <c r="Q74" i="12812" s="1"/>
  <c r="J50" i="12812"/>
  <c r="N50" i="12811"/>
  <c r="N18" i="12811"/>
  <c r="J18" i="12812"/>
  <c r="O16" i="12811"/>
  <c r="P16" i="12811" s="1"/>
  <c r="Q16" i="12811" s="1"/>
  <c r="P16" i="12812"/>
  <c r="Q16" i="12812" s="1"/>
  <c r="O14" i="12811"/>
  <c r="P14" i="12811" s="1"/>
  <c r="Q14" i="12811" s="1"/>
  <c r="P14" i="12812"/>
  <c r="Q14" i="12812" s="1"/>
  <c r="L78" i="12811"/>
  <c r="L18" i="12811"/>
  <c r="I104" i="12812"/>
  <c r="J78" i="12812"/>
  <c r="J54" i="12812"/>
  <c r="N86" i="12811"/>
  <c r="M126" i="12812"/>
  <c r="M129" i="12812"/>
  <c r="U94" i="12764"/>
  <c r="AB48" i="12764"/>
  <c r="AC48" i="12764"/>
  <c r="M22" i="12812"/>
  <c r="L23" i="12812"/>
  <c r="K85" i="12787"/>
  <c r="U86" i="12787" s="1"/>
  <c r="W86" i="12787" s="1"/>
  <c r="AE25" i="12764"/>
  <c r="AE47" i="12764"/>
  <c r="C786" i="12787"/>
  <c r="C787" i="12787" s="1"/>
  <c r="C175" i="12787"/>
  <c r="AE40" i="12764"/>
  <c r="X101" i="12764"/>
  <c r="AE101" i="12764"/>
  <c r="AB101" i="12764"/>
  <c r="AC101" i="12764"/>
  <c r="K870" i="12787"/>
  <c r="K871" i="12787" s="1"/>
  <c r="G814" i="12787"/>
  <c r="G815" i="12787" s="1"/>
  <c r="G871" i="12787"/>
  <c r="B37" i="12783"/>
  <c r="Q161" i="12766"/>
  <c r="G89" i="12787"/>
  <c r="G91" i="12787" s="1"/>
  <c r="G104" i="12787"/>
  <c r="K204" i="12787"/>
  <c r="G175" i="12787"/>
  <c r="K175" i="12787" s="1"/>
  <c r="K626" i="12787"/>
  <c r="K627" i="12787" s="1"/>
  <c r="G627" i="12787"/>
  <c r="U102" i="12764"/>
  <c r="Y102" i="12764" s="1"/>
  <c r="X99" i="12764"/>
  <c r="AC99" i="12764"/>
  <c r="AB99" i="12764"/>
  <c r="AE93" i="12764"/>
  <c r="X93" i="12764"/>
  <c r="AC93" i="12764"/>
  <c r="AB93" i="12764"/>
  <c r="K289" i="12787"/>
  <c r="K290" i="12787" s="1"/>
  <c r="G290" i="12787"/>
  <c r="H230" i="12787"/>
  <c r="H202" i="12787" s="1"/>
  <c r="H173" i="12787" s="1"/>
  <c r="D202" i="12787"/>
  <c r="D173" i="12787" s="1"/>
  <c r="M173" i="12787" s="1"/>
  <c r="H226" i="12787"/>
  <c r="H198" i="12787" s="1"/>
  <c r="H169" i="12787" s="1"/>
  <c r="D198" i="12787"/>
  <c r="D169" i="12787" s="1"/>
  <c r="M169" i="12787" s="1"/>
  <c r="D187" i="12787"/>
  <c r="D158" i="12787" s="1"/>
  <c r="M158" i="12787" s="1"/>
  <c r="H215" i="12787"/>
  <c r="H187" i="12787" s="1"/>
  <c r="H158" i="12787" s="1"/>
  <c r="D199" i="12787"/>
  <c r="D170" i="12787" s="1"/>
  <c r="M170" i="12787" s="1"/>
  <c r="H227" i="12787"/>
  <c r="H199" i="12787" s="1"/>
  <c r="H170" i="12787" s="1"/>
  <c r="D195" i="12787"/>
  <c r="D166" i="12787" s="1"/>
  <c r="M166" i="12787" s="1"/>
  <c r="H223" i="12787"/>
  <c r="H195" i="12787" s="1"/>
  <c r="H166" i="12787" s="1"/>
  <c r="D190" i="12787"/>
  <c r="D161" i="12787" s="1"/>
  <c r="M161" i="12787" s="1"/>
  <c r="H218" i="12787"/>
  <c r="H190" i="12787" s="1"/>
  <c r="H161" i="12787" s="1"/>
  <c r="D188" i="12787"/>
  <c r="D159" i="12787" s="1"/>
  <c r="M159" i="12787" s="1"/>
  <c r="H216" i="12787"/>
  <c r="H188" i="12787" s="1"/>
  <c r="H159" i="12787" s="1"/>
  <c r="G203" i="12787"/>
  <c r="G233" i="12787"/>
  <c r="K26" i="12787"/>
  <c r="G27" i="12787"/>
  <c r="D503" i="12787"/>
  <c r="M503" i="12787" s="1"/>
  <c r="H537" i="12787"/>
  <c r="H503" i="12787" s="1"/>
  <c r="H534" i="12787"/>
  <c r="H500" i="12787" s="1"/>
  <c r="D500" i="12787"/>
  <c r="M500" i="12787" s="1"/>
  <c r="D492" i="12787"/>
  <c r="M492" i="12787" s="1"/>
  <c r="H526" i="12787"/>
  <c r="H492" i="12787" s="1"/>
  <c r="D485" i="12787"/>
  <c r="M485" i="12787" s="1"/>
  <c r="H519" i="12787"/>
  <c r="H485" i="12787" s="1"/>
  <c r="D505" i="12787"/>
  <c r="M505" i="12787" s="1"/>
  <c r="H539" i="12787"/>
  <c r="H505" i="12787" s="1"/>
  <c r="D499" i="12787"/>
  <c r="M499" i="12787" s="1"/>
  <c r="H533" i="12787"/>
  <c r="H499" i="12787" s="1"/>
  <c r="H522" i="12787"/>
  <c r="H488" i="12787" s="1"/>
  <c r="D488" i="12787"/>
  <c r="M488" i="12787" s="1"/>
  <c r="H525" i="12787"/>
  <c r="H491" i="12787" s="1"/>
  <c r="D491" i="12787"/>
  <c r="M491" i="12787" s="1"/>
  <c r="P934" i="12766"/>
  <c r="O934" i="12766"/>
  <c r="O936" i="12766" s="1"/>
  <c r="U482" i="12787"/>
  <c r="W482" i="12787" s="1"/>
  <c r="K102" i="12787"/>
  <c r="K174" i="12766"/>
  <c r="K176" i="12766" s="1"/>
  <c r="K205" i="12766"/>
  <c r="K114" i="12763"/>
  <c r="K116" i="12763" s="1"/>
  <c r="J114" i="12763"/>
  <c r="K946" i="12787"/>
  <c r="K947" i="12787" s="1"/>
  <c r="G947" i="12787"/>
  <c r="K203" i="12787"/>
  <c r="K233" i="12787"/>
  <c r="AA9" i="12764"/>
  <c r="G785" i="12787"/>
  <c r="C174" i="12787"/>
  <c r="C176" i="12787" s="1"/>
  <c r="C205" i="12787"/>
  <c r="H228" i="12787"/>
  <c r="H200" i="12787" s="1"/>
  <c r="H171" i="12787" s="1"/>
  <c r="D200" i="12787"/>
  <c r="D171" i="12787" s="1"/>
  <c r="M171" i="12787" s="1"/>
  <c r="H224" i="12787"/>
  <c r="H196" i="12787" s="1"/>
  <c r="H167" i="12787" s="1"/>
  <c r="D196" i="12787"/>
  <c r="D167" i="12787" s="1"/>
  <c r="M167" i="12787" s="1"/>
  <c r="D201" i="12787"/>
  <c r="D172" i="12787" s="1"/>
  <c r="M172" i="12787" s="1"/>
  <c r="H229" i="12787"/>
  <c r="H201" i="12787" s="1"/>
  <c r="H172" i="12787" s="1"/>
  <c r="D197" i="12787"/>
  <c r="D168" i="12787" s="1"/>
  <c r="M168" i="12787" s="1"/>
  <c r="H225" i="12787"/>
  <c r="H197" i="12787" s="1"/>
  <c r="H168" i="12787" s="1"/>
  <c r="D191" i="12787"/>
  <c r="D162" i="12787" s="1"/>
  <c r="M162" i="12787" s="1"/>
  <c r="H219" i="12787"/>
  <c r="H191" i="12787" s="1"/>
  <c r="H162" i="12787" s="1"/>
  <c r="D189" i="12787"/>
  <c r="D160" i="12787" s="1"/>
  <c r="M160" i="12787" s="1"/>
  <c r="H217" i="12787"/>
  <c r="H189" i="12787" s="1"/>
  <c r="H160" i="12787" s="1"/>
  <c r="D185" i="12787"/>
  <c r="D155" i="12787" s="1"/>
  <c r="M155" i="12787" s="1"/>
  <c r="H213" i="12787"/>
  <c r="P788" i="12766"/>
  <c r="O788" i="12766"/>
  <c r="O790" i="12766" s="1"/>
  <c r="D501" i="12787"/>
  <c r="M501" i="12787" s="1"/>
  <c r="H535" i="12787"/>
  <c r="H501" i="12787" s="1"/>
  <c r="D498" i="12787"/>
  <c r="M498" i="12787" s="1"/>
  <c r="H532" i="12787"/>
  <c r="H498" i="12787" s="1"/>
  <c r="D490" i="12787"/>
  <c r="D542" i="12787"/>
  <c r="H524" i="12787"/>
  <c r="H490" i="12787" s="1"/>
  <c r="T482" i="12787" s="1"/>
  <c r="D484" i="12787"/>
  <c r="M484" i="12787" s="1"/>
  <c r="H518" i="12787"/>
  <c r="D502" i="12787"/>
  <c r="M502" i="12787" s="1"/>
  <c r="H536" i="12787"/>
  <c r="H502" i="12787" s="1"/>
  <c r="D497" i="12787"/>
  <c r="M497" i="12787" s="1"/>
  <c r="H531" i="12787"/>
  <c r="H497" i="12787" s="1"/>
  <c r="H521" i="12787"/>
  <c r="H487" i="12787" s="1"/>
  <c r="T483" i="12787" s="1"/>
  <c r="D487" i="12787"/>
  <c r="M487" i="12787" s="1"/>
  <c r="G85" i="12787"/>
  <c r="G540" i="12787"/>
  <c r="K540" i="12787"/>
  <c r="C91" i="12787"/>
  <c r="N54" i="12811" l="1"/>
  <c r="J17" i="12783"/>
  <c r="J40" i="12783"/>
  <c r="AF42" i="12775"/>
  <c r="L38" i="12831"/>
  <c r="AF41" i="12775"/>
  <c r="L39" i="12831"/>
  <c r="AF38" i="12775"/>
  <c r="AF36" i="12775"/>
  <c r="J29" i="12783"/>
  <c r="AF29" i="12775"/>
  <c r="J27" i="12783"/>
  <c r="AF28" i="12775"/>
  <c r="L41" i="12831"/>
  <c r="J38" i="12783"/>
  <c r="L28" i="12831"/>
  <c r="L30" i="12831"/>
  <c r="AE22" i="12764"/>
  <c r="N130" i="12812"/>
  <c r="J23" i="12812"/>
  <c r="AE55" i="12764"/>
  <c r="AE58" i="12764" s="1"/>
  <c r="F105" i="12812"/>
  <c r="F106" i="12812" s="1"/>
  <c r="F122" i="12812" s="1"/>
  <c r="Y48" i="12764"/>
  <c r="L105" i="12812" s="1"/>
  <c r="W75" i="12764"/>
  <c r="W77" i="12764" s="1"/>
  <c r="F15" i="12812"/>
  <c r="S15" i="12812" s="1"/>
  <c r="I13" i="12812"/>
  <c r="J13" i="12812" s="1"/>
  <c r="S13" i="12812"/>
  <c r="S43" i="12812"/>
  <c r="I43" i="12812"/>
  <c r="AB49" i="12764"/>
  <c r="N127" i="12811"/>
  <c r="J127" i="12812"/>
  <c r="S128" i="12812"/>
  <c r="S132" i="12812" s="1"/>
  <c r="F132" i="12812"/>
  <c r="F142" i="12812" s="1"/>
  <c r="I128" i="12812"/>
  <c r="AC110" i="12764"/>
  <c r="Y34" i="12764"/>
  <c r="L72" i="12812" s="1"/>
  <c r="M72" i="12812" s="1"/>
  <c r="O72" i="12811" s="1"/>
  <c r="F72" i="12812"/>
  <c r="X110" i="12764"/>
  <c r="Y84" i="12764"/>
  <c r="AE84" i="12764" s="1"/>
  <c r="U95" i="12764"/>
  <c r="X95" i="12764" s="1"/>
  <c r="Y109" i="12764"/>
  <c r="AE109" i="12764" s="1"/>
  <c r="AE110" i="12764" s="1"/>
  <c r="Y110" i="12764"/>
  <c r="L26" i="12831"/>
  <c r="AB84" i="12764"/>
  <c r="AC84" i="12764"/>
  <c r="X84" i="12764"/>
  <c r="W69" i="12764"/>
  <c r="W71" i="12764" s="1"/>
  <c r="W16" i="12764"/>
  <c r="U16" i="12764"/>
  <c r="Y16" i="12764" s="1"/>
  <c r="L20" i="12811"/>
  <c r="L38" i="12811" s="1"/>
  <c r="S965" i="12843"/>
  <c r="S910" i="12843" s="1"/>
  <c r="F101" i="12843"/>
  <c r="O30" i="12831"/>
  <c r="L29" i="12783"/>
  <c r="U1222" i="12843"/>
  <c r="M632" i="12843"/>
  <c r="Q632" i="12843"/>
  <c r="N14" i="12812"/>
  <c r="M630" i="12843"/>
  <c r="X1295" i="12843"/>
  <c r="X1164" i="12843"/>
  <c r="L37" i="12831"/>
  <c r="O27" i="12831"/>
  <c r="J39" i="12783"/>
  <c r="L27" i="12831"/>
  <c r="L27" i="12783"/>
  <c r="I784" i="12843"/>
  <c r="F1006" i="12843"/>
  <c r="F1064" i="12843"/>
  <c r="I257" i="12843"/>
  <c r="F968" i="12843"/>
  <c r="F969" i="12843" s="1"/>
  <c r="C1064" i="12843"/>
  <c r="I1063" i="12843"/>
  <c r="I501" i="12843"/>
  <c r="C968" i="12843"/>
  <c r="C949" i="12843" s="1"/>
  <c r="C930" i="12843" s="1"/>
  <c r="C931" i="12843" s="1"/>
  <c r="C21" i="12859"/>
  <c r="C23" i="12859" s="1"/>
  <c r="J26" i="12783"/>
  <c r="I21" i="12859"/>
  <c r="I22" i="12859" s="1"/>
  <c r="AE48" i="12764"/>
  <c r="AE49" i="12764" s="1"/>
  <c r="U912" i="12843"/>
  <c r="O28" i="12831"/>
  <c r="M912" i="12843"/>
  <c r="L26" i="12783"/>
  <c r="J86" i="12812"/>
  <c r="N74" i="12812"/>
  <c r="P81" i="12811"/>
  <c r="Q81" i="12811" s="1"/>
  <c r="J36" i="12783"/>
  <c r="N83" i="12811"/>
  <c r="F220" i="12843"/>
  <c r="I220" i="12843" s="1"/>
  <c r="I395" i="12843"/>
  <c r="L40" i="12831"/>
  <c r="F27" i="12843"/>
  <c r="C220" i="12843"/>
  <c r="C221" i="12843" s="1"/>
  <c r="L25" i="12783"/>
  <c r="W49" i="12764"/>
  <c r="Y49" i="12764" s="1"/>
  <c r="W94" i="12764"/>
  <c r="W95" i="12764" s="1"/>
  <c r="AB21" i="12764"/>
  <c r="W21" i="12764"/>
  <c r="AB35" i="12764"/>
  <c r="W35" i="12764"/>
  <c r="Y9" i="12764"/>
  <c r="L15" i="12812" s="1"/>
  <c r="L114" i="12763"/>
  <c r="J116" i="12763"/>
  <c r="T116" i="12764"/>
  <c r="T117" i="12764" s="1"/>
  <c r="R117" i="12764"/>
  <c r="O26" i="12831"/>
  <c r="I1226" i="12843"/>
  <c r="I1193" i="12843"/>
  <c r="I1195" i="12843" s="1"/>
  <c r="X1195" i="12843" s="1"/>
  <c r="N38" i="12783"/>
  <c r="P38" i="12783" s="1"/>
  <c r="N40" i="12783"/>
  <c r="P40" i="12783" s="1"/>
  <c r="Q40" i="12783" s="1"/>
  <c r="G62" i="12843"/>
  <c r="G44" i="12843"/>
  <c r="I44" i="12843" s="1"/>
  <c r="G80" i="12843"/>
  <c r="N37" i="12783"/>
  <c r="P37" i="12783" s="1"/>
  <c r="Q37" i="12783" s="1"/>
  <c r="F1026" i="12843"/>
  <c r="I1025" i="12843"/>
  <c r="X9" i="12764"/>
  <c r="X35" i="12764"/>
  <c r="AC49" i="12764"/>
  <c r="X49" i="12764"/>
  <c r="AE102" i="12764"/>
  <c r="U75" i="12764"/>
  <c r="U80" i="12764"/>
  <c r="AC21" i="12764"/>
  <c r="U43" i="12764"/>
  <c r="AC35" i="12764"/>
  <c r="AA24" i="12764"/>
  <c r="AA30" i="12764" s="1"/>
  <c r="N16" i="12812"/>
  <c r="E18" i="12810"/>
  <c r="F18" i="12810" s="1"/>
  <c r="X21" i="12764"/>
  <c r="L100" i="12811"/>
  <c r="J83" i="12812"/>
  <c r="O80" i="12811"/>
  <c r="P80" i="12812"/>
  <c r="N80" i="12812"/>
  <c r="M49" i="12812"/>
  <c r="L50" i="12812"/>
  <c r="M18" i="12812"/>
  <c r="E16" i="12810"/>
  <c r="K145" i="12811"/>
  <c r="N104" i="12811"/>
  <c r="J104" i="12812"/>
  <c r="M77" i="12812"/>
  <c r="L78" i="12812"/>
  <c r="O129" i="12811"/>
  <c r="P129" i="12811" s="1"/>
  <c r="Q129" i="12811" s="1"/>
  <c r="P129" i="12812"/>
  <c r="Q129" i="12812" s="1"/>
  <c r="M52" i="12812"/>
  <c r="L54" i="12812"/>
  <c r="X94" i="12764"/>
  <c r="AC94" i="12764"/>
  <c r="AB94" i="12764"/>
  <c r="M85" i="12812"/>
  <c r="L86" i="12812"/>
  <c r="O126" i="12811"/>
  <c r="P126" i="12812"/>
  <c r="N126" i="12812"/>
  <c r="N129" i="12812"/>
  <c r="M23" i="12812"/>
  <c r="O22" i="12811"/>
  <c r="P22" i="12812"/>
  <c r="N22" i="12812"/>
  <c r="N23" i="12812" s="1"/>
  <c r="AA7" i="12764"/>
  <c r="AB7" i="12764" s="1"/>
  <c r="C1035" i="12787"/>
  <c r="C1038" i="12787" s="1"/>
  <c r="K814" i="12787"/>
  <c r="K815" i="12787" s="1"/>
  <c r="G786" i="12787"/>
  <c r="K786" i="12787" s="1"/>
  <c r="K787" i="12787" s="1"/>
  <c r="B38" i="12783"/>
  <c r="K542" i="12787"/>
  <c r="K506" i="12787"/>
  <c r="K508" i="12787" s="1"/>
  <c r="M179" i="12766"/>
  <c r="P177" i="12766"/>
  <c r="O177" i="12766"/>
  <c r="K1006" i="12766"/>
  <c r="K1009" i="12766" s="1"/>
  <c r="K89" i="12787"/>
  <c r="K91" i="12787" s="1"/>
  <c r="K104" i="12787"/>
  <c r="X102" i="12764"/>
  <c r="AC102" i="12764"/>
  <c r="AB102" i="12764"/>
  <c r="U69" i="12764"/>
  <c r="W20" i="12764"/>
  <c r="F41" i="12812" s="1"/>
  <c r="M174" i="12787"/>
  <c r="Q159" i="12787"/>
  <c r="T152" i="12787" s="1"/>
  <c r="R159" i="12787"/>
  <c r="G542" i="12787"/>
  <c r="G506" i="12787"/>
  <c r="G508" i="12787" s="1"/>
  <c r="H484" i="12787"/>
  <c r="H540" i="12787"/>
  <c r="M490" i="12787"/>
  <c r="M506" i="12787" s="1"/>
  <c r="D508" i="12787"/>
  <c r="D1035" i="12787" s="1"/>
  <c r="D1038" i="12787" s="1"/>
  <c r="D1045" i="12787" s="1"/>
  <c r="H185" i="12787"/>
  <c r="H155" i="12787" s="1"/>
  <c r="T151" i="12787" s="1"/>
  <c r="H231" i="12787"/>
  <c r="AC9" i="12764"/>
  <c r="AB9" i="12764"/>
  <c r="AA75" i="12764"/>
  <c r="K174" i="12787"/>
  <c r="K176" i="12787" s="1"/>
  <c r="K205" i="12787"/>
  <c r="G174" i="12787"/>
  <c r="G176" i="12787" s="1"/>
  <c r="G205" i="12787"/>
  <c r="AE34" i="12764" l="1"/>
  <c r="AF43" i="12775"/>
  <c r="I41" i="12812"/>
  <c r="I15" i="12812"/>
  <c r="J15" i="12812" s="1"/>
  <c r="S985" i="12843"/>
  <c r="U985" i="12843" s="1"/>
  <c r="U1079" i="12843" s="1"/>
  <c r="S1003" i="12843"/>
  <c r="U1003" i="12843" s="1"/>
  <c r="U1098" i="12843" s="1"/>
  <c r="S20" i="12812"/>
  <c r="W43" i="12764"/>
  <c r="Y43" i="12764" s="1"/>
  <c r="F73" i="12812"/>
  <c r="Y35" i="12764"/>
  <c r="L73" i="12812" s="1"/>
  <c r="M73" i="12812" s="1"/>
  <c r="F42" i="12812"/>
  <c r="Y21" i="12764"/>
  <c r="AE21" i="12764" s="1"/>
  <c r="J43" i="12812"/>
  <c r="N43" i="12811"/>
  <c r="P43" i="12811" s="1"/>
  <c r="Q43" i="12811" s="1"/>
  <c r="P43" i="12812"/>
  <c r="Q43" i="12812" s="1"/>
  <c r="S105" i="12812"/>
  <c r="S106" i="12812" s="1"/>
  <c r="I105" i="12812"/>
  <c r="J128" i="12812"/>
  <c r="N128" i="12811"/>
  <c r="N132" i="12811" s="1"/>
  <c r="N142" i="12811" s="1"/>
  <c r="D20" i="12809" s="1"/>
  <c r="I132" i="12812"/>
  <c r="I142" i="12812" s="1"/>
  <c r="M127" i="12812"/>
  <c r="N127" i="12812" s="1"/>
  <c r="S19" i="12812"/>
  <c r="I19" i="12812"/>
  <c r="F20" i="12812"/>
  <c r="F38" i="12812" s="1"/>
  <c r="AB95" i="12764"/>
  <c r="AC95" i="12764"/>
  <c r="Y69" i="12764"/>
  <c r="AE69" i="12764" s="1"/>
  <c r="AE71" i="12764" s="1"/>
  <c r="Y20" i="12764"/>
  <c r="S72" i="12812"/>
  <c r="I72" i="12812"/>
  <c r="X43" i="12764"/>
  <c r="Y95" i="12764"/>
  <c r="Y75" i="12764"/>
  <c r="AE75" i="12764" s="1"/>
  <c r="AE77" i="12764" s="1"/>
  <c r="Y94" i="12764"/>
  <c r="AE94" i="12764" s="1"/>
  <c r="AE95" i="12764" s="1"/>
  <c r="M13" i="12812"/>
  <c r="P13" i="12812" s="1"/>
  <c r="L17" i="12783"/>
  <c r="L20" i="12783" s="1"/>
  <c r="O18" i="12831"/>
  <c r="O21" i="12831" s="1"/>
  <c r="U23" i="12843"/>
  <c r="M633" i="12843"/>
  <c r="M1307" i="12843" s="1"/>
  <c r="U910" i="12843"/>
  <c r="Q633" i="12843"/>
  <c r="M114" i="12843"/>
  <c r="M115" i="12843"/>
  <c r="L44" i="12831"/>
  <c r="L36" i="12783"/>
  <c r="L43" i="12783" s="1"/>
  <c r="J23" i="12783"/>
  <c r="Q1128" i="12843"/>
  <c r="Q1271" i="12843"/>
  <c r="U1290" i="12843"/>
  <c r="U1128" i="12843"/>
  <c r="M1279" i="12843"/>
  <c r="I968" i="12843"/>
  <c r="I949" i="12843" s="1"/>
  <c r="I930" i="12843" s="1"/>
  <c r="F949" i="12843"/>
  <c r="F930" i="12843" s="1"/>
  <c r="F931" i="12843" s="1"/>
  <c r="F950" i="12843"/>
  <c r="L28" i="12783" s="1"/>
  <c r="C969" i="12843"/>
  <c r="C950" i="12843" s="1"/>
  <c r="J28" i="12783" s="1"/>
  <c r="W80" i="12764"/>
  <c r="Y80" i="12764" s="1"/>
  <c r="AE80" i="12764" s="1"/>
  <c r="I35" i="12859"/>
  <c r="I36" i="12859" s="1"/>
  <c r="AE9" i="12764"/>
  <c r="I23" i="12859"/>
  <c r="F221" i="12843"/>
  <c r="L24" i="12831"/>
  <c r="O37" i="12831"/>
  <c r="O44" i="12831" s="1"/>
  <c r="C1300" i="12843"/>
  <c r="C1303" i="12843" s="1"/>
  <c r="AE7" i="12764"/>
  <c r="U965" i="12843"/>
  <c r="U947" i="12843" s="1"/>
  <c r="M1137" i="12843"/>
  <c r="Q38" i="12783"/>
  <c r="Q1163" i="12843"/>
  <c r="U1180" i="12843"/>
  <c r="G533" i="12843"/>
  <c r="I533" i="12843" s="1"/>
  <c r="G323" i="12843"/>
  <c r="I323" i="12843" s="1"/>
  <c r="G519" i="12843"/>
  <c r="I519" i="12843" s="1"/>
  <c r="G554" i="12843"/>
  <c r="I554" i="12843" s="1"/>
  <c r="G448" i="12843"/>
  <c r="I448" i="12843" s="1"/>
  <c r="G217" i="12843"/>
  <c r="G378" i="12843"/>
  <c r="G392" i="12843"/>
  <c r="G240" i="12843"/>
  <c r="G484" i="12843"/>
  <c r="G568" i="12843"/>
  <c r="I568" i="12843" s="1"/>
  <c r="G427" i="12843"/>
  <c r="I427" i="12843" s="1"/>
  <c r="G343" i="12843"/>
  <c r="I343" i="12843" s="1"/>
  <c r="G254" i="12843"/>
  <c r="G413" i="12843"/>
  <c r="I413" i="12843" s="1"/>
  <c r="G462" i="12843"/>
  <c r="I462" i="12843" s="1"/>
  <c r="G498" i="12843"/>
  <c r="G309" i="12843"/>
  <c r="I309" i="12843" s="1"/>
  <c r="G288" i="12843"/>
  <c r="I288" i="12843" s="1"/>
  <c r="G357" i="12843"/>
  <c r="I357" i="12843" s="1"/>
  <c r="G274" i="12843"/>
  <c r="I274" i="12843" s="1"/>
  <c r="G555" i="12843"/>
  <c r="I555" i="12843" s="1"/>
  <c r="G310" i="12843"/>
  <c r="I310" i="12843" s="1"/>
  <c r="G393" i="12843"/>
  <c r="G218" i="12843"/>
  <c r="G241" i="12843"/>
  <c r="G255" i="12843"/>
  <c r="G449" i="12843"/>
  <c r="I449" i="12843" s="1"/>
  <c r="G324" i="12843"/>
  <c r="I324" i="12843" s="1"/>
  <c r="G485" i="12843"/>
  <c r="G428" i="12843"/>
  <c r="I428" i="12843" s="1"/>
  <c r="G463" i="12843"/>
  <c r="I463" i="12843" s="1"/>
  <c r="G289" i="12843"/>
  <c r="I289" i="12843" s="1"/>
  <c r="G499" i="12843"/>
  <c r="G520" i="12843"/>
  <c r="I520" i="12843" s="1"/>
  <c r="G379" i="12843"/>
  <c r="G414" i="12843"/>
  <c r="I414" i="12843" s="1"/>
  <c r="G534" i="12843"/>
  <c r="I534" i="12843" s="1"/>
  <c r="G344" i="12843"/>
  <c r="I344" i="12843" s="1"/>
  <c r="G358" i="12843"/>
  <c r="I358" i="12843" s="1"/>
  <c r="G569" i="12843"/>
  <c r="I569" i="12843" s="1"/>
  <c r="G275" i="12843"/>
  <c r="I275" i="12843" s="1"/>
  <c r="Q1294" i="12843"/>
  <c r="G553" i="12843"/>
  <c r="I553" i="12843" s="1"/>
  <c r="G308" i="12843"/>
  <c r="I308" i="12843" s="1"/>
  <c r="G377" i="12843"/>
  <c r="G322" i="12843"/>
  <c r="I322" i="12843" s="1"/>
  <c r="G483" i="12843"/>
  <c r="G518" i="12843"/>
  <c r="I518" i="12843" s="1"/>
  <c r="G391" i="12843"/>
  <c r="G216" i="12843"/>
  <c r="G342" i="12843"/>
  <c r="I342" i="12843" s="1"/>
  <c r="G356" i="12843"/>
  <c r="I356" i="12843" s="1"/>
  <c r="G567" i="12843"/>
  <c r="I567" i="12843" s="1"/>
  <c r="G497" i="12843"/>
  <c r="G532" i="12843"/>
  <c r="I532" i="12843" s="1"/>
  <c r="G273" i="12843"/>
  <c r="I273" i="12843" s="1"/>
  <c r="G287" i="12843"/>
  <c r="I287" i="12843" s="1"/>
  <c r="G412" i="12843"/>
  <c r="I412" i="12843" s="1"/>
  <c r="G447" i="12843"/>
  <c r="I447" i="12843" s="1"/>
  <c r="G239" i="12843"/>
  <c r="G253" i="12843"/>
  <c r="G426" i="12843"/>
  <c r="I426" i="12843" s="1"/>
  <c r="G461" i="12843"/>
  <c r="I461" i="12843" s="1"/>
  <c r="M1294" i="12843"/>
  <c r="U1163" i="12843"/>
  <c r="I62" i="12843"/>
  <c r="Q62" i="12843"/>
  <c r="Q1180" i="12843"/>
  <c r="N39" i="12783"/>
  <c r="P39" i="12783" s="1"/>
  <c r="Q39" i="12783" s="1"/>
  <c r="S80" i="12843"/>
  <c r="U80" i="12843" s="1"/>
  <c r="S44" i="12843"/>
  <c r="U44" i="12843" s="1"/>
  <c r="S62" i="12843"/>
  <c r="U62" i="12843" s="1"/>
  <c r="M1163" i="12843"/>
  <c r="Q80" i="12843"/>
  <c r="I80" i="12843"/>
  <c r="U1294" i="12843"/>
  <c r="M1180" i="12843"/>
  <c r="M1150" i="12843"/>
  <c r="M1147" i="12843"/>
  <c r="M1148" i="12843"/>
  <c r="M1146" i="12843"/>
  <c r="X75" i="12764"/>
  <c r="U77" i="12764"/>
  <c r="Y77" i="12764" s="1"/>
  <c r="AB43" i="12764"/>
  <c r="AC43" i="12764"/>
  <c r="AB80" i="12764"/>
  <c r="AA87" i="12764"/>
  <c r="AA90" i="12764" s="1"/>
  <c r="AC80" i="12764"/>
  <c r="X80" i="12764"/>
  <c r="N15" i="12811"/>
  <c r="AC7" i="12764"/>
  <c r="AA16" i="12764"/>
  <c r="AC16" i="12764" s="1"/>
  <c r="J43" i="12783"/>
  <c r="M15" i="12812"/>
  <c r="J20" i="12783"/>
  <c r="L145" i="12811"/>
  <c r="M82" i="12812"/>
  <c r="L83" i="12812"/>
  <c r="Q80" i="12812"/>
  <c r="P80" i="12811"/>
  <c r="O49" i="12811"/>
  <c r="M50" i="12812"/>
  <c r="P49" i="12812"/>
  <c r="N49" i="12812"/>
  <c r="N50" i="12812" s="1"/>
  <c r="N18" i="12812"/>
  <c r="O18" i="12811"/>
  <c r="P18" i="12811" s="1"/>
  <c r="Q18" i="12811" s="1"/>
  <c r="P18" i="12812"/>
  <c r="Q18" i="12812" s="1"/>
  <c r="E21" i="12810"/>
  <c r="E25" i="12810" s="1"/>
  <c r="F16" i="12810"/>
  <c r="M105" i="12812"/>
  <c r="O77" i="12811"/>
  <c r="M78" i="12812"/>
  <c r="P77" i="12812"/>
  <c r="N77" i="12812"/>
  <c r="N78" i="12812" s="1"/>
  <c r="AA69" i="12764"/>
  <c r="AC69" i="12764" s="1"/>
  <c r="M128" i="12812"/>
  <c r="L132" i="12812"/>
  <c r="L142" i="12812" s="1"/>
  <c r="Q126" i="12812"/>
  <c r="P126" i="12811"/>
  <c r="Q126" i="12811" s="1"/>
  <c r="M86" i="12812"/>
  <c r="O85" i="12811"/>
  <c r="P85" i="12812"/>
  <c r="N85" i="12812"/>
  <c r="N86" i="12812" s="1"/>
  <c r="O52" i="12811"/>
  <c r="M54" i="12812"/>
  <c r="P52" i="12812"/>
  <c r="N52" i="12812"/>
  <c r="N54" i="12812" s="1"/>
  <c r="Q22" i="12812"/>
  <c r="Q23" i="12812" s="1"/>
  <c r="P23" i="12812"/>
  <c r="O23" i="12811"/>
  <c r="P22" i="12811"/>
  <c r="G787" i="12787"/>
  <c r="G1035" i="12787" s="1"/>
  <c r="G1038" i="12787" s="1"/>
  <c r="B39" i="12783"/>
  <c r="B40" i="12783" s="1"/>
  <c r="P788" i="12787"/>
  <c r="O788" i="12787"/>
  <c r="T153" i="12787"/>
  <c r="S40" i="12783"/>
  <c r="P480" i="12787"/>
  <c r="T481" i="12787"/>
  <c r="C1042" i="12787"/>
  <c r="X69" i="12764"/>
  <c r="U71" i="12764"/>
  <c r="Y71" i="12764" s="1"/>
  <c r="O1009" i="12766"/>
  <c r="K1012" i="12766"/>
  <c r="P1009" i="12766"/>
  <c r="S37" i="12783"/>
  <c r="AB75" i="12764"/>
  <c r="AC75" i="12764"/>
  <c r="AA77" i="12764"/>
  <c r="H233" i="12787"/>
  <c r="H203" i="12787"/>
  <c r="H506" i="12787"/>
  <c r="H508" i="12787" s="1"/>
  <c r="H542" i="12787"/>
  <c r="U152" i="12787"/>
  <c r="W152" i="12787" s="1"/>
  <c r="U153" i="12787"/>
  <c r="W153" i="12787" s="1"/>
  <c r="Q161" i="12787"/>
  <c r="W24" i="12764"/>
  <c r="F46" i="12812" s="1"/>
  <c r="S38" i="12783"/>
  <c r="X16" i="12764"/>
  <c r="M19" i="12812"/>
  <c r="L75" i="12812" l="1"/>
  <c r="AE35" i="12764"/>
  <c r="AE43" i="12764" s="1"/>
  <c r="I20" i="12812"/>
  <c r="I38" i="12812" s="1"/>
  <c r="L42" i="12812"/>
  <c r="M42" i="12812" s="1"/>
  <c r="O42" i="12811" s="1"/>
  <c r="N43" i="12812"/>
  <c r="S42" i="12812"/>
  <c r="I42" i="12812"/>
  <c r="N105" i="12811"/>
  <c r="N106" i="12811" s="1"/>
  <c r="N122" i="12811" s="1"/>
  <c r="D19" i="12809" s="1"/>
  <c r="F19" i="12809" s="1"/>
  <c r="G19" i="12809" s="1"/>
  <c r="J105" i="12812"/>
  <c r="I106" i="12812"/>
  <c r="I122" i="12812" s="1"/>
  <c r="S73" i="12812"/>
  <c r="S75" i="12812" s="1"/>
  <c r="I73" i="12812"/>
  <c r="I75" i="12812" s="1"/>
  <c r="I100" i="12812" s="1"/>
  <c r="F75" i="12812"/>
  <c r="F100" i="12812" s="1"/>
  <c r="O127" i="12811"/>
  <c r="P127" i="12811" s="1"/>
  <c r="Q127" i="12811" s="1"/>
  <c r="P127" i="12812"/>
  <c r="Q127" i="12812" s="1"/>
  <c r="J132" i="12812"/>
  <c r="J142" i="12812" s="1"/>
  <c r="N19" i="12811"/>
  <c r="J19" i="12812"/>
  <c r="J20" i="12812" s="1"/>
  <c r="Y24" i="12764"/>
  <c r="L46" i="12812" s="1"/>
  <c r="S46" i="12812"/>
  <c r="J72" i="12812"/>
  <c r="N72" i="12811"/>
  <c r="P72" i="12812"/>
  <c r="Q72" i="12812" s="1"/>
  <c r="S41" i="12812"/>
  <c r="F44" i="12812"/>
  <c r="N15" i="12812"/>
  <c r="M1151" i="12843"/>
  <c r="M1149" i="12843"/>
  <c r="N13" i="12812"/>
  <c r="AE16" i="12764"/>
  <c r="L20" i="12812"/>
  <c r="M20" i="12812"/>
  <c r="O19" i="12811"/>
  <c r="P19" i="12812"/>
  <c r="Q19" i="12812" s="1"/>
  <c r="M1250" i="12843"/>
  <c r="Q1250" i="12843"/>
  <c r="U1250" i="12843"/>
  <c r="M145" i="12843"/>
  <c r="M146" i="12843"/>
  <c r="U114" i="12843"/>
  <c r="L29" i="12831"/>
  <c r="L34" i="12831" s="1"/>
  <c r="L46" i="12831" s="1"/>
  <c r="L50" i="12831" s="1"/>
  <c r="M1133" i="12843"/>
  <c r="M1157" i="12843"/>
  <c r="M1154" i="12843"/>
  <c r="M1280" i="12843"/>
  <c r="M1275" i="12843"/>
  <c r="M1286" i="12843"/>
  <c r="M1287" i="12843"/>
  <c r="M1290" i="12843"/>
  <c r="U1281" i="12843"/>
  <c r="U1284" i="12843"/>
  <c r="U1268" i="12843"/>
  <c r="Q1275" i="12843"/>
  <c r="Q1286" i="12843"/>
  <c r="U1272" i="12843"/>
  <c r="Q1290" i="12843"/>
  <c r="U1273" i="12843"/>
  <c r="Q1287" i="12843"/>
  <c r="K1137" i="12843"/>
  <c r="M1153" i="12843"/>
  <c r="M1156" i="12843"/>
  <c r="M1130" i="12843"/>
  <c r="M1276" i="12843"/>
  <c r="M1273" i="12843"/>
  <c r="M1268" i="12843"/>
  <c r="M1283" i="12843"/>
  <c r="U1265" i="12843"/>
  <c r="Q1284" i="12843"/>
  <c r="Q1288" i="12843"/>
  <c r="Q1267" i="12843"/>
  <c r="Q1268" i="12843"/>
  <c r="U1288" i="12843"/>
  <c r="U1275" i="12843"/>
  <c r="M1131" i="12843"/>
  <c r="M1128" i="12843"/>
  <c r="M1267" i="12843"/>
  <c r="M1271" i="12843"/>
  <c r="M1264" i="12843"/>
  <c r="M1263" i="12843"/>
  <c r="Q1281" i="12843"/>
  <c r="U1280" i="12843"/>
  <c r="Q1265" i="12843"/>
  <c r="U1263" i="12843"/>
  <c r="Q1273" i="12843"/>
  <c r="Q1283" i="12843"/>
  <c r="Q1272" i="12843"/>
  <c r="Q1276" i="12843"/>
  <c r="M1134" i="12843"/>
  <c r="M1158" i="12843"/>
  <c r="M1159" i="12843"/>
  <c r="M1281" i="12843"/>
  <c r="M1272" i="12843"/>
  <c r="M1284" i="12843"/>
  <c r="M1288" i="12843"/>
  <c r="M1265" i="12843"/>
  <c r="U1283" i="12843"/>
  <c r="Q1280" i="12843"/>
  <c r="U1276" i="12843"/>
  <c r="Q1279" i="12843"/>
  <c r="Q1263" i="12843"/>
  <c r="Q1264" i="12843"/>
  <c r="U1279" i="12843"/>
  <c r="F1300" i="12843"/>
  <c r="F1303" i="12843" s="1"/>
  <c r="O29" i="12831"/>
  <c r="F35" i="12859"/>
  <c r="F36" i="12859" s="1"/>
  <c r="O24" i="12831"/>
  <c r="L23" i="12783"/>
  <c r="W87" i="12764"/>
  <c r="W90" i="12764" s="1"/>
  <c r="U79" i="12764"/>
  <c r="I23" i="12843"/>
  <c r="M1132" i="12843"/>
  <c r="Q1174" i="12843"/>
  <c r="U1264" i="12843"/>
  <c r="U1267" i="12843"/>
  <c r="M1136" i="12843"/>
  <c r="M1129" i="12843"/>
  <c r="U1174" i="12843"/>
  <c r="M1135" i="12843"/>
  <c r="M1174" i="12843"/>
  <c r="U1287" i="12843"/>
  <c r="U1271" i="12843"/>
  <c r="M1155" i="12843"/>
  <c r="U1286" i="12843"/>
  <c r="I591" i="12843"/>
  <c r="I592" i="12843"/>
  <c r="G674" i="12843"/>
  <c r="K1142" i="12843"/>
  <c r="S95" i="12843"/>
  <c r="U95" i="12843" s="1"/>
  <c r="S96" i="12843"/>
  <c r="U96" i="12843" s="1"/>
  <c r="S201" i="12843"/>
  <c r="S499" i="12843" s="1"/>
  <c r="S200" i="12843"/>
  <c r="S343" i="12843" s="1"/>
  <c r="U343" i="12843" s="1"/>
  <c r="S199" i="12843"/>
  <c r="I378" i="12843"/>
  <c r="I239" i="12843"/>
  <c r="I483" i="12843"/>
  <c r="I391" i="12843"/>
  <c r="I377" i="12843"/>
  <c r="I485" i="12843"/>
  <c r="I393" i="12843"/>
  <c r="I254" i="12843"/>
  <c r="I484" i="12843"/>
  <c r="I253" i="12843"/>
  <c r="I241" i="12843"/>
  <c r="I392" i="12843"/>
  <c r="I240" i="12843"/>
  <c r="U1254" i="12843"/>
  <c r="M1225" i="12843"/>
  <c r="Q1238" i="12843"/>
  <c r="Q1225" i="12843"/>
  <c r="M1254" i="12843"/>
  <c r="Q1254" i="12843"/>
  <c r="U1238" i="12843"/>
  <c r="U1225" i="12843"/>
  <c r="M1238" i="12843"/>
  <c r="K1148" i="12843"/>
  <c r="K1147" i="12843"/>
  <c r="K1150" i="12843"/>
  <c r="K1146" i="12843"/>
  <c r="Q1147" i="12843"/>
  <c r="Q1146" i="12843"/>
  <c r="Q1150" i="12843"/>
  <c r="Q1148" i="12843"/>
  <c r="AB16" i="12764"/>
  <c r="X77" i="12764"/>
  <c r="X20" i="12764"/>
  <c r="AA60" i="12764"/>
  <c r="AB69" i="12764"/>
  <c r="L41" i="12812"/>
  <c r="L100" i="12812"/>
  <c r="H18" i="12809" s="1"/>
  <c r="I18" i="12809" s="1"/>
  <c r="B43" i="12783"/>
  <c r="B45" i="12783" s="1"/>
  <c r="J33" i="12783"/>
  <c r="J45" i="12783" s="1"/>
  <c r="J49" i="12783" s="1"/>
  <c r="O73" i="12811"/>
  <c r="M75" i="12812"/>
  <c r="O15" i="12811"/>
  <c r="P15" i="12811" s="1"/>
  <c r="Q15" i="12811" s="1"/>
  <c r="P15" i="12812"/>
  <c r="Q15" i="12812" s="1"/>
  <c r="AC20" i="12764"/>
  <c r="AB20" i="12764"/>
  <c r="AA71" i="12764"/>
  <c r="AB71" i="12764" s="1"/>
  <c r="AB24" i="12764"/>
  <c r="N82" i="12812"/>
  <c r="N83" i="12812" s="1"/>
  <c r="O82" i="12811"/>
  <c r="P82" i="12812"/>
  <c r="M83" i="12812"/>
  <c r="Q80" i="12811"/>
  <c r="Q49" i="12812"/>
  <c r="Q50" i="12812" s="1"/>
  <c r="P50" i="12812"/>
  <c r="O50" i="12811"/>
  <c r="P49" i="12811"/>
  <c r="F21" i="12810"/>
  <c r="N13" i="12811"/>
  <c r="P105" i="12812"/>
  <c r="Q105" i="12812" s="1"/>
  <c r="O105" i="12811"/>
  <c r="P105" i="12811" s="1"/>
  <c r="Q105" i="12811" s="1"/>
  <c r="M104" i="12812"/>
  <c r="L106" i="12812"/>
  <c r="L122" i="12812" s="1"/>
  <c r="H19" i="12809" s="1"/>
  <c r="I19" i="12809" s="1"/>
  <c r="Q77" i="12812"/>
  <c r="Q78" i="12812" s="1"/>
  <c r="P78" i="12812"/>
  <c r="O78" i="12811"/>
  <c r="P77" i="12811"/>
  <c r="O86" i="12811"/>
  <c r="P85" i="12811"/>
  <c r="O128" i="12811"/>
  <c r="P128" i="12812"/>
  <c r="N128" i="12812"/>
  <c r="N132" i="12812" s="1"/>
  <c r="N142" i="12812" s="1"/>
  <c r="M132" i="12812"/>
  <c r="M142" i="12812" s="1"/>
  <c r="F20" i="12809"/>
  <c r="Q52" i="12812"/>
  <c r="Q54" i="12812" s="1"/>
  <c r="P54" i="12812"/>
  <c r="O54" i="12811"/>
  <c r="P52" i="12811"/>
  <c r="P86" i="12812"/>
  <c r="Q85" i="12812"/>
  <c r="Q86" i="12812" s="1"/>
  <c r="H20" i="12809"/>
  <c r="Q22" i="12811"/>
  <c r="P23" i="12811"/>
  <c r="S39" i="12783"/>
  <c r="AB77" i="12764"/>
  <c r="AC77" i="12764"/>
  <c r="H174" i="12787"/>
  <c r="H176" i="12787" s="1"/>
  <c r="H1035" i="12787" s="1"/>
  <c r="H1038" i="12787" s="1"/>
  <c r="H1045" i="12787" s="1"/>
  <c r="H205" i="12787"/>
  <c r="X71" i="12764"/>
  <c r="C1043" i="12787"/>
  <c r="C1045" i="12787" s="1"/>
  <c r="J19" i="12809" l="1"/>
  <c r="N19" i="12812"/>
  <c r="N20" i="12812" s="1"/>
  <c r="P42" i="12812"/>
  <c r="Q42" i="12812" s="1"/>
  <c r="P73" i="12812"/>
  <c r="Q73" i="12812" s="1"/>
  <c r="Q75" i="12812" s="1"/>
  <c r="J106" i="12812"/>
  <c r="J122" i="12812" s="1"/>
  <c r="N42" i="12811"/>
  <c r="P42" i="12811" s="1"/>
  <c r="Q42" i="12811" s="1"/>
  <c r="J42" i="12812"/>
  <c r="N105" i="12812"/>
  <c r="J73" i="12812"/>
  <c r="N73" i="12811"/>
  <c r="N75" i="12811" s="1"/>
  <c r="N100" i="12811" s="1"/>
  <c r="D18" i="12809" s="1"/>
  <c r="F18" i="12809" s="1"/>
  <c r="G18" i="12809" s="1"/>
  <c r="J18" i="12809" s="1"/>
  <c r="S44" i="12812"/>
  <c r="S145" i="12812" s="1"/>
  <c r="N20" i="12811"/>
  <c r="N38" i="12811" s="1"/>
  <c r="D16" i="12809" s="1"/>
  <c r="F16" i="12809" s="1"/>
  <c r="G16" i="12809" s="1"/>
  <c r="P19" i="12811"/>
  <c r="Q19" i="12811" s="1"/>
  <c r="N41" i="12811"/>
  <c r="I44" i="12812"/>
  <c r="J41" i="12812"/>
  <c r="P72" i="12811"/>
  <c r="Q72" i="12811" s="1"/>
  <c r="N72" i="12812"/>
  <c r="K1151" i="12843"/>
  <c r="K1149" i="12843"/>
  <c r="Q1151" i="12843"/>
  <c r="Q1149" i="12843"/>
  <c r="U85" i="12764"/>
  <c r="P20" i="12812"/>
  <c r="Q610" i="12843"/>
  <c r="S1174" i="12843"/>
  <c r="S1178" i="12843" s="1"/>
  <c r="Q145" i="12843"/>
  <c r="U145" i="12843"/>
  <c r="U115" i="12843"/>
  <c r="K1133" i="12843"/>
  <c r="Q1129" i="12843"/>
  <c r="Q1157" i="12843"/>
  <c r="Q1156" i="12843"/>
  <c r="Q1153" i="12843"/>
  <c r="K1159" i="12843"/>
  <c r="K1139" i="12843"/>
  <c r="Q1154" i="12843"/>
  <c r="Q1159" i="12843"/>
  <c r="K1158" i="12843"/>
  <c r="K1134" i="12843"/>
  <c r="K1157" i="12843"/>
  <c r="K1144" i="12843"/>
  <c r="K1135" i="12843"/>
  <c r="K1129" i="12843"/>
  <c r="Q1131" i="12843"/>
  <c r="K1141" i="12843"/>
  <c r="Q1134" i="12843"/>
  <c r="Q1158" i="12843"/>
  <c r="Q1133" i="12843"/>
  <c r="Q1130" i="12843"/>
  <c r="K1131" i="12843"/>
  <c r="K1130" i="12843"/>
  <c r="K1140" i="12843"/>
  <c r="K1136" i="12843"/>
  <c r="K1132" i="12843"/>
  <c r="O34" i="12831"/>
  <c r="O46" i="12831" s="1"/>
  <c r="V52" i="12831" s="1"/>
  <c r="W30" i="12764"/>
  <c r="W60" i="12764" s="1"/>
  <c r="F156" i="12812" s="1"/>
  <c r="W79" i="12764"/>
  <c r="Y79" i="12764" s="1"/>
  <c r="AE79" i="12764" s="1"/>
  <c r="AE85" i="12764" s="1"/>
  <c r="X79" i="12764"/>
  <c r="AC79" i="12764"/>
  <c r="AB79" i="12764"/>
  <c r="O1174" i="12843"/>
  <c r="O1178" i="12843" s="1"/>
  <c r="G649" i="12843"/>
  <c r="G712" i="12843"/>
  <c r="I712" i="12843" s="1"/>
  <c r="M1233" i="12843"/>
  <c r="Q1137" i="12843"/>
  <c r="Q1136" i="12843"/>
  <c r="U1233" i="12843"/>
  <c r="K1174" i="12843"/>
  <c r="K1178" i="12843" s="1"/>
  <c r="Q1135" i="12843"/>
  <c r="Q1155" i="12843"/>
  <c r="Q1233" i="12843"/>
  <c r="G609" i="12843"/>
  <c r="I609" i="12843" s="1"/>
  <c r="Q1132" i="12843"/>
  <c r="S591" i="12843"/>
  <c r="S592" i="12843"/>
  <c r="S632" i="12843"/>
  <c r="S712" i="12843" s="1"/>
  <c r="S633" i="12843"/>
  <c r="S610" i="12843" s="1"/>
  <c r="O1142" i="12843"/>
  <c r="K1156" i="12843"/>
  <c r="K1154" i="12843"/>
  <c r="K1153" i="12843"/>
  <c r="K1155" i="12843"/>
  <c r="S532" i="12843"/>
  <c r="U532" i="12843" s="1"/>
  <c r="S448" i="12843"/>
  <c r="U448" i="12843" s="1"/>
  <c r="S273" i="12843"/>
  <c r="U273" i="12843" s="1"/>
  <c r="S216" i="12843"/>
  <c r="S426" i="12843"/>
  <c r="U426" i="12843" s="1"/>
  <c r="S428" i="12843"/>
  <c r="U428" i="12843" s="1"/>
  <c r="S447" i="12843"/>
  <c r="U447" i="12843" s="1"/>
  <c r="S218" i="12843"/>
  <c r="S485" i="12843"/>
  <c r="S288" i="12843"/>
  <c r="U288" i="12843" s="1"/>
  <c r="S275" i="12843"/>
  <c r="U275" i="12843" s="1"/>
  <c r="S358" i="12843"/>
  <c r="U358" i="12843" s="1"/>
  <c r="S391" i="12843"/>
  <c r="S377" i="12843"/>
  <c r="S483" i="12843"/>
  <c r="S253" i="12843"/>
  <c r="S308" i="12843"/>
  <c r="U308" i="12843" s="1"/>
  <c r="S356" i="12843"/>
  <c r="U356" i="12843" s="1"/>
  <c r="S342" i="12843"/>
  <c r="U342" i="12843" s="1"/>
  <c r="S518" i="12843"/>
  <c r="U518" i="12843" s="1"/>
  <c r="S239" i="12843"/>
  <c r="S287" i="12843"/>
  <c r="U287" i="12843" s="1"/>
  <c r="S553" i="12843"/>
  <c r="U553" i="12843" s="1"/>
  <c r="S462" i="12843"/>
  <c r="U462" i="12843" s="1"/>
  <c r="S567" i="12843"/>
  <c r="U567" i="12843" s="1"/>
  <c r="S461" i="12843"/>
  <c r="U461" i="12843" s="1"/>
  <c r="S497" i="12843"/>
  <c r="S322" i="12843"/>
  <c r="U322" i="12843" s="1"/>
  <c r="S412" i="12843"/>
  <c r="U412" i="12843" s="1"/>
  <c r="S309" i="12843"/>
  <c r="U309" i="12843" s="1"/>
  <c r="S323" i="12843"/>
  <c r="U323" i="12843" s="1"/>
  <c r="S310" i="12843"/>
  <c r="U310" i="12843" s="1"/>
  <c r="S449" i="12843"/>
  <c r="U449" i="12843" s="1"/>
  <c r="S414" i="12843"/>
  <c r="U414" i="12843" s="1"/>
  <c r="S254" i="12843"/>
  <c r="S554" i="12843"/>
  <c r="U554" i="12843" s="1"/>
  <c r="S240" i="12843"/>
  <c r="S555" i="12843"/>
  <c r="U555" i="12843" s="1"/>
  <c r="S324" i="12843"/>
  <c r="U324" i="12843" s="1"/>
  <c r="S520" i="12843"/>
  <c r="U520" i="12843" s="1"/>
  <c r="S344" i="12843"/>
  <c r="U344" i="12843" s="1"/>
  <c r="S569" i="12843"/>
  <c r="U569" i="12843" s="1"/>
  <c r="S357" i="12843"/>
  <c r="U357" i="12843" s="1"/>
  <c r="S217" i="12843"/>
  <c r="S484" i="12843"/>
  <c r="S274" i="12843"/>
  <c r="U274" i="12843" s="1"/>
  <c r="S498" i="12843"/>
  <c r="S255" i="12843"/>
  <c r="S241" i="12843"/>
  <c r="S519" i="12843"/>
  <c r="U519" i="12843" s="1"/>
  <c r="S427" i="12843"/>
  <c r="U427" i="12843" s="1"/>
  <c r="S533" i="12843"/>
  <c r="U533" i="12843" s="1"/>
  <c r="S393" i="12843"/>
  <c r="S379" i="12843"/>
  <c r="S463" i="12843"/>
  <c r="U463" i="12843" s="1"/>
  <c r="S534" i="12843"/>
  <c r="U534" i="12843" s="1"/>
  <c r="S289" i="12843"/>
  <c r="U289" i="12843" s="1"/>
  <c r="S378" i="12843"/>
  <c r="S392" i="12843"/>
  <c r="S568" i="12843"/>
  <c r="U568" i="12843" s="1"/>
  <c r="S413" i="12843"/>
  <c r="U413" i="12843" s="1"/>
  <c r="I200" i="12843"/>
  <c r="I199" i="12843"/>
  <c r="U1194" i="12843"/>
  <c r="M1194" i="12843"/>
  <c r="Q1194" i="12843"/>
  <c r="G689" i="12843"/>
  <c r="I689" i="12843" s="1"/>
  <c r="I674" i="12843"/>
  <c r="G650" i="12843"/>
  <c r="G713" i="12843"/>
  <c r="G675" i="12843"/>
  <c r="G610" i="12843"/>
  <c r="I610" i="12843" s="1"/>
  <c r="U1146" i="12843"/>
  <c r="O1150" i="12843"/>
  <c r="O1146" i="12843"/>
  <c r="O1148" i="12843"/>
  <c r="O1147" i="12843"/>
  <c r="K1250" i="12843"/>
  <c r="S1250" i="12843"/>
  <c r="O1250" i="12843"/>
  <c r="U1150" i="12843"/>
  <c r="U1148" i="12843"/>
  <c r="U1147" i="12843"/>
  <c r="AC71" i="12764"/>
  <c r="AC24" i="12764"/>
  <c r="AE20" i="12764"/>
  <c r="AA116" i="12764"/>
  <c r="AA117" i="12764" s="1"/>
  <c r="M100" i="12812"/>
  <c r="X24" i="12764"/>
  <c r="U30" i="12764"/>
  <c r="U87" i="12764"/>
  <c r="O75" i="12811"/>
  <c r="L44" i="12812"/>
  <c r="M41" i="12812"/>
  <c r="AE24" i="12764"/>
  <c r="F25" i="12810"/>
  <c r="P82" i="12811"/>
  <c r="O83" i="12811"/>
  <c r="Q82" i="12812"/>
  <c r="Q83" i="12812" s="1"/>
  <c r="P83" i="12812"/>
  <c r="Q49" i="12811"/>
  <c r="Q50" i="12811" s="1"/>
  <c r="P50" i="12811"/>
  <c r="J38" i="12812"/>
  <c r="O104" i="12811"/>
  <c r="M106" i="12812"/>
  <c r="M122" i="12812" s="1"/>
  <c r="P104" i="12812"/>
  <c r="N104" i="12812"/>
  <c r="Q77" i="12811"/>
  <c r="P78" i="12811"/>
  <c r="F47" i="12812"/>
  <c r="F69" i="12812" s="1"/>
  <c r="I46" i="12812"/>
  <c r="I20" i="12809"/>
  <c r="G20" i="12809"/>
  <c r="Q128" i="12812"/>
  <c r="Q132" i="12812" s="1"/>
  <c r="Q142" i="12812" s="1"/>
  <c r="P132" i="12812"/>
  <c r="P142" i="12812" s="1"/>
  <c r="Q85" i="12811"/>
  <c r="P86" i="12811"/>
  <c r="Q52" i="12811"/>
  <c r="P54" i="12811"/>
  <c r="P128" i="12811"/>
  <c r="Q128" i="12811" s="1"/>
  <c r="O132" i="12811"/>
  <c r="Q23" i="12811"/>
  <c r="F165" i="12812" l="1"/>
  <c r="N106" i="12812"/>
  <c r="N122" i="12812" s="1"/>
  <c r="N44" i="12811"/>
  <c r="P75" i="12812"/>
  <c r="P100" i="12812" s="1"/>
  <c r="P73" i="12811"/>
  <c r="P75" i="12811" s="1"/>
  <c r="N73" i="12812"/>
  <c r="N75" i="12812" s="1"/>
  <c r="N100" i="12812" s="1"/>
  <c r="J75" i="12812"/>
  <c r="J100" i="12812" s="1"/>
  <c r="N42" i="12812"/>
  <c r="J44" i="12812"/>
  <c r="AB30" i="12764"/>
  <c r="Y30" i="12764"/>
  <c r="U90" i="12764"/>
  <c r="Y90" i="12764" s="1"/>
  <c r="Y87" i="12764"/>
  <c r="AE87" i="12764" s="1"/>
  <c r="AB85" i="12764"/>
  <c r="U1149" i="12843"/>
  <c r="U1151" i="12843"/>
  <c r="O1151" i="12843"/>
  <c r="O1149" i="12843"/>
  <c r="U378" i="12843"/>
  <c r="X85" i="12764"/>
  <c r="AC85" i="12764"/>
  <c r="W85" i="12764"/>
  <c r="W116" i="12764" s="1"/>
  <c r="W117" i="12764" s="1"/>
  <c r="U591" i="12843"/>
  <c r="U592" i="12843"/>
  <c r="Q609" i="12843"/>
  <c r="U650" i="12843"/>
  <c r="K1175" i="12843"/>
  <c r="U200" i="12843"/>
  <c r="S1233" i="12843"/>
  <c r="S1234" i="12843" s="1"/>
  <c r="U649" i="12843"/>
  <c r="U199" i="12843"/>
  <c r="Q146" i="12843"/>
  <c r="U146" i="12843"/>
  <c r="M1217" i="12843"/>
  <c r="M1216" i="12843"/>
  <c r="M1214" i="12843"/>
  <c r="M1213" i="12843"/>
  <c r="M1215" i="12843"/>
  <c r="V39" i="12831"/>
  <c r="V38" i="12831"/>
  <c r="V41" i="12831"/>
  <c r="V37" i="12831"/>
  <c r="V40" i="12831"/>
  <c r="V18" i="12831"/>
  <c r="V31" i="12831"/>
  <c r="V27" i="12831"/>
  <c r="V30" i="12831"/>
  <c r="V26" i="12831"/>
  <c r="V25" i="12831"/>
  <c r="V28" i="12831"/>
  <c r="V29" i="12831"/>
  <c r="V24" i="12831"/>
  <c r="U1129" i="12843"/>
  <c r="U1156" i="12843"/>
  <c r="U1158" i="12843"/>
  <c r="U1131" i="12843"/>
  <c r="O1157" i="12843"/>
  <c r="O1158" i="12843"/>
  <c r="U1155" i="12843"/>
  <c r="O1139" i="12843"/>
  <c r="U1153" i="12843"/>
  <c r="U1157" i="12843"/>
  <c r="U1130" i="12843"/>
  <c r="O1134" i="12843"/>
  <c r="O1130" i="12843"/>
  <c r="O1133" i="12843"/>
  <c r="U1154" i="12843"/>
  <c r="U1134" i="12843"/>
  <c r="O1144" i="12843"/>
  <c r="O1137" i="12843"/>
  <c r="O1131" i="12843"/>
  <c r="U1133" i="12843"/>
  <c r="O1135" i="12843"/>
  <c r="U1159" i="12843"/>
  <c r="O1159" i="12843"/>
  <c r="O1141" i="12843"/>
  <c r="O1129" i="12843"/>
  <c r="O1132" i="12843"/>
  <c r="O1136" i="12843"/>
  <c r="O50" i="12831"/>
  <c r="U240" i="12843"/>
  <c r="G727" i="12843"/>
  <c r="I727" i="12843" s="1"/>
  <c r="I649" i="12843" s="1"/>
  <c r="S674" i="12843"/>
  <c r="S689" i="12843" s="1"/>
  <c r="U689" i="12843" s="1"/>
  <c r="S609" i="12843"/>
  <c r="S649" i="12843"/>
  <c r="U392" i="12843"/>
  <c r="U1132" i="12843"/>
  <c r="U255" i="12843"/>
  <c r="U1137" i="12843"/>
  <c r="U1136" i="12843"/>
  <c r="U1135" i="12843"/>
  <c r="U393" i="12843"/>
  <c r="S1142" i="12843"/>
  <c r="S1147" i="12843"/>
  <c r="S650" i="12843"/>
  <c r="S713" i="12843"/>
  <c r="U713" i="12843" s="1"/>
  <c r="S675" i="12843"/>
  <c r="U675" i="12843" s="1"/>
  <c r="S1150" i="12843"/>
  <c r="O1140" i="12843"/>
  <c r="O1156" i="12843"/>
  <c r="O1155" i="12843"/>
  <c r="O1153" i="12843"/>
  <c r="O1154" i="12843"/>
  <c r="U254" i="12843"/>
  <c r="U239" i="12843"/>
  <c r="U391" i="12843"/>
  <c r="U253" i="12843"/>
  <c r="U377" i="12843"/>
  <c r="U241" i="12843"/>
  <c r="U485" i="12843"/>
  <c r="U483" i="12843"/>
  <c r="U484" i="12843"/>
  <c r="I632" i="12843"/>
  <c r="I675" i="12843"/>
  <c r="G690" i="12843"/>
  <c r="I690" i="12843" s="1"/>
  <c r="G728" i="12843"/>
  <c r="I728" i="12843" s="1"/>
  <c r="I713" i="12843"/>
  <c r="U712" i="12843"/>
  <c r="S727" i="12843"/>
  <c r="U727" i="12843" s="1"/>
  <c r="S1146" i="12843"/>
  <c r="U1253" i="12843"/>
  <c r="U1255" i="12843" s="1"/>
  <c r="S1252" i="12843"/>
  <c r="S1148" i="12843"/>
  <c r="O1233" i="12843"/>
  <c r="M1253" i="12843"/>
  <c r="M1255" i="12843" s="1"/>
  <c r="K1252" i="12843"/>
  <c r="K1219" i="12843"/>
  <c r="Q1253" i="12843"/>
  <c r="Q1255" i="12843" s="1"/>
  <c r="O1252" i="12843"/>
  <c r="X87" i="12764"/>
  <c r="AE30" i="12764"/>
  <c r="AE60" i="12764" s="1"/>
  <c r="O100" i="12811"/>
  <c r="AC87" i="12764"/>
  <c r="AB87" i="12764"/>
  <c r="U60" i="12764"/>
  <c r="AC30" i="12764"/>
  <c r="X30" i="12764"/>
  <c r="Q100" i="12812"/>
  <c r="M44" i="12812"/>
  <c r="P41" i="12812"/>
  <c r="O41" i="12811"/>
  <c r="N41" i="12812"/>
  <c r="Q82" i="12811"/>
  <c r="P83" i="12811"/>
  <c r="L38" i="12812"/>
  <c r="H16" i="12809" s="1"/>
  <c r="I16" i="12809" s="1"/>
  <c r="J16" i="12809" s="1"/>
  <c r="Q104" i="12812"/>
  <c r="Q106" i="12812" s="1"/>
  <c r="Q122" i="12812" s="1"/>
  <c r="P106" i="12812"/>
  <c r="P122" i="12812" s="1"/>
  <c r="O106" i="12811"/>
  <c r="O122" i="12811" s="1"/>
  <c r="P104" i="12811"/>
  <c r="Q78" i="12811"/>
  <c r="F145" i="12812"/>
  <c r="I47" i="12812"/>
  <c r="I69" i="12812" s="1"/>
  <c r="I145" i="12812" s="1"/>
  <c r="J46" i="12812"/>
  <c r="N46" i="12811"/>
  <c r="O142" i="12811"/>
  <c r="P132" i="12811"/>
  <c r="Q86" i="12811"/>
  <c r="J20" i="12809"/>
  <c r="Q54" i="12811"/>
  <c r="L33" i="12783"/>
  <c r="N44" i="12812" l="1"/>
  <c r="Q73" i="12811"/>
  <c r="Q75" i="12811" s="1"/>
  <c r="U116" i="12764"/>
  <c r="Y116" i="12764" s="1"/>
  <c r="AC60" i="12764"/>
  <c r="Y60" i="12764"/>
  <c r="Y85" i="12764"/>
  <c r="S1149" i="12843"/>
  <c r="S1151" i="12843"/>
  <c r="AE90" i="12764"/>
  <c r="AE116" i="12764" s="1"/>
  <c r="AE117" i="12764" s="1"/>
  <c r="Q1175" i="12843"/>
  <c r="Q1179" i="12843" s="1"/>
  <c r="Q1181" i="12843" s="1"/>
  <c r="O1175" i="12843"/>
  <c r="M1175" i="12843"/>
  <c r="M1179" i="12843" s="1"/>
  <c r="M1181" i="12843" s="1"/>
  <c r="M1219" i="12843"/>
  <c r="O1219" i="12843"/>
  <c r="O1223" i="12843" s="1"/>
  <c r="U31" i="12831"/>
  <c r="Q31" i="12831" s="1"/>
  <c r="U40" i="12831"/>
  <c r="U41" i="12831"/>
  <c r="X41" i="12831" s="1"/>
  <c r="S1130" i="12843"/>
  <c r="Q1141" i="12843"/>
  <c r="S1139" i="12843"/>
  <c r="S1132" i="12843"/>
  <c r="S1134" i="12843"/>
  <c r="Q1140" i="12843"/>
  <c r="S1141" i="12843"/>
  <c r="S1144" i="12843"/>
  <c r="S1158" i="12843"/>
  <c r="S1159" i="12843"/>
  <c r="S1136" i="12843"/>
  <c r="S1133" i="12843"/>
  <c r="S1131" i="12843"/>
  <c r="S1157" i="12843"/>
  <c r="S1129" i="12843"/>
  <c r="S1153" i="12843"/>
  <c r="S1135" i="12843"/>
  <c r="S1137" i="12843"/>
  <c r="U25" i="12831"/>
  <c r="Q25" i="12831" s="1"/>
  <c r="U38" i="12831"/>
  <c r="X38" i="12831" s="1"/>
  <c r="U39" i="12831"/>
  <c r="Q39" i="12831" s="1"/>
  <c r="S1219" i="12843"/>
  <c r="S1223" i="12843" s="1"/>
  <c r="K1233" i="12843"/>
  <c r="K1234" i="12843" s="1"/>
  <c r="U674" i="12843"/>
  <c r="S690" i="12843"/>
  <c r="U690" i="12843" s="1"/>
  <c r="Q1232" i="12843"/>
  <c r="Q1188" i="12843" s="1"/>
  <c r="S728" i="12843"/>
  <c r="U728" i="12843" s="1"/>
  <c r="S1140" i="12843"/>
  <c r="S1155" i="12843"/>
  <c r="S1156" i="12843"/>
  <c r="Q1142" i="12843"/>
  <c r="S1154" i="12843"/>
  <c r="U24" i="12831"/>
  <c r="X24" i="12831" s="1"/>
  <c r="I650" i="12843"/>
  <c r="I633" i="12843"/>
  <c r="S1175" i="12843"/>
  <c r="K1223" i="12843"/>
  <c r="O1234" i="12843"/>
  <c r="AB90" i="12764"/>
  <c r="AC90" i="12764"/>
  <c r="AC116" i="12764" s="1"/>
  <c r="X90" i="12764"/>
  <c r="AB60" i="12764"/>
  <c r="X60" i="12764"/>
  <c r="P100" i="12811"/>
  <c r="O44" i="12811"/>
  <c r="P41" i="12811"/>
  <c r="Q41" i="12812"/>
  <c r="Q44" i="12812" s="1"/>
  <c r="P44" i="12812"/>
  <c r="Q83" i="12811"/>
  <c r="O13" i="12811"/>
  <c r="O20" i="12811" s="1"/>
  <c r="M38" i="12812"/>
  <c r="Q13" i="12812"/>
  <c r="Q20" i="12812" s="1"/>
  <c r="N38" i="12812"/>
  <c r="Q104" i="12811"/>
  <c r="Q106" i="12811" s="1"/>
  <c r="P106" i="12811"/>
  <c r="P122" i="12811" s="1"/>
  <c r="N47" i="12811"/>
  <c r="N69" i="12811" s="1"/>
  <c r="J47" i="12812"/>
  <c r="J69" i="12812" s="1"/>
  <c r="J145" i="12812" s="1"/>
  <c r="Q132" i="12811"/>
  <c r="Q142" i="12811" s="1"/>
  <c r="P142" i="12811"/>
  <c r="L45" i="12783"/>
  <c r="Q100" i="12811" l="1"/>
  <c r="U117" i="12764"/>
  <c r="AC117" i="12764"/>
  <c r="U1214" i="12843"/>
  <c r="U1208" i="12843"/>
  <c r="U1219" i="12843"/>
  <c r="U1189" i="12843" s="1"/>
  <c r="U1216" i="12843"/>
  <c r="U1215" i="12843"/>
  <c r="U1232" i="12843"/>
  <c r="U1217" i="12843"/>
  <c r="M1205" i="12843"/>
  <c r="U28" i="12831"/>
  <c r="X28" i="12831" s="1"/>
  <c r="U27" i="12831"/>
  <c r="X27" i="12831" s="1"/>
  <c r="U37" i="12831"/>
  <c r="X37" i="12831" s="1"/>
  <c r="U29" i="12831"/>
  <c r="Q29" i="12831" s="1"/>
  <c r="U1141" i="12843"/>
  <c r="Q1144" i="12843"/>
  <c r="U1140" i="12843"/>
  <c r="Q1139" i="12843"/>
  <c r="U18" i="12831"/>
  <c r="Q18" i="12831" s="1"/>
  <c r="X101" i="12843"/>
  <c r="U26" i="12831"/>
  <c r="Q26" i="12831" s="1"/>
  <c r="U30" i="12831"/>
  <c r="Q30" i="12831" s="1"/>
  <c r="W1181" i="12843"/>
  <c r="W1182" i="12843" s="1"/>
  <c r="Q38" i="12831"/>
  <c r="X39" i="12831"/>
  <c r="Q40" i="12831"/>
  <c r="S31" i="12831"/>
  <c r="S39" i="12831"/>
  <c r="X40" i="12831"/>
  <c r="Q41" i="12831"/>
  <c r="X31" i="12831"/>
  <c r="W1255" i="12843"/>
  <c r="S25" i="12831"/>
  <c r="M1232" i="12843"/>
  <c r="M1188" i="12843" s="1"/>
  <c r="Y117" i="12764"/>
  <c r="Q1219" i="12843"/>
  <c r="Q1189" i="12843" s="1"/>
  <c r="M1209" i="12843"/>
  <c r="M1206" i="12843"/>
  <c r="M1207" i="12843"/>
  <c r="M1210" i="12843"/>
  <c r="M1208" i="12843"/>
  <c r="U1175" i="12843"/>
  <c r="U1179" i="12843" s="1"/>
  <c r="U1181" i="12843" s="1"/>
  <c r="U1142" i="12843"/>
  <c r="Q24" i="12831"/>
  <c r="M1189" i="12843"/>
  <c r="Q1237" i="12843"/>
  <c r="Q1239" i="12843" s="1"/>
  <c r="X116" i="12764"/>
  <c r="X117" i="12764" s="1"/>
  <c r="AB116" i="12764"/>
  <c r="AB117" i="12764" s="1"/>
  <c r="Q41" i="12811"/>
  <c r="Q44" i="12811" s="1"/>
  <c r="P44" i="12811"/>
  <c r="Q38" i="12812"/>
  <c r="P38" i="12812"/>
  <c r="O38" i="12811"/>
  <c r="P13" i="12811"/>
  <c r="P20" i="12811" s="1"/>
  <c r="Q122" i="12811"/>
  <c r="D17" i="12809"/>
  <c r="N145" i="12811"/>
  <c r="M46" i="12812"/>
  <c r="L47" i="12812"/>
  <c r="L69" i="12812" s="1"/>
  <c r="L49" i="12783"/>
  <c r="G91" i="12843" l="1"/>
  <c r="G90" i="12843"/>
  <c r="G97" i="12843" s="1"/>
  <c r="S30" i="12831"/>
  <c r="S29" i="12831"/>
  <c r="U1209" i="12843"/>
  <c r="Q1216" i="12843"/>
  <c r="S1209" i="12843"/>
  <c r="U1213" i="12843"/>
  <c r="S1206" i="12843"/>
  <c r="S1205" i="12843"/>
  <c r="U1206" i="12843"/>
  <c r="S1216" i="12843"/>
  <c r="S1215" i="12843"/>
  <c r="U1205" i="12843"/>
  <c r="U1224" i="12843" s="1"/>
  <c r="U1207" i="12843"/>
  <c r="U1210" i="12843"/>
  <c r="U1188" i="12843"/>
  <c r="U1237" i="12843"/>
  <c r="U1239" i="12843" s="1"/>
  <c r="Q1206" i="12843"/>
  <c r="K1210" i="12843"/>
  <c r="K1206" i="12843"/>
  <c r="Q1215" i="12843"/>
  <c r="Q1205" i="12843"/>
  <c r="Q1209" i="12843"/>
  <c r="K1208" i="12843"/>
  <c r="Q1213" i="12843"/>
  <c r="K1207" i="12843"/>
  <c r="K1209" i="12843"/>
  <c r="Q1217" i="12843"/>
  <c r="Q1207" i="12843"/>
  <c r="Q1214" i="12843"/>
  <c r="Q28" i="12831"/>
  <c r="Q27" i="12831"/>
  <c r="Q37" i="12831"/>
  <c r="U44" i="12831"/>
  <c r="X44" i="12831" s="1"/>
  <c r="X29" i="12831"/>
  <c r="U1139" i="12843"/>
  <c r="U1144" i="12843"/>
  <c r="U21" i="12831"/>
  <c r="X21" i="12831" s="1"/>
  <c r="X18" i="12831"/>
  <c r="X26" i="12831"/>
  <c r="X25" i="12831" s="1"/>
  <c r="W1120" i="12843"/>
  <c r="X30" i="12831"/>
  <c r="U34" i="12831"/>
  <c r="V34" i="12831" s="1"/>
  <c r="G578" i="12843"/>
  <c r="G580" i="12843"/>
  <c r="G583" i="12843"/>
  <c r="G579" i="12843"/>
  <c r="G863" i="12843"/>
  <c r="I863" i="12843" s="1"/>
  <c r="W1164" i="12843"/>
  <c r="W1166" i="12843" s="1"/>
  <c r="G589" i="12843"/>
  <c r="S38" i="12831"/>
  <c r="S40" i="12831"/>
  <c r="W1195" i="12843"/>
  <c r="S41" i="12831"/>
  <c r="W1295" i="12843"/>
  <c r="W1296" i="12843" s="1"/>
  <c r="M1237" i="12843"/>
  <c r="M1239" i="12843" s="1"/>
  <c r="Q1210" i="12843"/>
  <c r="Q1208" i="12843"/>
  <c r="K1213" i="12843"/>
  <c r="K1217" i="12843"/>
  <c r="K1205" i="12843"/>
  <c r="K1214" i="12843"/>
  <c r="K1216" i="12843"/>
  <c r="K1215" i="12843"/>
  <c r="S24" i="12831"/>
  <c r="W221" i="12843"/>
  <c r="Q21" i="12831"/>
  <c r="S26" i="12831"/>
  <c r="S18" i="12831"/>
  <c r="W653" i="12843"/>
  <c r="W101" i="12843"/>
  <c r="P38" i="12811"/>
  <c r="Q13" i="12811"/>
  <c r="Q20" i="12811" s="1"/>
  <c r="H17" i="12809"/>
  <c r="L145" i="12812"/>
  <c r="F17" i="12809"/>
  <c r="D21" i="12809"/>
  <c r="D25" i="12809" s="1"/>
  <c r="O46" i="12811"/>
  <c r="M47" i="12812"/>
  <c r="M69" i="12812" s="1"/>
  <c r="M145" i="12812" s="1"/>
  <c r="P46" i="12812"/>
  <c r="N46" i="12812"/>
  <c r="N47" i="12812" s="1"/>
  <c r="N69" i="12812" s="1"/>
  <c r="N145" i="12812" s="1"/>
  <c r="G98" i="12843" l="1"/>
  <c r="G126" i="12843"/>
  <c r="I126" i="12843" s="1"/>
  <c r="G125" i="12843"/>
  <c r="I125" i="12843" s="1"/>
  <c r="X963" i="12843"/>
  <c r="X959" i="12843"/>
  <c r="W27" i="12843"/>
  <c r="X960" i="12843"/>
  <c r="I964" i="12843"/>
  <c r="X957" i="12843"/>
  <c r="G981" i="12843"/>
  <c r="G902" i="12843" s="1"/>
  <c r="S1208" i="12843"/>
  <c r="V17" i="12771"/>
  <c r="S1214" i="12843"/>
  <c r="S1217" i="12843"/>
  <c r="S1213" i="12843"/>
  <c r="U1190" i="12843"/>
  <c r="S1207" i="12843"/>
  <c r="S1210" i="12843"/>
  <c r="X956" i="12843"/>
  <c r="G641" i="12843"/>
  <c r="X620" i="12843"/>
  <c r="X619" i="12843"/>
  <c r="X195" i="12843"/>
  <c r="G372" i="12843"/>
  <c r="G384" i="12843" s="1"/>
  <c r="G335" i="12843"/>
  <c r="G348" i="12843" s="1"/>
  <c r="I348" i="12843" s="1"/>
  <c r="G207" i="12843"/>
  <c r="G264" i="12843"/>
  <c r="G277" i="12843" s="1"/>
  <c r="I277" i="12843" s="1"/>
  <c r="G766" i="12843"/>
  <c r="O1207" i="12843"/>
  <c r="O1216" i="12843"/>
  <c r="O1208" i="12843"/>
  <c r="O1210" i="12843"/>
  <c r="O1214" i="12843"/>
  <c r="O1209" i="12843"/>
  <c r="O1205" i="12843"/>
  <c r="O1217" i="12843"/>
  <c r="O1213" i="12843"/>
  <c r="O1215" i="12843"/>
  <c r="O1206" i="12843"/>
  <c r="W950" i="12843"/>
  <c r="S27" i="12831"/>
  <c r="W931" i="12843"/>
  <c r="S28" i="12831"/>
  <c r="W913" i="12843"/>
  <c r="Q44" i="12831"/>
  <c r="W785" i="12843"/>
  <c r="Q34" i="12831"/>
  <c r="S37" i="12831"/>
  <c r="S44" i="12831" s="1"/>
  <c r="V44" i="12831"/>
  <c r="V21" i="12831"/>
  <c r="U46" i="12831"/>
  <c r="X46" i="12831" s="1"/>
  <c r="X34" i="12831"/>
  <c r="G582" i="12843"/>
  <c r="G661" i="12843"/>
  <c r="G699" i="12843"/>
  <c r="G715" i="12843" s="1"/>
  <c r="I715" i="12843" s="1"/>
  <c r="G637" i="12843"/>
  <c r="G779" i="12843"/>
  <c r="G883" i="12843"/>
  <c r="I883" i="12843" s="1"/>
  <c r="G700" i="12843"/>
  <c r="G716" i="12843" s="1"/>
  <c r="I716" i="12843" s="1"/>
  <c r="G638" i="12843"/>
  <c r="G662" i="12843"/>
  <c r="X758" i="12843"/>
  <c r="G812" i="12843"/>
  <c r="I812" i="12843" s="1"/>
  <c r="I758" i="12843" s="1"/>
  <c r="G711" i="12843"/>
  <c r="G646" i="12843"/>
  <c r="G673" i="12843"/>
  <c r="X631" i="12843"/>
  <c r="G299" i="12843"/>
  <c r="I299" i="12843" s="1"/>
  <c r="G206" i="12843"/>
  <c r="G437" i="12843"/>
  <c r="G451" i="12843" s="1"/>
  <c r="I451" i="12843" s="1"/>
  <c r="G333" i="12843"/>
  <c r="I333" i="12843" s="1"/>
  <c r="G402" i="12843"/>
  <c r="G416" i="12843" s="1"/>
  <c r="I416" i="12843" s="1"/>
  <c r="X189" i="12843"/>
  <c r="G230" i="12843"/>
  <c r="G367" i="12843"/>
  <c r="G381" i="12843" s="1"/>
  <c r="S21" i="12831"/>
  <c r="W1197" i="12843"/>
  <c r="G795" i="12843"/>
  <c r="G818" i="12843" s="1"/>
  <c r="I818" i="12843" s="1"/>
  <c r="X741" i="12843"/>
  <c r="K795" i="12843"/>
  <c r="M795" i="12843" s="1"/>
  <c r="G846" i="12843"/>
  <c r="I846" i="12843" s="1"/>
  <c r="V21" i="12771"/>
  <c r="Q1224" i="12843"/>
  <c r="Q1226" i="12843" s="1"/>
  <c r="Q1190" i="12843"/>
  <c r="G800" i="12843"/>
  <c r="I800" i="12843" s="1"/>
  <c r="X740" i="12843"/>
  <c r="K748" i="12843"/>
  <c r="K853" i="12843" s="1"/>
  <c r="M853" i="12843" s="1"/>
  <c r="G851" i="12843"/>
  <c r="G859" i="12843" s="1"/>
  <c r="X746" i="12843"/>
  <c r="G754" i="12843"/>
  <c r="G775" i="12843" s="1"/>
  <c r="G767" i="12843"/>
  <c r="K189" i="12843"/>
  <c r="K299" i="12843" s="1"/>
  <c r="M299" i="12843" s="1"/>
  <c r="K191" i="12843"/>
  <c r="K439" i="12843" s="1"/>
  <c r="M439" i="12843" s="1"/>
  <c r="M1190" i="12843"/>
  <c r="M1224" i="12843"/>
  <c r="M1193" i="12843" s="1"/>
  <c r="M1195" i="12843" s="1"/>
  <c r="X91" i="12843"/>
  <c r="G303" i="12843"/>
  <c r="G315" i="12843" s="1"/>
  <c r="I315" i="12843" s="1"/>
  <c r="G234" i="12843"/>
  <c r="G268" i="12843"/>
  <c r="I268" i="12843" s="1"/>
  <c r="G478" i="12843"/>
  <c r="G490" i="12843" s="1"/>
  <c r="G337" i="12843"/>
  <c r="I337" i="12843" s="1"/>
  <c r="G513" i="12843"/>
  <c r="G525" i="12843" s="1"/>
  <c r="I525" i="12843" s="1"/>
  <c r="G778" i="12843"/>
  <c r="X757" i="12843"/>
  <c r="G481" i="12843"/>
  <c r="G493" i="12843" s="1"/>
  <c r="X197" i="12843"/>
  <c r="G407" i="12843"/>
  <c r="I407" i="12843" s="1"/>
  <c r="G442" i="12843"/>
  <c r="I442" i="12843" s="1"/>
  <c r="G548" i="12843"/>
  <c r="I548" i="12843" s="1"/>
  <c r="G409" i="12843"/>
  <c r="G421" i="12843" s="1"/>
  <c r="I421" i="12843" s="1"/>
  <c r="X196" i="12843"/>
  <c r="X194" i="12843"/>
  <c r="G209" i="12843"/>
  <c r="X191" i="12843"/>
  <c r="G266" i="12843"/>
  <c r="G279" i="12843" s="1"/>
  <c r="I279" i="12843" s="1"/>
  <c r="G208" i="12843"/>
  <c r="G439" i="12843"/>
  <c r="G453" i="12843" s="1"/>
  <c r="I453" i="12843" s="1"/>
  <c r="G404" i="12843"/>
  <c r="G418" i="12843" s="1"/>
  <c r="I418" i="12843" s="1"/>
  <c r="G369" i="12843"/>
  <c r="G383" i="12843" s="1"/>
  <c r="G232" i="12843"/>
  <c r="G301" i="12843"/>
  <c r="G314" i="12843" s="1"/>
  <c r="I314" i="12843" s="1"/>
  <c r="K750" i="12843"/>
  <c r="K771" i="12843" s="1"/>
  <c r="G368" i="12843"/>
  <c r="G382" i="12843" s="1"/>
  <c r="G438" i="12843"/>
  <c r="I438" i="12843" s="1"/>
  <c r="G403" i="12843"/>
  <c r="G417" i="12843" s="1"/>
  <c r="I417" i="12843" s="1"/>
  <c r="X190" i="12843"/>
  <c r="K749" i="12843"/>
  <c r="K854" i="12843" s="1"/>
  <c r="G300" i="12843"/>
  <c r="I300" i="12843" s="1"/>
  <c r="G265" i="12843"/>
  <c r="G278" i="12843" s="1"/>
  <c r="I278" i="12843" s="1"/>
  <c r="G231" i="12843"/>
  <c r="G334" i="12843"/>
  <c r="I334" i="12843" s="1"/>
  <c r="G373" i="12843"/>
  <c r="G385" i="12843" s="1"/>
  <c r="K190" i="12843"/>
  <c r="K300" i="12843" s="1"/>
  <c r="G210" i="12843"/>
  <c r="G235" i="12843"/>
  <c r="G479" i="12843"/>
  <c r="G491" i="12843" s="1"/>
  <c r="G443" i="12843"/>
  <c r="I443" i="12843" s="1"/>
  <c r="G765" i="12843"/>
  <c r="G269" i="12843"/>
  <c r="G281" i="12843" s="1"/>
  <c r="I281" i="12843" s="1"/>
  <c r="G304" i="12843"/>
  <c r="I304" i="12843" s="1"/>
  <c r="G408" i="12843"/>
  <c r="G420" i="12843" s="1"/>
  <c r="I420" i="12843" s="1"/>
  <c r="G549" i="12843"/>
  <c r="G561" i="12843" s="1"/>
  <c r="I561" i="12843" s="1"/>
  <c r="G862" i="12843"/>
  <c r="I862" i="12843" s="1"/>
  <c r="G794" i="12843"/>
  <c r="I794" i="12843" s="1"/>
  <c r="G811" i="12843"/>
  <c r="G830" i="12843" s="1"/>
  <c r="I830" i="12843" s="1"/>
  <c r="G338" i="12843"/>
  <c r="G350" i="12843" s="1"/>
  <c r="I350" i="12843" s="1"/>
  <c r="G514" i="12843"/>
  <c r="G526" i="12843" s="1"/>
  <c r="I526" i="12843" s="1"/>
  <c r="V20" i="12771"/>
  <c r="K794" i="12843"/>
  <c r="M794" i="12843" s="1"/>
  <c r="G845" i="12843"/>
  <c r="I845" i="12843" s="1"/>
  <c r="X760" i="12843"/>
  <c r="G516" i="12843"/>
  <c r="G528" i="12843" s="1"/>
  <c r="I528" i="12843" s="1"/>
  <c r="G445" i="12843"/>
  <c r="G457" i="12843" s="1"/>
  <c r="I457" i="12843" s="1"/>
  <c r="G212" i="12843"/>
  <c r="G237" i="12843"/>
  <c r="G551" i="12843"/>
  <c r="I551" i="12843" s="1"/>
  <c r="G339" i="12843"/>
  <c r="G351" i="12843" s="1"/>
  <c r="I351" i="12843" s="1"/>
  <c r="G271" i="12843"/>
  <c r="G283" i="12843" s="1"/>
  <c r="I283" i="12843" s="1"/>
  <c r="G410" i="12843"/>
  <c r="I410" i="12843" s="1"/>
  <c r="G306" i="12843"/>
  <c r="I306" i="12843" s="1"/>
  <c r="G340" i="12843"/>
  <c r="G352" i="12843" s="1"/>
  <c r="I352" i="12843" s="1"/>
  <c r="G375" i="12843"/>
  <c r="G387" i="12843" s="1"/>
  <c r="G444" i="12843"/>
  <c r="G456" i="12843" s="1"/>
  <c r="I456" i="12843" s="1"/>
  <c r="G480" i="12843"/>
  <c r="G492" i="12843" s="1"/>
  <c r="G374" i="12843"/>
  <c r="G386" i="12843" s="1"/>
  <c r="G305" i="12843"/>
  <c r="I305" i="12843" s="1"/>
  <c r="G550" i="12843"/>
  <c r="I550" i="12843" s="1"/>
  <c r="G270" i="12843"/>
  <c r="G282" i="12843" s="1"/>
  <c r="I282" i="12843" s="1"/>
  <c r="G515" i="12843"/>
  <c r="I515" i="12843" s="1"/>
  <c r="G236" i="12843"/>
  <c r="G211" i="12843"/>
  <c r="S34" i="12831"/>
  <c r="G666" i="12843"/>
  <c r="X624" i="12843"/>
  <c r="G704" i="12843"/>
  <c r="G719" i="12843" s="1"/>
  <c r="I719" i="12843" s="1"/>
  <c r="Y91" i="12843"/>
  <c r="G141" i="12843"/>
  <c r="I141" i="12843" s="1"/>
  <c r="G156" i="12843"/>
  <c r="I156" i="12843" s="1"/>
  <c r="G171" i="12843"/>
  <c r="I171" i="12843" s="1"/>
  <c r="G110" i="12843"/>
  <c r="I110" i="12843" s="1"/>
  <c r="G109" i="12843"/>
  <c r="I109" i="12843" s="1"/>
  <c r="G170" i="12843"/>
  <c r="I170" i="12843" s="1"/>
  <c r="G155" i="12843"/>
  <c r="I155" i="12843" s="1"/>
  <c r="G140" i="12843"/>
  <c r="I140" i="12843" s="1"/>
  <c r="K623" i="12843"/>
  <c r="K703" i="12843" s="1"/>
  <c r="G639" i="12843"/>
  <c r="X621" i="12843"/>
  <c r="G663" i="12843"/>
  <c r="G701" i="12843"/>
  <c r="U1193" i="12843"/>
  <c r="U1195" i="12843" s="1"/>
  <c r="U1226" i="12843"/>
  <c r="Q38" i="12811"/>
  <c r="Q46" i="12812"/>
  <c r="Q47" i="12812" s="1"/>
  <c r="Q69" i="12812" s="1"/>
  <c r="P47" i="12812"/>
  <c r="P69" i="12812" s="1"/>
  <c r="P145" i="12812" s="1"/>
  <c r="O47" i="12811"/>
  <c r="O69" i="12811" s="1"/>
  <c r="O145" i="12811" s="1"/>
  <c r="P46" i="12811"/>
  <c r="G17" i="12809"/>
  <c r="G21" i="12809" s="1"/>
  <c r="F21" i="12809"/>
  <c r="F25" i="12809" s="1"/>
  <c r="I17" i="12809"/>
  <c r="H21" i="12809"/>
  <c r="O947" i="12787"/>
  <c r="O953" i="12787" s="1"/>
  <c r="O936" i="12787"/>
  <c r="O1032" i="12787"/>
  <c r="G1042" i="12787"/>
  <c r="X90" i="12843" l="1"/>
  <c r="I115" i="12843"/>
  <c r="G146" i="12843"/>
  <c r="S115" i="12843"/>
  <c r="S146" i="12843" s="1"/>
  <c r="S161" i="12843" s="1"/>
  <c r="I114" i="12843"/>
  <c r="S114" i="12843"/>
  <c r="S145" i="12843" s="1"/>
  <c r="S160" i="12843" s="1"/>
  <c r="G145" i="12843"/>
  <c r="G908" i="12843"/>
  <c r="G907" i="12843"/>
  <c r="I90" i="12843"/>
  <c r="I91" i="12843"/>
  <c r="I959" i="12843"/>
  <c r="G997" i="12843"/>
  <c r="I997" i="12843" s="1"/>
  <c r="I963" i="12843"/>
  <c r="G983" i="12843"/>
  <c r="G904" i="12843" s="1"/>
  <c r="G909" i="12843" s="1"/>
  <c r="X966" i="12843"/>
  <c r="G1001" i="12843"/>
  <c r="I1001" i="12843" s="1"/>
  <c r="G979" i="12843"/>
  <c r="G900" i="12843" s="1"/>
  <c r="G977" i="12843"/>
  <c r="G898" i="12843" s="1"/>
  <c r="I957" i="12843"/>
  <c r="G980" i="12843"/>
  <c r="G901" i="12843" s="1"/>
  <c r="G998" i="12843"/>
  <c r="I998" i="12843" s="1"/>
  <c r="K956" i="12843"/>
  <c r="K976" i="12843" s="1"/>
  <c r="I960" i="12843"/>
  <c r="I961" i="12843"/>
  <c r="G999" i="12843"/>
  <c r="I999" i="12843" s="1"/>
  <c r="X961" i="12843"/>
  <c r="G995" i="12843"/>
  <c r="I995" i="12843" s="1"/>
  <c r="G1002" i="12843"/>
  <c r="I1002" i="12843" s="1"/>
  <c r="X964" i="12843"/>
  <c r="G984" i="12843"/>
  <c r="G905" i="12843" s="1"/>
  <c r="W946" i="12843"/>
  <c r="X946" i="12843" s="1"/>
  <c r="W943" i="12843"/>
  <c r="X943" i="12843" s="1"/>
  <c r="I956" i="12843"/>
  <c r="G994" i="12843"/>
  <c r="I994" i="12843" s="1"/>
  <c r="G976" i="12843"/>
  <c r="G897" i="12843" s="1"/>
  <c r="Q17" i="12772"/>
  <c r="I908" i="12843"/>
  <c r="I981" i="12843"/>
  <c r="X1020" i="12843"/>
  <c r="K1108" i="12843"/>
  <c r="I264" i="12843"/>
  <c r="I230" i="12843" s="1"/>
  <c r="G703" i="12843"/>
  <c r="G718" i="12843" s="1"/>
  <c r="I718" i="12843" s="1"/>
  <c r="I335" i="12843"/>
  <c r="G771" i="12843"/>
  <c r="G803" i="12843"/>
  <c r="I803" i="12843" s="1"/>
  <c r="G678" i="12843"/>
  <c r="I678" i="12843" s="1"/>
  <c r="I638" i="12843" s="1"/>
  <c r="R14" i="12770"/>
  <c r="G243" i="12843"/>
  <c r="G244" i="12843"/>
  <c r="G245" i="12843"/>
  <c r="W1300" i="12843"/>
  <c r="X749" i="12843"/>
  <c r="K741" i="12843"/>
  <c r="K766" i="12843" s="1"/>
  <c r="V18" i="12771"/>
  <c r="X748" i="12843"/>
  <c r="G853" i="12843"/>
  <c r="G873" i="12843" s="1"/>
  <c r="I873" i="12843" s="1"/>
  <c r="G770" i="12843"/>
  <c r="K740" i="12843"/>
  <c r="K845" i="12843" s="1"/>
  <c r="K869" i="12843" s="1"/>
  <c r="M869" i="12843" s="1"/>
  <c r="G769" i="12843"/>
  <c r="K746" i="12843"/>
  <c r="K851" i="12843" s="1"/>
  <c r="K871" i="12843" s="1"/>
  <c r="M871" i="12843" s="1"/>
  <c r="G755" i="12843"/>
  <c r="G776" i="12843" s="1"/>
  <c r="Q46" i="12831"/>
  <c r="X750" i="12843"/>
  <c r="G804" i="12843"/>
  <c r="G823" i="12843" s="1"/>
  <c r="I823" i="12843" s="1"/>
  <c r="G802" i="12843"/>
  <c r="I802" i="12843" s="1"/>
  <c r="G854" i="12843"/>
  <c r="I854" i="12843" s="1"/>
  <c r="G855" i="12843"/>
  <c r="G875" i="12843" s="1"/>
  <c r="I875" i="12843" s="1"/>
  <c r="V19" i="12771"/>
  <c r="K959" i="12843"/>
  <c r="K997" i="12843" s="1"/>
  <c r="M997" i="12843" s="1"/>
  <c r="K960" i="12843"/>
  <c r="K980" i="12843" s="1"/>
  <c r="K957" i="12843"/>
  <c r="K977" i="12843" s="1"/>
  <c r="V46" i="12831"/>
  <c r="U50" i="12831"/>
  <c r="X50" i="12831" s="1"/>
  <c r="K620" i="12843"/>
  <c r="K638" i="12843" s="1"/>
  <c r="G665" i="12843"/>
  <c r="G640" i="12843"/>
  <c r="K624" i="12843"/>
  <c r="K641" i="12843" s="1"/>
  <c r="X623" i="12843"/>
  <c r="K619" i="12843"/>
  <c r="K661" i="12843" s="1"/>
  <c r="M661" i="12843" s="1"/>
  <c r="K621" i="12843"/>
  <c r="K663" i="12843" s="1"/>
  <c r="G677" i="12843"/>
  <c r="I677" i="12843" s="1"/>
  <c r="I637" i="12843" s="1"/>
  <c r="I661" i="12843"/>
  <c r="I700" i="12843"/>
  <c r="I699" i="12843"/>
  <c r="I662" i="12843"/>
  <c r="R15" i="12770"/>
  <c r="M206" i="12843"/>
  <c r="M208" i="12843"/>
  <c r="M207" i="12843"/>
  <c r="G831" i="12843"/>
  <c r="I831" i="12843" s="1"/>
  <c r="I779" i="12843" s="1"/>
  <c r="G686" i="12843"/>
  <c r="I686" i="12843" s="1"/>
  <c r="I673" i="12843"/>
  <c r="I711" i="12843"/>
  <c r="G724" i="12843"/>
  <c r="I724" i="12843" s="1"/>
  <c r="G346" i="12843"/>
  <c r="I346" i="12843" s="1"/>
  <c r="G312" i="12843"/>
  <c r="I312" i="12843" s="1"/>
  <c r="AA14" i="12769"/>
  <c r="I381" i="12843"/>
  <c r="I437" i="12843"/>
  <c r="I402" i="12843"/>
  <c r="G552" i="12843"/>
  <c r="G517" i="12843"/>
  <c r="G341" i="12843"/>
  <c r="G446" i="12843"/>
  <c r="G238" i="12843"/>
  <c r="G250" i="12843" s="1"/>
  <c r="G482" i="12843"/>
  <c r="G494" i="12843" s="1"/>
  <c r="G376" i="12843"/>
  <c r="G388" i="12843" s="1"/>
  <c r="G272" i="12843"/>
  <c r="X198" i="12843"/>
  <c r="G411" i="12843"/>
  <c r="G213" i="12843"/>
  <c r="G307" i="12843"/>
  <c r="I795" i="12843"/>
  <c r="I741" i="12843" s="1"/>
  <c r="S46" i="12831"/>
  <c r="Q1193" i="12843"/>
  <c r="Q1195" i="12843" s="1"/>
  <c r="Q145" i="12812"/>
  <c r="K818" i="12843"/>
  <c r="M818" i="12843" s="1"/>
  <c r="G870" i="12843"/>
  <c r="I870" i="12843" s="1"/>
  <c r="I766" i="12843" s="1"/>
  <c r="G819" i="12843"/>
  <c r="I819" i="12843" s="1"/>
  <c r="G808" i="12843"/>
  <c r="I808" i="12843" s="1"/>
  <c r="S16" i="12770"/>
  <c r="AA20" i="12769"/>
  <c r="K860" i="12843"/>
  <c r="K880" i="12843" s="1"/>
  <c r="M880" i="12843" s="1"/>
  <c r="K755" i="12843"/>
  <c r="K776" i="12843" s="1"/>
  <c r="K873" i="12843"/>
  <c r="M873" i="12843" s="1"/>
  <c r="K769" i="12843"/>
  <c r="K802" i="12843"/>
  <c r="K821" i="12843" s="1"/>
  <c r="M821" i="12843" s="1"/>
  <c r="G871" i="12843"/>
  <c r="I871" i="12843" s="1"/>
  <c r="X1023" i="12843"/>
  <c r="I851" i="12843"/>
  <c r="I746" i="12843" s="1"/>
  <c r="G1041" i="12843"/>
  <c r="I1020" i="12843"/>
  <c r="G1059" i="12843"/>
  <c r="I1059" i="12843" s="1"/>
  <c r="K333" i="12843"/>
  <c r="M333" i="12843" s="1"/>
  <c r="K312" i="12843"/>
  <c r="M312" i="12843" s="1"/>
  <c r="K208" i="12843"/>
  <c r="K453" i="12843"/>
  <c r="M453" i="12843" s="1"/>
  <c r="K206" i="12843"/>
  <c r="K367" i="12843"/>
  <c r="K381" i="12843" s="1"/>
  <c r="K185" i="12843"/>
  <c r="K437" i="12843"/>
  <c r="K451" i="12843" s="1"/>
  <c r="M451" i="12843" s="1"/>
  <c r="K404" i="12843"/>
  <c r="K418" i="12843" s="1"/>
  <c r="M418" i="12843" s="1"/>
  <c r="K232" i="12843"/>
  <c r="K245" i="12843" s="1"/>
  <c r="K335" i="12843"/>
  <c r="M335" i="12843" s="1"/>
  <c r="K230" i="12843"/>
  <c r="K243" i="12843" s="1"/>
  <c r="K187" i="12843"/>
  <c r="K369" i="12843"/>
  <c r="K383" i="12843" s="1"/>
  <c r="K264" i="12843"/>
  <c r="M264" i="12843" s="1"/>
  <c r="K402" i="12843"/>
  <c r="K416" i="12843" s="1"/>
  <c r="M416" i="12843" s="1"/>
  <c r="K301" i="12843"/>
  <c r="K314" i="12843" s="1"/>
  <c r="M314" i="12843" s="1"/>
  <c r="K266" i="12843"/>
  <c r="K186" i="12843"/>
  <c r="M1226" i="12843"/>
  <c r="U1228" i="12843" s="1"/>
  <c r="U1229" i="12843" s="1"/>
  <c r="K582" i="12843"/>
  <c r="G249" i="12843"/>
  <c r="G248" i="12843"/>
  <c r="I303" i="12843"/>
  <c r="I234" i="12843" s="1"/>
  <c r="G280" i="12843"/>
  <c r="I280" i="12843" s="1"/>
  <c r="G246" i="12843"/>
  <c r="G349" i="12843"/>
  <c r="I349" i="12843" s="1"/>
  <c r="G419" i="12843"/>
  <c r="I419" i="12843" s="1"/>
  <c r="I513" i="12843"/>
  <c r="I478" i="12843" s="1"/>
  <c r="G454" i="12843"/>
  <c r="I454" i="12843" s="1"/>
  <c r="I409" i="12843"/>
  <c r="G560" i="12843"/>
  <c r="I560" i="12843" s="1"/>
  <c r="I490" i="12843" s="1"/>
  <c r="I266" i="12843"/>
  <c r="I439" i="12843"/>
  <c r="I245" i="12843"/>
  <c r="I383" i="12843"/>
  <c r="I301" i="12843"/>
  <c r="AA18" i="12769"/>
  <c r="I404" i="12843"/>
  <c r="K804" i="12843"/>
  <c r="K823" i="12843" s="1"/>
  <c r="M823" i="12843" s="1"/>
  <c r="K855" i="12843"/>
  <c r="K875" i="12843" s="1"/>
  <c r="M875" i="12843" s="1"/>
  <c r="AB14" i="12769"/>
  <c r="I403" i="12843"/>
  <c r="I368" i="12843" s="1"/>
  <c r="G347" i="12843"/>
  <c r="I347" i="12843" s="1"/>
  <c r="G247" i="12843"/>
  <c r="G452" i="12843"/>
  <c r="I452" i="12843" s="1"/>
  <c r="I382" i="12843" s="1"/>
  <c r="G313" i="12843"/>
  <c r="I313" i="12843" s="1"/>
  <c r="K770" i="12843"/>
  <c r="I265" i="12843"/>
  <c r="I231" i="12843" s="1"/>
  <c r="K803" i="12843"/>
  <c r="K822" i="12843" s="1"/>
  <c r="M822" i="12843" s="1"/>
  <c r="K265" i="12843"/>
  <c r="K278" i="12843" s="1"/>
  <c r="M278" i="12843" s="1"/>
  <c r="G817" i="12843"/>
  <c r="I817" i="12843" s="1"/>
  <c r="I338" i="12843"/>
  <c r="K438" i="12843"/>
  <c r="K452" i="12843" s="1"/>
  <c r="M452" i="12843" s="1"/>
  <c r="K207" i="12843"/>
  <c r="G316" i="12843"/>
  <c r="I316" i="12843" s="1"/>
  <c r="I247" i="12843" s="1"/>
  <c r="K368" i="12843"/>
  <c r="K382" i="12843" s="1"/>
  <c r="K334" i="12843"/>
  <c r="K347" i="12843" s="1"/>
  <c r="M347" i="12843" s="1"/>
  <c r="K403" i="12843"/>
  <c r="M403" i="12843" s="1"/>
  <c r="K231" i="12843"/>
  <c r="K244" i="12843" s="1"/>
  <c r="K817" i="12843"/>
  <c r="M817" i="12843" s="1"/>
  <c r="I549" i="12843"/>
  <c r="I811" i="12843"/>
  <c r="I757" i="12843" s="1"/>
  <c r="G455" i="12843"/>
  <c r="I455" i="12843" s="1"/>
  <c r="I385" i="12843" s="1"/>
  <c r="I269" i="12843"/>
  <c r="I514" i="12843"/>
  <c r="I408" i="12843"/>
  <c r="I373" i="12843" s="1"/>
  <c r="G882" i="12843"/>
  <c r="I882" i="12843" s="1"/>
  <c r="I778" i="12843" s="1"/>
  <c r="G869" i="12843"/>
  <c r="I869" i="12843" s="1"/>
  <c r="I339" i="12843"/>
  <c r="G318" i="12843"/>
  <c r="I318" i="12843" s="1"/>
  <c r="I249" i="12843" s="1"/>
  <c r="I516" i="12843"/>
  <c r="I481" i="12843" s="1"/>
  <c r="I445" i="12843"/>
  <c r="I375" i="12843" s="1"/>
  <c r="G563" i="12843"/>
  <c r="I563" i="12843" s="1"/>
  <c r="I493" i="12843" s="1"/>
  <c r="I340" i="12843"/>
  <c r="I444" i="12843"/>
  <c r="G422" i="12843"/>
  <c r="I422" i="12843" s="1"/>
  <c r="I271" i="12843"/>
  <c r="G317" i="12843"/>
  <c r="I317" i="12843" s="1"/>
  <c r="I248" i="12843" s="1"/>
  <c r="I666" i="12843"/>
  <c r="G562" i="12843"/>
  <c r="I562" i="12843" s="1"/>
  <c r="I270" i="12843"/>
  <c r="I480" i="12843"/>
  <c r="G527" i="12843"/>
  <c r="I527" i="12843" s="1"/>
  <c r="G681" i="12843"/>
  <c r="I681" i="12843" s="1"/>
  <c r="I641" i="12843" s="1"/>
  <c r="I704" i="12843"/>
  <c r="I740" i="12843"/>
  <c r="K313" i="12843"/>
  <c r="M300" i="12843"/>
  <c r="K640" i="12843"/>
  <c r="K665" i="12843"/>
  <c r="M665" i="12843" s="1"/>
  <c r="I663" i="12843"/>
  <c r="G679" i="12843"/>
  <c r="I679" i="12843" s="1"/>
  <c r="G717" i="12843"/>
  <c r="I717" i="12843" s="1"/>
  <c r="I701" i="12843"/>
  <c r="K718" i="12843"/>
  <c r="M718" i="12843" s="1"/>
  <c r="M703" i="12843"/>
  <c r="I491" i="12843"/>
  <c r="I386" i="12843"/>
  <c r="M854" i="12843"/>
  <c r="K874" i="12843"/>
  <c r="M874" i="12843" s="1"/>
  <c r="I372" i="12843"/>
  <c r="G879" i="12843"/>
  <c r="I879" i="12843" s="1"/>
  <c r="I859" i="12843"/>
  <c r="O925" i="12787"/>
  <c r="P925" i="12787" s="1"/>
  <c r="O995" i="12787"/>
  <c r="P996" i="12787" s="1"/>
  <c r="J17" i="12809"/>
  <c r="I21" i="12809"/>
  <c r="J21" i="12809" s="1"/>
  <c r="G25" i="12809"/>
  <c r="Q46" i="12811"/>
  <c r="Q47" i="12811" s="1"/>
  <c r="P47" i="12811"/>
  <c r="P69" i="12811" s="1"/>
  <c r="P145" i="12811" s="1"/>
  <c r="O91" i="12787"/>
  <c r="O92" i="12787" s="1"/>
  <c r="P937" i="12787"/>
  <c r="O937" i="12787"/>
  <c r="P1032" i="12787"/>
  <c r="G160" i="12843" l="1"/>
  <c r="I145" i="12843"/>
  <c r="U160" i="12843"/>
  <c r="S175" i="12843"/>
  <c r="U175" i="12843" s="1"/>
  <c r="S176" i="12843"/>
  <c r="U176" i="12843" s="1"/>
  <c r="U161" i="12843"/>
  <c r="G161" i="12843"/>
  <c r="I146" i="12843"/>
  <c r="I983" i="12843"/>
  <c r="W942" i="12843"/>
  <c r="X942" i="12843" s="1"/>
  <c r="I977" i="12843"/>
  <c r="I898" i="12843"/>
  <c r="I905" i="12843"/>
  <c r="R15" i="12772"/>
  <c r="I900" i="12843"/>
  <c r="I979" i="12843"/>
  <c r="I904" i="12843"/>
  <c r="Q16" i="12772"/>
  <c r="I980" i="12843"/>
  <c r="I945" i="12843"/>
  <c r="W941" i="12843"/>
  <c r="X941" i="12843" s="1"/>
  <c r="I901" i="12843"/>
  <c r="R16" i="12772"/>
  <c r="I1096" i="12843"/>
  <c r="I984" i="12843"/>
  <c r="W939" i="12843"/>
  <c r="X939" i="12843" s="1"/>
  <c r="K994" i="12843"/>
  <c r="M994" i="12843" s="1"/>
  <c r="M956" i="12843"/>
  <c r="I967" i="12843"/>
  <c r="I969" i="12843" s="1"/>
  <c r="I1004" i="12843"/>
  <c r="I1006" i="12843" s="1"/>
  <c r="K579" i="12843"/>
  <c r="K595" i="12843" s="1"/>
  <c r="I897" i="12843"/>
  <c r="Q15" i="12772"/>
  <c r="W938" i="12843"/>
  <c r="X938" i="12843" s="1"/>
  <c r="I976" i="12843"/>
  <c r="I902" i="12843"/>
  <c r="I907" i="12843"/>
  <c r="I703" i="12843"/>
  <c r="I749" i="12843"/>
  <c r="G822" i="12843"/>
  <c r="I822" i="12843" s="1"/>
  <c r="G680" i="12843"/>
  <c r="I680" i="12843" s="1"/>
  <c r="I640" i="12843" s="1"/>
  <c r="K846" i="12843"/>
  <c r="M846" i="12843" s="1"/>
  <c r="K800" i="12843"/>
  <c r="K819" i="12843" s="1"/>
  <c r="M819" i="12843" s="1"/>
  <c r="G860" i="12843"/>
  <c r="I860" i="12843" s="1"/>
  <c r="M845" i="12843"/>
  <c r="I853" i="12843"/>
  <c r="I748" i="12843" s="1"/>
  <c r="M851" i="12843"/>
  <c r="K765" i="12843"/>
  <c r="K859" i="12843"/>
  <c r="M859" i="12843" s="1"/>
  <c r="K767" i="12843"/>
  <c r="I855" i="12843"/>
  <c r="K754" i="12843"/>
  <c r="K775" i="12843" s="1"/>
  <c r="I771" i="12843"/>
  <c r="Q50" i="12831"/>
  <c r="I804" i="12843"/>
  <c r="G809" i="12843"/>
  <c r="I809" i="12843" s="1"/>
  <c r="G821" i="12843"/>
  <c r="I821" i="12843" s="1"/>
  <c r="I769" i="12843" s="1"/>
  <c r="G874" i="12843"/>
  <c r="I874" i="12843" s="1"/>
  <c r="K979" i="12843"/>
  <c r="M979" i="12843" s="1"/>
  <c r="K998" i="12843"/>
  <c r="M998" i="12843" s="1"/>
  <c r="K995" i="12843"/>
  <c r="M995" i="12843" s="1"/>
  <c r="V50" i="12831"/>
  <c r="K700" i="12843"/>
  <c r="K716" i="12843" s="1"/>
  <c r="M716" i="12843" s="1"/>
  <c r="K662" i="12843"/>
  <c r="K678" i="12843" s="1"/>
  <c r="M678" i="12843" s="1"/>
  <c r="K666" i="12843"/>
  <c r="K681" i="12843" s="1"/>
  <c r="M681" i="12843" s="1"/>
  <c r="I665" i="12843"/>
  <c r="S15" i="12770"/>
  <c r="K704" i="12843"/>
  <c r="K719" i="12843" s="1"/>
  <c r="M719" i="12843" s="1"/>
  <c r="K637" i="12843"/>
  <c r="K677" i="12843"/>
  <c r="M677" i="12843" s="1"/>
  <c r="K583" i="12843"/>
  <c r="K598" i="12843" s="1"/>
  <c r="K699" i="12843"/>
  <c r="M699" i="12843" s="1"/>
  <c r="K639" i="12843"/>
  <c r="K578" i="12843"/>
  <c r="K594" i="12843" s="1"/>
  <c r="K701" i="12843"/>
  <c r="M701" i="12843" s="1"/>
  <c r="K580" i="12843"/>
  <c r="K596" i="12843" s="1"/>
  <c r="I620" i="12843"/>
  <c r="I619" i="12843"/>
  <c r="M1108" i="12843"/>
  <c r="M897" i="12843"/>
  <c r="M597" i="12843"/>
  <c r="M898" i="12843"/>
  <c r="M582" i="12843"/>
  <c r="I631" i="12843"/>
  <c r="I646" i="12843"/>
  <c r="I243" i="12843"/>
  <c r="I367" i="12843"/>
  <c r="I189" i="12843" s="1"/>
  <c r="I307" i="12843"/>
  <c r="G319" i="12843"/>
  <c r="I319" i="12843" s="1"/>
  <c r="G458" i="12843"/>
  <c r="I458" i="12843" s="1"/>
  <c r="I446" i="12843"/>
  <c r="I341" i="12843"/>
  <c r="G353" i="12843"/>
  <c r="I353" i="12843" s="1"/>
  <c r="I411" i="12843"/>
  <c r="G423" i="12843"/>
  <c r="I423" i="12843" s="1"/>
  <c r="G529" i="12843"/>
  <c r="I529" i="12843" s="1"/>
  <c r="I517" i="12843"/>
  <c r="I272" i="12843"/>
  <c r="G284" i="12843"/>
  <c r="I284" i="12843" s="1"/>
  <c r="G564" i="12843"/>
  <c r="I564" i="12843" s="1"/>
  <c r="I552" i="12843"/>
  <c r="S50" i="12831"/>
  <c r="I244" i="12843"/>
  <c r="K346" i="12843"/>
  <c r="M346" i="12843" s="1"/>
  <c r="I767" i="12843"/>
  <c r="G827" i="12843"/>
  <c r="I827" i="12843" s="1"/>
  <c r="I775" i="12843" s="1"/>
  <c r="M1111" i="12843"/>
  <c r="M860" i="12843"/>
  <c r="I1041" i="12843"/>
  <c r="K809" i="12843"/>
  <c r="M809" i="12843" s="1"/>
  <c r="M802" i="12843"/>
  <c r="M383" i="12843"/>
  <c r="M404" i="12843"/>
  <c r="M369" i="12843" s="1"/>
  <c r="K545" i="12843"/>
  <c r="M545" i="12843" s="1"/>
  <c r="M230" i="12843"/>
  <c r="K473" i="12843"/>
  <c r="K487" i="12843" s="1"/>
  <c r="K510" i="12843"/>
  <c r="M510" i="12843" s="1"/>
  <c r="K508" i="12843"/>
  <c r="K522" i="12843" s="1"/>
  <c r="M522" i="12843" s="1"/>
  <c r="M402" i="12843"/>
  <c r="K277" i="12843"/>
  <c r="M277" i="12843" s="1"/>
  <c r="K543" i="12843"/>
  <c r="K557" i="12843" s="1"/>
  <c r="M557" i="12843" s="1"/>
  <c r="K475" i="12843"/>
  <c r="K489" i="12843" s="1"/>
  <c r="K348" i="12843"/>
  <c r="M348" i="12843" s="1"/>
  <c r="M381" i="12843"/>
  <c r="M301" i="12843"/>
  <c r="K509" i="12843"/>
  <c r="K544" i="12843"/>
  <c r="K474" i="12843"/>
  <c r="K488" i="12843" s="1"/>
  <c r="M266" i="12843"/>
  <c r="K279" i="12843"/>
  <c r="M279" i="12843" s="1"/>
  <c r="M437" i="12843"/>
  <c r="K597" i="12843"/>
  <c r="I246" i="12843"/>
  <c r="I384" i="12843"/>
  <c r="I479" i="12843"/>
  <c r="I369" i="12843"/>
  <c r="I232" i="12843"/>
  <c r="M804" i="12843"/>
  <c r="M855" i="12843"/>
  <c r="M438" i="12843"/>
  <c r="M368" i="12843" s="1"/>
  <c r="I255" i="12843"/>
  <c r="M803" i="12843"/>
  <c r="M265" i="12843"/>
  <c r="M334" i="12843"/>
  <c r="I765" i="12843"/>
  <c r="K417" i="12843"/>
  <c r="M417" i="12843" s="1"/>
  <c r="M382" i="12843" s="1"/>
  <c r="I235" i="12843"/>
  <c r="I236" i="12843"/>
  <c r="I387" i="12843"/>
  <c r="I212" i="12843" s="1"/>
  <c r="I374" i="12843"/>
  <c r="I237" i="12843"/>
  <c r="I197" i="12843" s="1"/>
  <c r="I624" i="12843"/>
  <c r="I492" i="12843"/>
  <c r="I211" i="12843" s="1"/>
  <c r="M977" i="12843"/>
  <c r="K898" i="12843"/>
  <c r="M976" i="12843"/>
  <c r="K897" i="12843"/>
  <c r="M980" i="12843"/>
  <c r="K901" i="12843"/>
  <c r="I190" i="12843"/>
  <c r="M313" i="12843"/>
  <c r="M244" i="12843" s="1"/>
  <c r="M324" i="12843"/>
  <c r="M255" i="12843" s="1"/>
  <c r="K680" i="12843"/>
  <c r="M680" i="12843" s="1"/>
  <c r="M663" i="12843"/>
  <c r="K679" i="12843"/>
  <c r="M679" i="12843" s="1"/>
  <c r="I639" i="12843"/>
  <c r="I621" i="12843"/>
  <c r="I210" i="12843"/>
  <c r="I194" i="12843"/>
  <c r="I754" i="12843"/>
  <c r="P923" i="12787"/>
  <c r="P924" i="12787" s="1"/>
  <c r="Q907" i="12787" s="1"/>
  <c r="R907" i="12787" s="1"/>
  <c r="J25" i="12809"/>
  <c r="O996" i="12787"/>
  <c r="Q69" i="12811"/>
  <c r="Q145" i="12811" s="1"/>
  <c r="O760" i="12787"/>
  <c r="P761" i="12787" s="1"/>
  <c r="O176" i="12787"/>
  <c r="P177" i="12787" s="1"/>
  <c r="O815" i="12787"/>
  <c r="P816" i="12787" s="1"/>
  <c r="P92" i="12787"/>
  <c r="O898" i="12787"/>
  <c r="O888" i="12787" s="1"/>
  <c r="T17" i="12772"/>
  <c r="O508" i="12787"/>
  <c r="O27" i="12787"/>
  <c r="P27" i="12787" s="1"/>
  <c r="O627" i="12787"/>
  <c r="I1002" i="12787"/>
  <c r="I1009" i="12787"/>
  <c r="I1014" i="12787"/>
  <c r="I1021" i="12787"/>
  <c r="I1026" i="12787"/>
  <c r="I1003" i="12787"/>
  <c r="I1010" i="12787"/>
  <c r="I1017" i="12787"/>
  <c r="I1022" i="12787"/>
  <c r="I1028" i="12787"/>
  <c r="I1005" i="12787"/>
  <c r="I1011" i="12787"/>
  <c r="I1018" i="12787"/>
  <c r="I1024" i="12787"/>
  <c r="I1001" i="12787"/>
  <c r="I1006" i="12787"/>
  <c r="I1013" i="12787"/>
  <c r="I1019" i="12787"/>
  <c r="I1025" i="12787"/>
  <c r="I906" i="12787"/>
  <c r="I910" i="12787"/>
  <c r="I915" i="12787"/>
  <c r="I920" i="12787"/>
  <c r="I905" i="12787"/>
  <c r="I909" i="12787"/>
  <c r="I913" i="12787"/>
  <c r="I917" i="12787"/>
  <c r="I921" i="12787"/>
  <c r="I908" i="12787"/>
  <c r="I912" i="12787"/>
  <c r="I918" i="12787"/>
  <c r="I904" i="12787"/>
  <c r="I907" i="12787"/>
  <c r="I911" i="12787"/>
  <c r="I916" i="12787"/>
  <c r="I919" i="12787"/>
  <c r="I161" i="12843" l="1"/>
  <c r="G176" i="12843"/>
  <c r="I176" i="12843" s="1"/>
  <c r="G175" i="12843"/>
  <c r="I175" i="12843" s="1"/>
  <c r="I160" i="12843"/>
  <c r="I1077" i="12843"/>
  <c r="I909" i="12843"/>
  <c r="I911" i="12843" s="1"/>
  <c r="I913" i="12843" s="1"/>
  <c r="I986" i="12843"/>
  <c r="I988" i="12843" s="1"/>
  <c r="I750" i="12843"/>
  <c r="M594" i="12843"/>
  <c r="M578" i="12843"/>
  <c r="M497" i="12843" s="1"/>
  <c r="M598" i="12843"/>
  <c r="M901" i="12843"/>
  <c r="X1021" i="12843"/>
  <c r="I623" i="12843"/>
  <c r="I770" i="12843"/>
  <c r="K870" i="12843"/>
  <c r="M870" i="12843" s="1"/>
  <c r="G1042" i="12843"/>
  <c r="I1042" i="12843" s="1"/>
  <c r="I1078" i="12843" s="1"/>
  <c r="G1060" i="12843"/>
  <c r="I1060" i="12843" s="1"/>
  <c r="I1097" i="12843" s="1"/>
  <c r="I1021" i="12843"/>
  <c r="I946" i="12843" s="1"/>
  <c r="M800" i="12843"/>
  <c r="K808" i="12843"/>
  <c r="M808" i="12843" s="1"/>
  <c r="K879" i="12843"/>
  <c r="M879" i="12843" s="1"/>
  <c r="G880" i="12843"/>
  <c r="I880" i="12843" s="1"/>
  <c r="I755" i="12843"/>
  <c r="K900" i="12843"/>
  <c r="G828" i="12843"/>
  <c r="I828" i="12843" s="1"/>
  <c r="M595" i="12843"/>
  <c r="M700" i="12843"/>
  <c r="M662" i="12843"/>
  <c r="M579" i="12843"/>
  <c r="M498" i="12843" s="1"/>
  <c r="M596" i="12843"/>
  <c r="M666" i="12843"/>
  <c r="M704" i="12843"/>
  <c r="M583" i="12843"/>
  <c r="K715" i="12843"/>
  <c r="M715" i="12843" s="1"/>
  <c r="M580" i="12843"/>
  <c r="M499" i="12843" s="1"/>
  <c r="K717" i="12843"/>
  <c r="M717" i="12843" s="1"/>
  <c r="I579" i="12843"/>
  <c r="I498" i="12843" s="1"/>
  <c r="I217" i="12843" s="1"/>
  <c r="K1111" i="12843"/>
  <c r="G594" i="12843"/>
  <c r="I594" i="12843" s="1"/>
  <c r="I580" i="12843"/>
  <c r="I499" i="12843" s="1"/>
  <c r="I218" i="12843" s="1"/>
  <c r="I290" i="12843"/>
  <c r="I292" i="12843" s="1"/>
  <c r="I359" i="12843"/>
  <c r="I464" i="12843"/>
  <c r="I379" i="12843" s="1"/>
  <c r="I201" i="12843" s="1"/>
  <c r="I376" i="12843"/>
  <c r="I482" i="12843"/>
  <c r="I429" i="12843"/>
  <c r="I431" i="12843" s="1"/>
  <c r="I494" i="12843"/>
  <c r="I250" i="12843"/>
  <c r="I388" i="12843"/>
  <c r="I238" i="12843"/>
  <c r="M243" i="12843"/>
  <c r="M245" i="12843"/>
  <c r="K828" i="12843"/>
  <c r="M828" i="12843" s="1"/>
  <c r="G598" i="12843"/>
  <c r="I598" i="12843" s="1"/>
  <c r="I582" i="12843"/>
  <c r="K524" i="12843"/>
  <c r="M524" i="12843" s="1"/>
  <c r="M508" i="12843"/>
  <c r="K559" i="12843"/>
  <c r="M559" i="12843" s="1"/>
  <c r="M475" i="12843"/>
  <c r="M367" i="12843"/>
  <c r="M487" i="12843"/>
  <c r="M543" i="12843"/>
  <c r="M232" i="12843"/>
  <c r="K523" i="12843"/>
  <c r="M523" i="12843" s="1"/>
  <c r="M509" i="12843"/>
  <c r="K558" i="12843"/>
  <c r="M558" i="12843" s="1"/>
  <c r="M544" i="12843"/>
  <c r="I209" i="12843"/>
  <c r="I195" i="12843"/>
  <c r="I191" i="12843"/>
  <c r="I325" i="12843"/>
  <c r="I327" i="12843" s="1"/>
  <c r="M231" i="12843"/>
  <c r="I196" i="12843"/>
  <c r="Q987" i="12843"/>
  <c r="U1119" i="12843"/>
  <c r="Q1119" i="12843"/>
  <c r="Q1005" i="12843"/>
  <c r="U968" i="12843"/>
  <c r="M1005" i="12843"/>
  <c r="M968" i="12843"/>
  <c r="U1005" i="12843"/>
  <c r="M987" i="12843"/>
  <c r="Q968" i="12843"/>
  <c r="U987" i="12843"/>
  <c r="G510" i="12843"/>
  <c r="G545" i="12843"/>
  <c r="X187" i="12843"/>
  <c r="G475" i="12843"/>
  <c r="G489" i="12843" s="1"/>
  <c r="X186" i="12843"/>
  <c r="G509" i="12843"/>
  <c r="G474" i="12843"/>
  <c r="G488" i="12843" s="1"/>
  <c r="G544" i="12843"/>
  <c r="G543" i="12843"/>
  <c r="G473" i="12843"/>
  <c r="G487" i="12843" s="1"/>
  <c r="X185" i="12843"/>
  <c r="G508" i="12843"/>
  <c r="Q917" i="12787"/>
  <c r="R917" i="12787" s="1"/>
  <c r="Q919" i="12787"/>
  <c r="R919" i="12787" s="1"/>
  <c r="Q918" i="12787"/>
  <c r="R918" i="12787" s="1"/>
  <c r="Q920" i="12787"/>
  <c r="R920" i="12787" s="1"/>
  <c r="Q908" i="12787"/>
  <c r="R908" i="12787" s="1"/>
  <c r="Q909" i="12787"/>
  <c r="R909" i="12787" s="1"/>
  <c r="Q910" i="12787"/>
  <c r="R910" i="12787" s="1"/>
  <c r="Q911" i="12787"/>
  <c r="R911" i="12787" s="1"/>
  <c r="Q921" i="12787"/>
  <c r="R921" i="12787" s="1"/>
  <c r="Q912" i="12787"/>
  <c r="R912" i="12787" s="1"/>
  <c r="Q904" i="12787"/>
  <c r="R904" i="12787" s="1"/>
  <c r="Q913" i="12787"/>
  <c r="R913" i="12787" s="1"/>
  <c r="Q905" i="12787"/>
  <c r="R905" i="12787" s="1"/>
  <c r="Q915" i="12787"/>
  <c r="R915" i="12787" s="1"/>
  <c r="Q906" i="12787"/>
  <c r="R906" i="12787" s="1"/>
  <c r="Q916" i="12787"/>
  <c r="R916" i="12787" s="1"/>
  <c r="O761" i="12787"/>
  <c r="O177" i="12787"/>
  <c r="O816" i="12787"/>
  <c r="O1035" i="12787"/>
  <c r="AA15" i="12769"/>
  <c r="AB18" i="12769"/>
  <c r="AB20" i="12769"/>
  <c r="P628" i="12787"/>
  <c r="O628" i="12787"/>
  <c r="O630" i="12787" s="1"/>
  <c r="AB15" i="12769"/>
  <c r="I16" i="12787"/>
  <c r="I20" i="12787"/>
  <c r="I17" i="12787"/>
  <c r="I21" i="12787"/>
  <c r="I18" i="12787"/>
  <c r="I22" i="12787"/>
  <c r="P509" i="12787"/>
  <c r="O509" i="12787"/>
  <c r="O511" i="12787" s="1"/>
  <c r="M919" i="12787"/>
  <c r="K919" i="12787"/>
  <c r="M911" i="12787"/>
  <c r="K911" i="12787"/>
  <c r="M904" i="12787"/>
  <c r="K904" i="12787"/>
  <c r="K912" i="12787"/>
  <c r="M912" i="12787"/>
  <c r="K921" i="12787"/>
  <c r="M921" i="12787"/>
  <c r="K913" i="12787"/>
  <c r="M913" i="12787"/>
  <c r="K905" i="12787"/>
  <c r="M905" i="12787"/>
  <c r="M915" i="12787"/>
  <c r="K915" i="12787"/>
  <c r="M906" i="12787"/>
  <c r="K906" i="12787"/>
  <c r="M1019" i="12787"/>
  <c r="K1019" i="12787"/>
  <c r="M1006" i="12787"/>
  <c r="K1006" i="12787"/>
  <c r="K1024" i="12787"/>
  <c r="M1024" i="12787"/>
  <c r="K1011" i="12787"/>
  <c r="M1011" i="12787"/>
  <c r="K1028" i="12787"/>
  <c r="M1028" i="12787"/>
  <c r="K1017" i="12787"/>
  <c r="M1017" i="12787"/>
  <c r="K1003" i="12787"/>
  <c r="M1003" i="12787"/>
  <c r="M1021" i="12787"/>
  <c r="K1021" i="12787"/>
  <c r="M1009" i="12787"/>
  <c r="K1009" i="12787"/>
  <c r="M916" i="12787"/>
  <c r="K916" i="12787"/>
  <c r="M907" i="12787"/>
  <c r="K907" i="12787"/>
  <c r="K918" i="12787"/>
  <c r="M918" i="12787"/>
  <c r="K908" i="12787"/>
  <c r="M908" i="12787"/>
  <c r="K917" i="12787"/>
  <c r="M917" i="12787"/>
  <c r="K909" i="12787"/>
  <c r="M909" i="12787"/>
  <c r="M920" i="12787"/>
  <c r="K920" i="12787"/>
  <c r="M910" i="12787"/>
  <c r="K910" i="12787"/>
  <c r="M1025" i="12787"/>
  <c r="K1025" i="12787"/>
  <c r="M1013" i="12787"/>
  <c r="K1013" i="12787"/>
  <c r="M1001" i="12787"/>
  <c r="K1001" i="12787"/>
  <c r="K1018" i="12787"/>
  <c r="M1018" i="12787"/>
  <c r="K1005" i="12787"/>
  <c r="M1005" i="12787"/>
  <c r="K1022" i="12787"/>
  <c r="M1022" i="12787"/>
  <c r="K1010" i="12787"/>
  <c r="M1010" i="12787"/>
  <c r="M1026" i="12787"/>
  <c r="K1026" i="12787"/>
  <c r="M1014" i="12787"/>
  <c r="K1014" i="12787"/>
  <c r="M1002" i="12787"/>
  <c r="K1002" i="12787"/>
  <c r="G1043" i="12787"/>
  <c r="G1045" i="12787" s="1"/>
  <c r="M191" i="12843" l="1"/>
  <c r="G127" i="12843"/>
  <c r="W914" i="12843"/>
  <c r="X913" i="12843"/>
  <c r="N27" i="12783"/>
  <c r="P27" i="12783" s="1"/>
  <c r="X1115" i="12843"/>
  <c r="I1115" i="12843"/>
  <c r="X1018" i="12843"/>
  <c r="X1017" i="12843"/>
  <c r="G1053" i="12843"/>
  <c r="I1053" i="12843" s="1"/>
  <c r="I1090" i="12843" s="1"/>
  <c r="I361" i="12843"/>
  <c r="K827" i="12843"/>
  <c r="M827" i="12843" s="1"/>
  <c r="I776" i="12843"/>
  <c r="G595" i="12843"/>
  <c r="I595" i="12843" s="1"/>
  <c r="I578" i="12843"/>
  <c r="I497" i="12843" s="1"/>
  <c r="I216" i="12843" s="1"/>
  <c r="G596" i="12843"/>
  <c r="I596" i="12843" s="1"/>
  <c r="K1014" i="12843"/>
  <c r="K1035" i="12843" s="1"/>
  <c r="M1035" i="12843" s="1"/>
  <c r="M1071" i="12843" s="1"/>
  <c r="M960" i="12843"/>
  <c r="M1017" i="12843"/>
  <c r="U216" i="12843"/>
  <c r="M1014" i="12843"/>
  <c r="I466" i="12843"/>
  <c r="I198" i="12843"/>
  <c r="I394" i="12843"/>
  <c r="I396" i="12843" s="1"/>
  <c r="I213" i="12843"/>
  <c r="M957" i="12843"/>
  <c r="M489" i="12843"/>
  <c r="I583" i="12843"/>
  <c r="I1018" i="12843"/>
  <c r="I943" i="12843" s="1"/>
  <c r="G1057" i="12843"/>
  <c r="I1057" i="12843" s="1"/>
  <c r="I1094" i="12843" s="1"/>
  <c r="G597" i="12843"/>
  <c r="I597" i="12843" s="1"/>
  <c r="G1039" i="12843"/>
  <c r="M473" i="12843"/>
  <c r="M474" i="12843"/>
  <c r="M488" i="12843"/>
  <c r="I256" i="12843"/>
  <c r="I258" i="12843" s="1"/>
  <c r="X1014" i="12843"/>
  <c r="G1038" i="12843"/>
  <c r="G1056" i="12843"/>
  <c r="I1056" i="12843" s="1"/>
  <c r="I1093" i="12843" s="1"/>
  <c r="K1017" i="12843"/>
  <c r="K1038" i="12843" s="1"/>
  <c r="M1038" i="12843" s="1"/>
  <c r="M1074" i="12843" s="1"/>
  <c r="I1017" i="12843"/>
  <c r="I942" i="12843" s="1"/>
  <c r="G1035" i="12843"/>
  <c r="I1014" i="12843"/>
  <c r="I939" i="12843" s="1"/>
  <c r="G1037" i="12843"/>
  <c r="I1016" i="12843"/>
  <c r="I941" i="12843" s="1"/>
  <c r="G1055" i="12843"/>
  <c r="I1055" i="12843" s="1"/>
  <c r="I1092" i="12843" s="1"/>
  <c r="X1016" i="12843"/>
  <c r="K1016" i="12843"/>
  <c r="K1013" i="12843"/>
  <c r="X1013" i="12843"/>
  <c r="G1052" i="12843"/>
  <c r="I1052" i="12843" s="1"/>
  <c r="I1013" i="12843"/>
  <c r="G1034" i="12843"/>
  <c r="I545" i="12843"/>
  <c r="G559" i="12843"/>
  <c r="I559" i="12843" s="1"/>
  <c r="I510" i="12843"/>
  <c r="G524" i="12843"/>
  <c r="I524" i="12843" s="1"/>
  <c r="I509" i="12843"/>
  <c r="G523" i="12843"/>
  <c r="I523" i="12843" s="1"/>
  <c r="G558" i="12843"/>
  <c r="I558" i="12843" s="1"/>
  <c r="I544" i="12843"/>
  <c r="I508" i="12843"/>
  <c r="G522" i="12843"/>
  <c r="I522" i="12843" s="1"/>
  <c r="G557" i="12843"/>
  <c r="I557" i="12843" s="1"/>
  <c r="I543" i="12843"/>
  <c r="O90" i="12843"/>
  <c r="U100" i="12843"/>
  <c r="U133" i="12843" s="1"/>
  <c r="K91" i="12843"/>
  <c r="M125" i="12843"/>
  <c r="Q100" i="12843"/>
  <c r="Q133" i="12843" s="1"/>
  <c r="M100" i="12843"/>
  <c r="M133" i="12843" s="1"/>
  <c r="M22" i="12787"/>
  <c r="I73" i="12787"/>
  <c r="K73" i="12787" s="1"/>
  <c r="I56" i="12787"/>
  <c r="K56" i="12787" s="1"/>
  <c r="I39" i="12787"/>
  <c r="K39" i="12787" s="1"/>
  <c r="I72" i="12787"/>
  <c r="K72" i="12787" s="1"/>
  <c r="I55" i="12787"/>
  <c r="K55" i="12787" s="1"/>
  <c r="I38" i="12787"/>
  <c r="K38" i="12787" s="1"/>
  <c r="M21" i="12787"/>
  <c r="M20" i="12787"/>
  <c r="I71" i="12787"/>
  <c r="K71" i="12787" s="1"/>
  <c r="I54" i="12787"/>
  <c r="K54" i="12787" s="1"/>
  <c r="I37" i="12787"/>
  <c r="K37" i="12787" s="1"/>
  <c r="M31" i="12771"/>
  <c r="Q31" i="12771" s="1"/>
  <c r="M29" i="12771"/>
  <c r="Q29" i="12771" s="1"/>
  <c r="M28" i="12771"/>
  <c r="Q28" i="12771" s="1"/>
  <c r="M33" i="12771"/>
  <c r="Q33" i="12771" s="1"/>
  <c r="M27" i="12771"/>
  <c r="Q27" i="12771" s="1"/>
  <c r="M32" i="12771"/>
  <c r="Q32" i="12771" s="1"/>
  <c r="M25" i="12771"/>
  <c r="Q25" i="12771" s="1"/>
  <c r="M24" i="12771"/>
  <c r="Q24" i="12771" s="1"/>
  <c r="M18" i="12771"/>
  <c r="Q18" i="12771" s="1"/>
  <c r="M20" i="12771"/>
  <c r="Q20" i="12771" s="1"/>
  <c r="M23" i="12771"/>
  <c r="Q23" i="12771" s="1"/>
  <c r="M19" i="12771"/>
  <c r="Q19" i="12771" s="1"/>
  <c r="I69" i="12787"/>
  <c r="K69" i="12787" s="1"/>
  <c r="I52" i="12787"/>
  <c r="K52" i="12787" s="1"/>
  <c r="I35" i="12787"/>
  <c r="K35" i="12787" s="1"/>
  <c r="M18" i="12787"/>
  <c r="M17" i="12787"/>
  <c r="I68" i="12787"/>
  <c r="K68" i="12787" s="1"/>
  <c r="I51" i="12787"/>
  <c r="K51" i="12787" s="1"/>
  <c r="I34" i="12787"/>
  <c r="K34" i="12787" s="1"/>
  <c r="I50" i="12787"/>
  <c r="K50" i="12787" s="1"/>
  <c r="I67" i="12787"/>
  <c r="K67" i="12787" s="1"/>
  <c r="K76" i="12787" s="1"/>
  <c r="K78" i="12787" s="1"/>
  <c r="M16" i="12787"/>
  <c r="I33" i="12787"/>
  <c r="K33" i="12787" s="1"/>
  <c r="K1030" i="12787"/>
  <c r="K1032" i="12787" s="1"/>
  <c r="M923" i="12787"/>
  <c r="M1030" i="12787"/>
  <c r="K923" i="12787"/>
  <c r="K925" i="12787" s="1"/>
  <c r="G129" i="12843" l="1"/>
  <c r="I129" i="12843" s="1"/>
  <c r="I127" i="12843"/>
  <c r="S92" i="12843"/>
  <c r="G157" i="12843"/>
  <c r="X92" i="12843"/>
  <c r="X94" i="12843"/>
  <c r="G111" i="12843"/>
  <c r="G142" i="12843"/>
  <c r="G172" i="12843"/>
  <c r="G128" i="12843"/>
  <c r="I128" i="12843" s="1"/>
  <c r="I927" i="12843"/>
  <c r="I1112" i="12843"/>
  <c r="X1112" i="12843"/>
  <c r="R17" i="12791"/>
  <c r="U17" i="12791" s="1"/>
  <c r="X1111" i="12843"/>
  <c r="S16" i="12791"/>
  <c r="I1111" i="12843"/>
  <c r="R16" i="12791"/>
  <c r="X1108" i="12843"/>
  <c r="I1108" i="12843"/>
  <c r="I1035" i="12843"/>
  <c r="I1071" i="12843" s="1"/>
  <c r="M141" i="12843"/>
  <c r="M939" i="12843"/>
  <c r="M920" i="12843" s="1"/>
  <c r="K1053" i="12843"/>
  <c r="M1053" i="12843" s="1"/>
  <c r="M1090" i="12843" s="1"/>
  <c r="M623" i="12843"/>
  <c r="M620" i="12843"/>
  <c r="M624" i="12843"/>
  <c r="M640" i="12843"/>
  <c r="U218" i="12843"/>
  <c r="I589" i="12843"/>
  <c r="M619" i="12843"/>
  <c r="M638" i="12843"/>
  <c r="M621" i="12843"/>
  <c r="U217" i="12843"/>
  <c r="M639" i="12843"/>
  <c r="M637" i="12843"/>
  <c r="M641" i="12843"/>
  <c r="M1016" i="12843"/>
  <c r="M1013" i="12843"/>
  <c r="M938" i="12843" s="1"/>
  <c r="M919" i="12843" s="1"/>
  <c r="Q17" i="12773"/>
  <c r="T17" i="12773" s="1"/>
  <c r="R16" i="12773"/>
  <c r="I1039" i="12843"/>
  <c r="I1075" i="12843" s="1"/>
  <c r="U178" i="12843"/>
  <c r="U148" i="12843"/>
  <c r="Q125" i="12843"/>
  <c r="Q26" i="12843"/>
  <c r="Q83" i="12843" s="1"/>
  <c r="U26" i="12843"/>
  <c r="U47" i="12843" s="1"/>
  <c r="M26" i="12843"/>
  <c r="M65" i="12843" s="1"/>
  <c r="O91" i="12843"/>
  <c r="Q91" i="12843" s="1"/>
  <c r="U163" i="12843"/>
  <c r="Q124" i="12843"/>
  <c r="Q132" i="12843" s="1"/>
  <c r="Q134" i="12843" s="1"/>
  <c r="I1038" i="12843"/>
  <c r="I1074" i="12843" s="1"/>
  <c r="K1056" i="12843"/>
  <c r="M1056" i="12843" s="1"/>
  <c r="M1093" i="12843" s="1"/>
  <c r="Q16" i="12773"/>
  <c r="M942" i="12843"/>
  <c r="M923" i="12843" s="1"/>
  <c r="K1055" i="12843"/>
  <c r="M1055" i="12843" s="1"/>
  <c r="M1092" i="12843" s="1"/>
  <c r="K1037" i="12843"/>
  <c r="M1037" i="12843" s="1"/>
  <c r="M1073" i="12843" s="1"/>
  <c r="I1037" i="12843"/>
  <c r="I1073" i="12843" s="1"/>
  <c r="I922" i="12843" s="1"/>
  <c r="R15" i="12773"/>
  <c r="K1034" i="12843"/>
  <c r="M1034" i="12843" s="1"/>
  <c r="M1070" i="12843" s="1"/>
  <c r="K1052" i="12843"/>
  <c r="M1052" i="12843" s="1"/>
  <c r="M1089" i="12843" s="1"/>
  <c r="I938" i="12843"/>
  <c r="I1024" i="12843"/>
  <c r="I1089" i="12843"/>
  <c r="I1062" i="12843"/>
  <c r="I1034" i="12843"/>
  <c r="Q15" i="12773"/>
  <c r="I489" i="12843"/>
  <c r="I208" i="12843" s="1"/>
  <c r="I475" i="12843"/>
  <c r="I187" i="12843" s="1"/>
  <c r="I487" i="12843"/>
  <c r="I206" i="12843" s="1"/>
  <c r="I488" i="12843"/>
  <c r="I207" i="12843" s="1"/>
  <c r="I474" i="12843"/>
  <c r="I186" i="12843" s="1"/>
  <c r="I473" i="12843"/>
  <c r="I185" i="12843" s="1"/>
  <c r="I570" i="12843"/>
  <c r="I535" i="12843"/>
  <c r="U117" i="12843"/>
  <c r="Q148" i="12843"/>
  <c r="Q117" i="12843"/>
  <c r="Q178" i="12843"/>
  <c r="Q163" i="12843"/>
  <c r="K98" i="12843"/>
  <c r="M91" i="12843"/>
  <c r="K171" i="12843"/>
  <c r="M171" i="12843" s="1"/>
  <c r="K110" i="12843"/>
  <c r="K129" i="12843" s="1"/>
  <c r="K141" i="12843"/>
  <c r="M163" i="12843"/>
  <c r="M117" i="12843"/>
  <c r="M148" i="12843"/>
  <c r="M178" i="12843"/>
  <c r="K90" i="12843"/>
  <c r="M124" i="12843"/>
  <c r="M132" i="12843" s="1"/>
  <c r="M134" i="12843" s="1"/>
  <c r="K751" i="12843"/>
  <c r="K752" i="12843"/>
  <c r="G805" i="12843"/>
  <c r="G856" i="12843"/>
  <c r="G772" i="12843"/>
  <c r="X751" i="12843"/>
  <c r="G773" i="12843"/>
  <c r="X752" i="12843"/>
  <c r="G806" i="12843"/>
  <c r="G857" i="12843"/>
  <c r="M25" i="12787"/>
  <c r="K59" i="12787"/>
  <c r="K61" i="12787" s="1"/>
  <c r="K17" i="12787"/>
  <c r="K20" i="12787"/>
  <c r="K22" i="12787"/>
  <c r="K18" i="12787"/>
  <c r="K21" i="12787"/>
  <c r="K42" i="12787"/>
  <c r="K16" i="12787"/>
  <c r="P1033" i="12787"/>
  <c r="O1033" i="12787"/>
  <c r="O926" i="12787"/>
  <c r="P926" i="12787"/>
  <c r="I130" i="12843" l="1"/>
  <c r="S130" i="12843"/>
  <c r="M609" i="12843"/>
  <c r="U609" i="12843"/>
  <c r="M649" i="12843"/>
  <c r="Q910" i="12843"/>
  <c r="Q1307" i="12843" s="1"/>
  <c r="S94" i="12843"/>
  <c r="U94" i="12843" s="1"/>
  <c r="G143" i="12843"/>
  <c r="I143" i="12843" s="1"/>
  <c r="X93" i="12843"/>
  <c r="G173" i="12843"/>
  <c r="I173" i="12843" s="1"/>
  <c r="G158" i="12843"/>
  <c r="I158" i="12843" s="1"/>
  <c r="G112" i="12843"/>
  <c r="I142" i="12843"/>
  <c r="G144" i="12843"/>
  <c r="I144" i="12843" s="1"/>
  <c r="I157" i="12843"/>
  <c r="G159" i="12843"/>
  <c r="I159" i="12843" s="1"/>
  <c r="S157" i="12843"/>
  <c r="S172" i="12843"/>
  <c r="S142" i="12843"/>
  <c r="S144" i="12843" s="1"/>
  <c r="U92" i="12843"/>
  <c r="S111" i="12843"/>
  <c r="S113" i="12843" s="1"/>
  <c r="G174" i="12843"/>
  <c r="I174" i="12843" s="1"/>
  <c r="I172" i="12843"/>
  <c r="S93" i="12843"/>
  <c r="I111" i="12843"/>
  <c r="G113" i="12843"/>
  <c r="I113" i="12843" s="1"/>
  <c r="I924" i="12843"/>
  <c r="I923" i="12843"/>
  <c r="I920" i="12843"/>
  <c r="I572" i="12843"/>
  <c r="M109" i="12843"/>
  <c r="Q140" i="12843"/>
  <c r="M110" i="12843"/>
  <c r="Q109" i="12843"/>
  <c r="Q141" i="12843"/>
  <c r="G602" i="12843"/>
  <c r="I602" i="12843" s="1"/>
  <c r="M741" i="12843"/>
  <c r="M750" i="12843"/>
  <c r="M767" i="12843"/>
  <c r="M746" i="12843"/>
  <c r="M771" i="12843"/>
  <c r="M770" i="12843"/>
  <c r="M769" i="12843"/>
  <c r="M748" i="12843"/>
  <c r="M190" i="12843"/>
  <c r="M766" i="12843"/>
  <c r="M189" i="12843"/>
  <c r="M740" i="12843"/>
  <c r="M765" i="12843"/>
  <c r="M749" i="12843"/>
  <c r="M140" i="12843"/>
  <c r="U1115" i="12843"/>
  <c r="Q1115" i="12843"/>
  <c r="Q47" i="12843"/>
  <c r="Q65" i="12843"/>
  <c r="U65" i="12843"/>
  <c r="U83" i="12843"/>
  <c r="M83" i="12843"/>
  <c r="M47" i="12843"/>
  <c r="O110" i="12843"/>
  <c r="O141" i="12843"/>
  <c r="O171" i="12843"/>
  <c r="Q171" i="12843" s="1"/>
  <c r="O98" i="12843"/>
  <c r="I1070" i="12843"/>
  <c r="I919" i="12843" s="1"/>
  <c r="I1044" i="12843"/>
  <c r="I1064" i="12843"/>
  <c r="I1099" i="12843"/>
  <c r="I1026" i="12843"/>
  <c r="I948" i="12843"/>
  <c r="I537" i="12843"/>
  <c r="I500" i="12843"/>
  <c r="O109" i="12843"/>
  <c r="O128" i="12843" s="1"/>
  <c r="O140" i="12843"/>
  <c r="O155" i="12843"/>
  <c r="Q155" i="12843" s="1"/>
  <c r="Q90" i="12843"/>
  <c r="Q99" i="12843" s="1"/>
  <c r="Q101" i="12843" s="1"/>
  <c r="O170" i="12843"/>
  <c r="Q170" i="12843" s="1"/>
  <c r="O97" i="12843"/>
  <c r="K156" i="12843"/>
  <c r="M156" i="12843" s="1"/>
  <c r="K155" i="12843"/>
  <c r="M155" i="12843" s="1"/>
  <c r="K109" i="12843"/>
  <c r="K128" i="12843" s="1"/>
  <c r="K140" i="12843"/>
  <c r="K170" i="12843"/>
  <c r="M170" i="12843" s="1"/>
  <c r="M177" i="12843" s="1"/>
  <c r="M179" i="12843" s="1"/>
  <c r="K97" i="12843"/>
  <c r="M90" i="12843"/>
  <c r="M99" i="12843" s="1"/>
  <c r="M101" i="12843" s="1"/>
  <c r="I806" i="12843"/>
  <c r="G825" i="12843"/>
  <c r="I825" i="12843" s="1"/>
  <c r="K773" i="12843"/>
  <c r="K806" i="12843"/>
  <c r="K857" i="12843"/>
  <c r="G876" i="12843"/>
  <c r="I876" i="12843" s="1"/>
  <c r="I856" i="12843"/>
  <c r="I857" i="12843"/>
  <c r="G877" i="12843"/>
  <c r="I877" i="12843" s="1"/>
  <c r="G824" i="12843"/>
  <c r="I824" i="12843" s="1"/>
  <c r="I805" i="12843"/>
  <c r="K772" i="12843"/>
  <c r="K856" i="12843"/>
  <c r="K805" i="12843"/>
  <c r="K44" i="12787"/>
  <c r="K25" i="12787"/>
  <c r="K27" i="12787" s="1"/>
  <c r="M129" i="12843" l="1"/>
  <c r="Q129" i="12843"/>
  <c r="U126" i="12843"/>
  <c r="U128" i="12843"/>
  <c r="U127" i="12843"/>
  <c r="I92" i="12843"/>
  <c r="I94" i="12843"/>
  <c r="O156" i="12843"/>
  <c r="Q156" i="12843" s="1"/>
  <c r="O130" i="12843"/>
  <c r="I112" i="12843"/>
  <c r="I93" i="12843" s="1"/>
  <c r="M610" i="12843"/>
  <c r="U610" i="12843"/>
  <c r="M650" i="12843"/>
  <c r="M218" i="12843"/>
  <c r="I147" i="12843"/>
  <c r="I149" i="12843" s="1"/>
  <c r="S143" i="12843"/>
  <c r="U93" i="12843"/>
  <c r="U90" i="12843" s="1"/>
  <c r="U99" i="12843" s="1"/>
  <c r="U101" i="12843" s="1"/>
  <c r="S173" i="12843"/>
  <c r="U173" i="12843" s="1"/>
  <c r="S158" i="12843"/>
  <c r="U158" i="12843" s="1"/>
  <c r="S112" i="12843"/>
  <c r="U112" i="12843"/>
  <c r="S174" i="12843"/>
  <c r="U174" i="12843" s="1"/>
  <c r="U172" i="12843"/>
  <c r="U144" i="12843"/>
  <c r="U143" i="12843"/>
  <c r="U111" i="12843"/>
  <c r="U157" i="12843"/>
  <c r="S159" i="12843"/>
  <c r="U159" i="12843" s="1"/>
  <c r="I162" i="12843"/>
  <c r="I164" i="12843" s="1"/>
  <c r="I177" i="12843"/>
  <c r="I179" i="12843" s="1"/>
  <c r="U142" i="12843"/>
  <c r="U113" i="12843"/>
  <c r="I1101" i="12843"/>
  <c r="M772" i="12843"/>
  <c r="M751" i="12843"/>
  <c r="M754" i="12843"/>
  <c r="M187" i="12843"/>
  <c r="Q964" i="12843"/>
  <c r="M752" i="12843"/>
  <c r="M185" i="12843"/>
  <c r="M776" i="12843"/>
  <c r="M1112" i="12843"/>
  <c r="Q1021" i="12843"/>
  <c r="O1115" i="12843"/>
  <c r="M775" i="12843"/>
  <c r="M755" i="12843"/>
  <c r="M773" i="12843"/>
  <c r="M186" i="12843"/>
  <c r="M1018" i="12843"/>
  <c r="U1021" i="12843"/>
  <c r="S1115" i="12843"/>
  <c r="M147" i="12843"/>
  <c r="M149" i="12843" s="1"/>
  <c r="Q110" i="12843"/>
  <c r="Q116" i="12843" s="1"/>
  <c r="Q118" i="12843" s="1"/>
  <c r="U964" i="12843"/>
  <c r="Q15" i="12843"/>
  <c r="U201" i="12843"/>
  <c r="Q147" i="12843"/>
  <c r="Q149" i="12843" s="1"/>
  <c r="Q177" i="12843"/>
  <c r="Q179" i="12843" s="1"/>
  <c r="I928" i="12843"/>
  <c r="I1046" i="12843"/>
  <c r="I1080" i="12843"/>
  <c r="I1082" i="12843" s="1"/>
  <c r="V953" i="12843"/>
  <c r="X953" i="12843" s="1"/>
  <c r="W951" i="12843"/>
  <c r="X1026" i="12843"/>
  <c r="I950" i="12843"/>
  <c r="I502" i="12843"/>
  <c r="I219" i="12843"/>
  <c r="M116" i="12843"/>
  <c r="M118" i="12843" s="1"/>
  <c r="Q162" i="12843"/>
  <c r="Q164" i="12843" s="1"/>
  <c r="M162" i="12843"/>
  <c r="M164" i="12843" s="1"/>
  <c r="I772" i="12843"/>
  <c r="K824" i="12843"/>
  <c r="M824" i="12843" s="1"/>
  <c r="M805" i="12843"/>
  <c r="I887" i="12843"/>
  <c r="I889" i="12843" s="1"/>
  <c r="M857" i="12843"/>
  <c r="K877" i="12843"/>
  <c r="M877" i="12843" s="1"/>
  <c r="I773" i="12843"/>
  <c r="K876" i="12843"/>
  <c r="M876" i="12843" s="1"/>
  <c r="M856" i="12843"/>
  <c r="I751" i="12843"/>
  <c r="I834" i="12843"/>
  <c r="K825" i="12843"/>
  <c r="M825" i="12843" s="1"/>
  <c r="M806" i="12843"/>
  <c r="I752" i="12843"/>
  <c r="S1128" i="12843"/>
  <c r="U1162" i="12843" s="1"/>
  <c r="U1164" i="12843" s="1"/>
  <c r="K1035" i="12787"/>
  <c r="P28" i="12787"/>
  <c r="O28" i="12787"/>
  <c r="I116" i="12843" l="1"/>
  <c r="I118" i="12843" s="1"/>
  <c r="I131" i="12843"/>
  <c r="I132" i="12843" s="1"/>
  <c r="I134" i="12843" s="1"/>
  <c r="S131" i="12843"/>
  <c r="X950" i="12843"/>
  <c r="N28" i="12783"/>
  <c r="P28" i="12783" s="1"/>
  <c r="Q28" i="12783" s="1"/>
  <c r="N30" i="12772" s="1"/>
  <c r="U632" i="12843"/>
  <c r="I221" i="12843"/>
  <c r="S964" i="12843"/>
  <c r="S1002" i="12843" s="1"/>
  <c r="U1002" i="12843" s="1"/>
  <c r="U1018" i="12843"/>
  <c r="O15" i="12843"/>
  <c r="O72" i="12843" s="1"/>
  <c r="Q72" i="12843" s="1"/>
  <c r="U1112" i="12843"/>
  <c r="Q1112" i="12843"/>
  <c r="S1021" i="12843"/>
  <c r="S1042" i="12843" s="1"/>
  <c r="U1042" i="12843" s="1"/>
  <c r="U20" i="12843"/>
  <c r="U19" i="12843"/>
  <c r="U21" i="12843"/>
  <c r="U17" i="12843"/>
  <c r="U16" i="12843"/>
  <c r="Q19" i="12843"/>
  <c r="Q20" i="12843"/>
  <c r="Q21" i="12843"/>
  <c r="Q16" i="12843"/>
  <c r="Q17" i="12843"/>
  <c r="M20" i="12843"/>
  <c r="M19" i="12843"/>
  <c r="M21" i="12843"/>
  <c r="M16" i="12843"/>
  <c r="M17" i="12843"/>
  <c r="U15" i="12843"/>
  <c r="M15" i="12843"/>
  <c r="O964" i="12843"/>
  <c r="Q1018" i="12843"/>
  <c r="K1112" i="12843"/>
  <c r="M1118" i="12843" s="1"/>
  <c r="M1120" i="12843" s="1"/>
  <c r="Q1045" i="12843"/>
  <c r="Q1081" i="12843"/>
  <c r="Q1100" i="12843"/>
  <c r="Q1063" i="12843"/>
  <c r="Q1025" i="12843"/>
  <c r="Q949" i="12843" s="1"/>
  <c r="Q930" i="12843" s="1"/>
  <c r="U1100" i="12843"/>
  <c r="U1081" i="12843"/>
  <c r="U1063" i="12843"/>
  <c r="U1045" i="12843"/>
  <c r="U1025" i="12843"/>
  <c r="U949" i="12843" s="1"/>
  <c r="U930" i="12843" s="1"/>
  <c r="M1100" i="12843"/>
  <c r="M1063" i="12843"/>
  <c r="M1045" i="12843"/>
  <c r="M1081" i="12843"/>
  <c r="M1025" i="12843"/>
  <c r="M949" i="12843" s="1"/>
  <c r="M930" i="12843" s="1"/>
  <c r="I783" i="12843"/>
  <c r="I836" i="12843"/>
  <c r="I785" i="12843" s="1"/>
  <c r="U946" i="12843"/>
  <c r="U927" i="12843" s="1"/>
  <c r="O1021" i="12843"/>
  <c r="K1018" i="12843"/>
  <c r="S27" i="12783"/>
  <c r="Q27" i="12783"/>
  <c r="K1038" i="12787"/>
  <c r="P1036" i="12787" s="1"/>
  <c r="O1036" i="12787"/>
  <c r="N30" i="12791" l="1"/>
  <c r="N30" i="12773"/>
  <c r="I99" i="12843"/>
  <c r="I101" i="12843" s="1"/>
  <c r="W102" i="12843" s="1"/>
  <c r="S91" i="12843"/>
  <c r="N23" i="12783"/>
  <c r="W222" i="12843"/>
  <c r="X221" i="12843"/>
  <c r="X785" i="12843"/>
  <c r="O1128" i="12843"/>
  <c r="Q1162" i="12843" s="1"/>
  <c r="Q1164" i="12843" s="1"/>
  <c r="K1128" i="12843"/>
  <c r="S984" i="12843"/>
  <c r="U984" i="12843" s="1"/>
  <c r="U1078" i="12843" s="1"/>
  <c r="O36" i="12843"/>
  <c r="Q36" i="12843" s="1"/>
  <c r="S15" i="12843"/>
  <c r="S72" i="12843" s="1"/>
  <c r="U72" i="12843" s="1"/>
  <c r="K17" i="12843"/>
  <c r="K56" i="12843" s="1"/>
  <c r="M56" i="12843" s="1"/>
  <c r="K21" i="12843"/>
  <c r="K60" i="12843" s="1"/>
  <c r="M60" i="12843" s="1"/>
  <c r="K20" i="12843"/>
  <c r="K41" i="12843" s="1"/>
  <c r="M41" i="12843" s="1"/>
  <c r="O16" i="12843"/>
  <c r="O73" i="12843" s="1"/>
  <c r="Q73" i="12843" s="1"/>
  <c r="O20" i="12843"/>
  <c r="O41" i="12843" s="1"/>
  <c r="Q41" i="12843" s="1"/>
  <c r="S16" i="12843"/>
  <c r="S37" i="12843" s="1"/>
  <c r="U37" i="12843" s="1"/>
  <c r="S21" i="12843"/>
  <c r="S42" i="12843" s="1"/>
  <c r="U42" i="12843" s="1"/>
  <c r="S20" i="12843"/>
  <c r="S77" i="12843" s="1"/>
  <c r="U77" i="12843" s="1"/>
  <c r="O54" i="12843"/>
  <c r="Q54" i="12843" s="1"/>
  <c r="Q1114" i="12843"/>
  <c r="K15" i="12843"/>
  <c r="K54" i="12843" s="1"/>
  <c r="M54" i="12843" s="1"/>
  <c r="K16" i="12843"/>
  <c r="K37" i="12843" s="1"/>
  <c r="M37" i="12843" s="1"/>
  <c r="K19" i="12843"/>
  <c r="K40" i="12843" s="1"/>
  <c r="M40" i="12843" s="1"/>
  <c r="O17" i="12843"/>
  <c r="O56" i="12843" s="1"/>
  <c r="Q56" i="12843" s="1"/>
  <c r="O21" i="12843"/>
  <c r="O60" i="12843" s="1"/>
  <c r="Q60" i="12843" s="1"/>
  <c r="O19" i="12843"/>
  <c r="O58" i="12843" s="1"/>
  <c r="Q58" i="12843" s="1"/>
  <c r="S1112" i="12843"/>
  <c r="Q905" i="12843"/>
  <c r="U633" i="12843"/>
  <c r="U1307" i="12843" s="1"/>
  <c r="U1114" i="12843"/>
  <c r="U1118" i="12843" s="1"/>
  <c r="S1060" i="12843"/>
  <c r="U1060" i="12843" s="1"/>
  <c r="U1097" i="12843" s="1"/>
  <c r="O1002" i="12843"/>
  <c r="Q1002" i="12843" s="1"/>
  <c r="O984" i="12843"/>
  <c r="Q984" i="12843" s="1"/>
  <c r="S1018" i="12843"/>
  <c r="S1057" i="12843" s="1"/>
  <c r="U1057" i="12843" s="1"/>
  <c r="O1018" i="12843"/>
  <c r="O1039" i="12843" s="1"/>
  <c r="Q1039" i="12843" s="1"/>
  <c r="U1020" i="12843"/>
  <c r="S19" i="12843"/>
  <c r="S76" i="12843" s="1"/>
  <c r="U76" i="12843" s="1"/>
  <c r="O1112" i="12843"/>
  <c r="S17" i="12843"/>
  <c r="S74" i="12843" s="1"/>
  <c r="U74" i="12843" s="1"/>
  <c r="U220" i="12843"/>
  <c r="M220" i="12843"/>
  <c r="Q220" i="12843"/>
  <c r="N26" i="12783"/>
  <c r="P26" i="12783" s="1"/>
  <c r="Q26" i="12783" s="1"/>
  <c r="W786" i="12843"/>
  <c r="Q946" i="12843"/>
  <c r="Q927" i="12843" s="1"/>
  <c r="M1024" i="12843"/>
  <c r="M1026" i="12843" s="1"/>
  <c r="O1060" i="12843"/>
  <c r="Q1060" i="12843" s="1"/>
  <c r="O1042" i="12843"/>
  <c r="Q1042" i="12843" s="1"/>
  <c r="K1057" i="12843"/>
  <c r="M1057" i="12843" s="1"/>
  <c r="M1062" i="12843" s="1"/>
  <c r="M1064" i="12843" s="1"/>
  <c r="K1039" i="12843"/>
  <c r="M1039" i="12843" s="1"/>
  <c r="M1044" i="12843" s="1"/>
  <c r="M1046" i="12843" s="1"/>
  <c r="S23" i="12783" l="1"/>
  <c r="P23" i="12783"/>
  <c r="Q23" i="12783" s="1"/>
  <c r="X34" i="12769" s="1"/>
  <c r="U125" i="12843"/>
  <c r="N17" i="12783"/>
  <c r="U103" i="12843"/>
  <c r="U198" i="12843"/>
  <c r="Q198" i="12843"/>
  <c r="U141" i="12843"/>
  <c r="U91" i="12843"/>
  <c r="S171" i="12843"/>
  <c r="U171" i="12843" s="1"/>
  <c r="S98" i="12843"/>
  <c r="S141" i="12843"/>
  <c r="S110" i="12843"/>
  <c r="S156" i="12843" s="1"/>
  <c r="U156" i="12843" s="1"/>
  <c r="S90" i="12843"/>
  <c r="S28" i="12783"/>
  <c r="S905" i="12843"/>
  <c r="S906" i="12843" s="1"/>
  <c r="K76" i="12843"/>
  <c r="M76" i="12843" s="1"/>
  <c r="S73" i="12843"/>
  <c r="U73" i="12843" s="1"/>
  <c r="K36" i="12843"/>
  <c r="M36" i="12843" s="1"/>
  <c r="M46" i="12843" s="1"/>
  <c r="M48" i="12843" s="1"/>
  <c r="S55" i="12843"/>
  <c r="U55" i="12843" s="1"/>
  <c r="S41" i="12843"/>
  <c r="U41" i="12843" s="1"/>
  <c r="K78" i="12843"/>
  <c r="M78" i="12843" s="1"/>
  <c r="O55" i="12843"/>
  <c r="Q55" i="12843" s="1"/>
  <c r="S36" i="12843"/>
  <c r="U36" i="12843" s="1"/>
  <c r="K42" i="12843"/>
  <c r="M42" i="12843" s="1"/>
  <c r="O37" i="12843"/>
  <c r="Q37" i="12843" s="1"/>
  <c r="S54" i="12843"/>
  <c r="U54" i="12843" s="1"/>
  <c r="S59" i="12843"/>
  <c r="U59" i="12843" s="1"/>
  <c r="O40" i="12843"/>
  <c r="Q40" i="12843" s="1"/>
  <c r="K55" i="12843"/>
  <c r="M55" i="12843" s="1"/>
  <c r="O76" i="12843"/>
  <c r="Q76" i="12843" s="1"/>
  <c r="O38" i="12843"/>
  <c r="Q38" i="12843" s="1"/>
  <c r="O74" i="12843"/>
  <c r="Q74" i="12843" s="1"/>
  <c r="K59" i="12843"/>
  <c r="M59" i="12843" s="1"/>
  <c r="O77" i="12843"/>
  <c r="Q77" i="12843" s="1"/>
  <c r="S60" i="12843"/>
  <c r="U60" i="12843" s="1"/>
  <c r="K38" i="12843"/>
  <c r="M38" i="12843" s="1"/>
  <c r="O59" i="12843"/>
  <c r="Q59" i="12843" s="1"/>
  <c r="K73" i="12843"/>
  <c r="M73" i="12843" s="1"/>
  <c r="S78" i="12843"/>
  <c r="U78" i="12843" s="1"/>
  <c r="K77" i="12843"/>
  <c r="M77" i="12843" s="1"/>
  <c r="S1114" i="12843"/>
  <c r="S1117" i="12843" s="1"/>
  <c r="Q758" i="12843"/>
  <c r="K74" i="12843"/>
  <c r="M74" i="12843" s="1"/>
  <c r="K58" i="12843"/>
  <c r="M58" i="12843" s="1"/>
  <c r="K72" i="12843"/>
  <c r="M72" i="12843" s="1"/>
  <c r="M82" i="12843" s="1"/>
  <c r="M84" i="12843" s="1"/>
  <c r="U905" i="12843"/>
  <c r="U758" i="12843"/>
  <c r="O42" i="12843"/>
  <c r="Q42" i="12843" s="1"/>
  <c r="O78" i="12843"/>
  <c r="Q78" i="12843" s="1"/>
  <c r="Q1020" i="12843"/>
  <c r="T33" i="12771"/>
  <c r="U780" i="12843"/>
  <c r="Q780" i="12843"/>
  <c r="O1057" i="12843"/>
  <c r="Q1057" i="12843" s="1"/>
  <c r="O905" i="12843"/>
  <c r="O906" i="12843" s="1"/>
  <c r="S1039" i="12843"/>
  <c r="U1039" i="12843" s="1"/>
  <c r="Q1097" i="12843"/>
  <c r="U214" i="12843"/>
  <c r="S214" i="12843" s="1"/>
  <c r="S495" i="12843" s="1"/>
  <c r="Q214" i="12843"/>
  <c r="O214" i="12843" s="1"/>
  <c r="O389" i="12843" s="1"/>
  <c r="S1020" i="12843"/>
  <c r="U1024" i="12843" s="1"/>
  <c r="U1026" i="12843" s="1"/>
  <c r="Q64" i="12843"/>
  <c r="Q66" i="12843" s="1"/>
  <c r="S58" i="12843"/>
  <c r="U58" i="12843" s="1"/>
  <c r="S40" i="12843"/>
  <c r="U40" i="12843" s="1"/>
  <c r="M25" i="12843"/>
  <c r="M27" i="12843" s="1"/>
  <c r="M64" i="12843"/>
  <c r="M66" i="12843" s="1"/>
  <c r="Q25" i="12843"/>
  <c r="Q27" i="12843" s="1"/>
  <c r="Q82" i="12843"/>
  <c r="Q84" i="12843" s="1"/>
  <c r="S56" i="12843"/>
  <c r="U56" i="12843" s="1"/>
  <c r="Q46" i="12843"/>
  <c r="Q48" i="12843" s="1"/>
  <c r="Q784" i="12843"/>
  <c r="Q835" i="12843" s="1"/>
  <c r="S38" i="12843"/>
  <c r="U38" i="12843" s="1"/>
  <c r="U784" i="12843"/>
  <c r="U835" i="12843" s="1"/>
  <c r="M784" i="12843"/>
  <c r="M835" i="12843" s="1"/>
  <c r="U82" i="12843"/>
  <c r="U84" i="12843" s="1"/>
  <c r="O1114" i="12843"/>
  <c r="U571" i="12843"/>
  <c r="U395" i="12843"/>
  <c r="U291" i="12843"/>
  <c r="U360" i="12843"/>
  <c r="U257" i="12843"/>
  <c r="U536" i="12843"/>
  <c r="U326" i="12843"/>
  <c r="U501" i="12843"/>
  <c r="U465" i="12843"/>
  <c r="U430" i="12843"/>
  <c r="Q291" i="12843"/>
  <c r="Q571" i="12843"/>
  <c r="Q257" i="12843"/>
  <c r="Q360" i="12843"/>
  <c r="Q501" i="12843"/>
  <c r="Q536" i="12843"/>
  <c r="Q465" i="12843"/>
  <c r="Q430" i="12843"/>
  <c r="Q326" i="12843"/>
  <c r="Q395" i="12843"/>
  <c r="M360" i="12843"/>
  <c r="M257" i="12843"/>
  <c r="M326" i="12843"/>
  <c r="M536" i="12843"/>
  <c r="M501" i="12843"/>
  <c r="M465" i="12843"/>
  <c r="M430" i="12843"/>
  <c r="M571" i="12843"/>
  <c r="M395" i="12843"/>
  <c r="M291" i="12843"/>
  <c r="U1120" i="12843"/>
  <c r="Q1078" i="12843"/>
  <c r="S26" i="12783"/>
  <c r="N20" i="12783" l="1"/>
  <c r="S20" i="12783" s="1"/>
  <c r="P17" i="12783"/>
  <c r="U124" i="12843"/>
  <c r="U132" i="12843" s="1"/>
  <c r="U134" i="12843" s="1"/>
  <c r="S17" i="12783"/>
  <c r="S140" i="12843"/>
  <c r="S97" i="12843"/>
  <c r="S109" i="12843"/>
  <c r="S128" i="12843" s="1"/>
  <c r="S170" i="12843"/>
  <c r="U170" i="12843" s="1"/>
  <c r="U177" i="12843" s="1"/>
  <c r="U179" i="12843" s="1"/>
  <c r="S155" i="12843"/>
  <c r="U155" i="12843" s="1"/>
  <c r="U162" i="12843" s="1"/>
  <c r="U164" i="12843" s="1"/>
  <c r="U109" i="12843"/>
  <c r="U116" i="12843" s="1"/>
  <c r="U118" i="12843" s="1"/>
  <c r="U110" i="12843"/>
  <c r="U140" i="12843"/>
  <c r="U147" i="12843" s="1"/>
  <c r="U149" i="12843" s="1"/>
  <c r="S780" i="12843"/>
  <c r="S832" i="12843" s="1"/>
  <c r="U832" i="12843" s="1"/>
  <c r="O1020" i="12843"/>
  <c r="Q1024" i="12843" s="1"/>
  <c r="Q1026" i="12843" s="1"/>
  <c r="O780" i="12843"/>
  <c r="O832" i="12843" s="1"/>
  <c r="Q832" i="12843" s="1"/>
  <c r="O251" i="12843"/>
  <c r="S354" i="12843"/>
  <c r="U354" i="12843" s="1"/>
  <c r="S320" i="12843"/>
  <c r="U320" i="12843" s="1"/>
  <c r="S251" i="12843"/>
  <c r="S285" i="12843"/>
  <c r="U285" i="12843" s="1"/>
  <c r="S459" i="12843"/>
  <c r="U459" i="12843" s="1"/>
  <c r="O354" i="12843"/>
  <c r="Q354" i="12843" s="1"/>
  <c r="O459" i="12843"/>
  <c r="Q459" i="12843" s="1"/>
  <c r="O565" i="12843"/>
  <c r="Q565" i="12843" s="1"/>
  <c r="O495" i="12843"/>
  <c r="S565" i="12843"/>
  <c r="U565" i="12843" s="1"/>
  <c r="S424" i="12843"/>
  <c r="U424" i="12843" s="1"/>
  <c r="O320" i="12843"/>
  <c r="Q320" i="12843" s="1"/>
  <c r="O424" i="12843"/>
  <c r="Q424" i="12843" s="1"/>
  <c r="S389" i="12843"/>
  <c r="S530" i="12843"/>
  <c r="U530" i="12843" s="1"/>
  <c r="O530" i="12843"/>
  <c r="Q530" i="12843" s="1"/>
  <c r="O285" i="12843"/>
  <c r="Q285" i="12843" s="1"/>
  <c r="S1041" i="12843"/>
  <c r="U1041" i="12843" s="1"/>
  <c r="U1044" i="12843" s="1"/>
  <c r="U1046" i="12843" s="1"/>
  <c r="S1023" i="12843"/>
  <c r="S1059" i="12843"/>
  <c r="U1059" i="12843" s="1"/>
  <c r="U1062" i="12843" s="1"/>
  <c r="U1064" i="12843" s="1"/>
  <c r="U46" i="12843"/>
  <c r="U48" i="12843" s="1"/>
  <c r="U64" i="12843"/>
  <c r="U66" i="12843" s="1"/>
  <c r="U25" i="12843"/>
  <c r="U27" i="12843" s="1"/>
  <c r="U888" i="12843"/>
  <c r="Q888" i="12843"/>
  <c r="M888" i="12843"/>
  <c r="S198" i="12843"/>
  <c r="S552" i="12843" s="1"/>
  <c r="O198" i="12843"/>
  <c r="O517" i="12843" s="1"/>
  <c r="O1117" i="12843"/>
  <c r="Q1118" i="12843"/>
  <c r="Q1120" i="12843" s="1"/>
  <c r="S758" i="12843"/>
  <c r="O758" i="12843"/>
  <c r="Q17" i="12783" l="1"/>
  <c r="W22" i="12833" s="1"/>
  <c r="P20" i="12783"/>
  <c r="Q20" i="12783" s="1"/>
  <c r="U129" i="12843"/>
  <c r="Q213" i="12843"/>
  <c r="U213" i="12843"/>
  <c r="Q779" i="12843"/>
  <c r="U779" i="12843"/>
  <c r="S884" i="12843"/>
  <c r="U884" i="12843" s="1"/>
  <c r="O1059" i="12843"/>
  <c r="Q1059" i="12843" s="1"/>
  <c r="Q1062" i="12843" s="1"/>
  <c r="Q1064" i="12843" s="1"/>
  <c r="O1023" i="12843"/>
  <c r="O1041" i="12843"/>
  <c r="Q1041" i="12843" s="1"/>
  <c r="Q1044" i="12843" s="1"/>
  <c r="Q1046" i="12843" s="1"/>
  <c r="O884" i="12843"/>
  <c r="Q884" i="12843" s="1"/>
  <c r="Q495" i="12843"/>
  <c r="Q389" i="12843"/>
  <c r="U251" i="12843"/>
  <c r="U389" i="12843"/>
  <c r="Q251" i="12843"/>
  <c r="U495" i="12843"/>
  <c r="S238" i="12843"/>
  <c r="S250" i="12843" s="1"/>
  <c r="S411" i="12843"/>
  <c r="S423" i="12843" s="1"/>
  <c r="U423" i="12843" s="1"/>
  <c r="S272" i="12843"/>
  <c r="S284" i="12843" s="1"/>
  <c r="U284" i="12843" s="1"/>
  <c r="S376" i="12843"/>
  <c r="S388" i="12843" s="1"/>
  <c r="S517" i="12843"/>
  <c r="U517" i="12843" s="1"/>
  <c r="S213" i="12843"/>
  <c r="S446" i="12843"/>
  <c r="U446" i="12843" s="1"/>
  <c r="S482" i="12843"/>
  <c r="S494" i="12843" s="1"/>
  <c r="S307" i="12843"/>
  <c r="U307" i="12843" s="1"/>
  <c r="S341" i="12843"/>
  <c r="S353" i="12843" s="1"/>
  <c r="U353" i="12843" s="1"/>
  <c r="O307" i="12843"/>
  <c r="O319" i="12843" s="1"/>
  <c r="Q319" i="12843" s="1"/>
  <c r="O411" i="12843"/>
  <c r="O423" i="12843" s="1"/>
  <c r="Q423" i="12843" s="1"/>
  <c r="O482" i="12843"/>
  <c r="O494" i="12843" s="1"/>
  <c r="O552" i="12843"/>
  <c r="Q552" i="12843" s="1"/>
  <c r="O341" i="12843"/>
  <c r="O353" i="12843" s="1"/>
  <c r="Q353" i="12843" s="1"/>
  <c r="O213" i="12843"/>
  <c r="O376" i="12843"/>
  <c r="O388" i="12843" s="1"/>
  <c r="O238" i="12843"/>
  <c r="O250" i="12843" s="1"/>
  <c r="O446" i="12843"/>
  <c r="Q446" i="12843" s="1"/>
  <c r="O272" i="12843"/>
  <c r="O284" i="12843" s="1"/>
  <c r="Q284" i="12843" s="1"/>
  <c r="S779" i="12843"/>
  <c r="S812" i="12843"/>
  <c r="S863" i="12843"/>
  <c r="O779" i="12843"/>
  <c r="O812" i="12843"/>
  <c r="O863" i="12843"/>
  <c r="U552" i="12843"/>
  <c r="S564" i="12843"/>
  <c r="U564" i="12843" s="1"/>
  <c r="Q517" i="12843"/>
  <c r="O529" i="12843"/>
  <c r="Q529" i="12843" s="1"/>
  <c r="Q218" i="12843" l="1"/>
  <c r="U411" i="12843"/>
  <c r="U376" i="12843" s="1"/>
  <c r="S529" i="12843"/>
  <c r="U529" i="12843" s="1"/>
  <c r="U494" i="12843" s="1"/>
  <c r="U272" i="12843"/>
  <c r="U341" i="12843"/>
  <c r="S319" i="12843"/>
  <c r="U319" i="12843" s="1"/>
  <c r="U250" i="12843" s="1"/>
  <c r="S458" i="12843"/>
  <c r="U458" i="12843" s="1"/>
  <c r="U388" i="12843" s="1"/>
  <c r="Q307" i="12843"/>
  <c r="Q411" i="12843"/>
  <c r="Q376" i="12843" s="1"/>
  <c r="Q341" i="12843"/>
  <c r="Q272" i="12843"/>
  <c r="O564" i="12843"/>
  <c r="Q564" i="12843" s="1"/>
  <c r="Q494" i="12843" s="1"/>
  <c r="O458" i="12843"/>
  <c r="Q458" i="12843" s="1"/>
  <c r="Q388" i="12843" s="1"/>
  <c r="S883" i="12843"/>
  <c r="U883" i="12843" s="1"/>
  <c r="U863" i="12843"/>
  <c r="S831" i="12843"/>
  <c r="U831" i="12843" s="1"/>
  <c r="U812" i="12843"/>
  <c r="O831" i="12843"/>
  <c r="Q831" i="12843" s="1"/>
  <c r="Q812" i="12843"/>
  <c r="Q863" i="12843"/>
  <c r="O883" i="12843"/>
  <c r="Q883" i="12843" s="1"/>
  <c r="Q482" i="12843"/>
  <c r="U482" i="12843"/>
  <c r="Q250" i="12843"/>
  <c r="U238" i="12843" l="1"/>
  <c r="Q238" i="12843"/>
  <c r="R52" i="12837" l="1"/>
  <c r="P52" i="12837"/>
  <c r="V52" i="12837" s="1"/>
  <c r="P31" i="12837"/>
  <c r="R31" i="12837"/>
  <c r="R22" i="12837"/>
  <c r="P22" i="12837"/>
  <c r="P16" i="12837"/>
  <c r="V16" i="12837" s="1"/>
  <c r="R16" i="12837"/>
  <c r="L54" i="12837" l="1"/>
  <c r="P50" i="12837"/>
  <c r="V50" i="12837" s="1"/>
  <c r="R50" i="12837"/>
  <c r="P24" i="12837"/>
  <c r="V24" i="12837" s="1"/>
  <c r="R24" i="12837"/>
  <c r="R49" i="12837"/>
  <c r="P49" i="12837"/>
  <c r="R32" i="12837"/>
  <c r="P32" i="12837"/>
  <c r="V32" i="12837" s="1"/>
  <c r="P34" i="12837"/>
  <c r="V34" i="12837" s="1"/>
  <c r="R34" i="12837"/>
  <c r="V22" i="12837"/>
  <c r="V31" i="12837"/>
  <c r="P23" i="12837" l="1"/>
  <c r="R23" i="12837"/>
  <c r="V49" i="12837"/>
  <c r="R15" i="12837"/>
  <c r="L19" i="12837"/>
  <c r="P15" i="12837"/>
  <c r="R54" i="12837"/>
  <c r="R51" i="12837"/>
  <c r="P51" i="12837"/>
  <c r="V51" i="12837" s="1"/>
  <c r="R40" i="12837"/>
  <c r="L42" i="12837"/>
  <c r="P40" i="12837"/>
  <c r="V40" i="12837" l="1"/>
  <c r="P42" i="12837"/>
  <c r="V42" i="12837" s="1"/>
  <c r="R19" i="12837"/>
  <c r="R42" i="12837"/>
  <c r="V15" i="12837"/>
  <c r="P19" i="12837"/>
  <c r="P54" i="12837"/>
  <c r="V54" i="12837" s="1"/>
  <c r="V23" i="12837"/>
  <c r="V19" i="12837" l="1"/>
  <c r="R35" i="12837"/>
  <c r="P35" i="12837"/>
  <c r="V35" i="12837" l="1"/>
  <c r="M900" i="12843" l="1"/>
  <c r="M959" i="12843"/>
  <c r="M941" i="12843" s="1"/>
  <c r="M922" i="12843" s="1"/>
  <c r="M961" i="12843" l="1"/>
  <c r="U961" i="12843" l="1"/>
  <c r="Q961" i="12843"/>
  <c r="K961" i="12843"/>
  <c r="M943" i="12843" s="1"/>
  <c r="U963" i="12843" l="1"/>
  <c r="K999" i="12843"/>
  <c r="M999" i="12843" s="1"/>
  <c r="M1004" i="12843" s="1"/>
  <c r="M1006" i="12843" s="1"/>
  <c r="K981" i="12843"/>
  <c r="K902" i="12843" s="1"/>
  <c r="K907" i="12843" s="1"/>
  <c r="M967" i="12843"/>
  <c r="M948" i="12843" s="1"/>
  <c r="M928" i="12843" s="1"/>
  <c r="S961" i="12843"/>
  <c r="U943" i="12843" s="1"/>
  <c r="U924" i="12843" s="1"/>
  <c r="O961" i="12843"/>
  <c r="Q943" i="12843" s="1"/>
  <c r="M908" i="12843" l="1"/>
  <c r="Q963" i="12843"/>
  <c r="M969" i="12843"/>
  <c r="M950" i="12843" s="1"/>
  <c r="M981" i="12843"/>
  <c r="M986" i="12843" s="1"/>
  <c r="M1080" i="12843" s="1"/>
  <c r="M1082" i="12843" s="1"/>
  <c r="M929" i="12843"/>
  <c r="M931" i="12843" s="1"/>
  <c r="K908" i="12843"/>
  <c r="M1099" i="12843"/>
  <c r="M1101" i="12843" s="1"/>
  <c r="S999" i="12843"/>
  <c r="U999" i="12843" s="1"/>
  <c r="U1094" i="12843" s="1"/>
  <c r="M1094" i="12843"/>
  <c r="S981" i="12843"/>
  <c r="U981" i="12843" s="1"/>
  <c r="U1075" i="12843" s="1"/>
  <c r="O999" i="12843"/>
  <c r="Q999" i="12843" s="1"/>
  <c r="Q1094" i="12843" s="1"/>
  <c r="O981" i="12843"/>
  <c r="Q981" i="12843" s="1"/>
  <c r="Q1075" i="12843" s="1"/>
  <c r="Q924" i="12843" s="1"/>
  <c r="S963" i="12843"/>
  <c r="U967" i="12843" s="1"/>
  <c r="U969" i="12843" s="1"/>
  <c r="U950" i="12843" s="1"/>
  <c r="U907" i="12843" l="1"/>
  <c r="M902" i="12843"/>
  <c r="M911" i="12843" s="1"/>
  <c r="M913" i="12843" s="1"/>
  <c r="M907" i="12843"/>
  <c r="U902" i="12843"/>
  <c r="U908" i="12843"/>
  <c r="Q907" i="12843"/>
  <c r="M1075" i="12843"/>
  <c r="M924" i="12843" s="1"/>
  <c r="M988" i="12843"/>
  <c r="S902" i="12843"/>
  <c r="S908" i="12843" s="1"/>
  <c r="O902" i="12843"/>
  <c r="O908" i="12843" s="1"/>
  <c r="S1001" i="12843"/>
  <c r="U1001" i="12843" s="1"/>
  <c r="U1004" i="12843" s="1"/>
  <c r="U1099" i="12843" s="1"/>
  <c r="U1101" i="12843" s="1"/>
  <c r="U945" i="12843"/>
  <c r="U926" i="12843" s="1"/>
  <c r="S966" i="12843"/>
  <c r="S983" i="12843"/>
  <c r="S904" i="12843" s="1"/>
  <c r="S909" i="12843" s="1"/>
  <c r="U948" i="12843"/>
  <c r="U929" i="12843" s="1"/>
  <c r="U931" i="12843" s="1"/>
  <c r="O963" i="12843"/>
  <c r="Q945" i="12843" s="1"/>
  <c r="U909" i="12843" l="1"/>
  <c r="Q902" i="12843"/>
  <c r="Q908" i="12843"/>
  <c r="S907" i="12843"/>
  <c r="U1006" i="12843"/>
  <c r="U1096" i="12843"/>
  <c r="O907" i="12843"/>
  <c r="U983" i="12843"/>
  <c r="U1077" i="12843" s="1"/>
  <c r="O983" i="12843"/>
  <c r="Q983" i="12843" s="1"/>
  <c r="Q986" i="12843" s="1"/>
  <c r="U928" i="12843"/>
  <c r="O966" i="12843"/>
  <c r="O1001" i="12843"/>
  <c r="Q1001" i="12843" s="1"/>
  <c r="Q1096" i="12843" s="1"/>
  <c r="Q967" i="12843"/>
  <c r="Q969" i="12843" s="1"/>
  <c r="Q950" i="12843" s="1"/>
  <c r="Q904" i="12843" l="1"/>
  <c r="Q909" i="12843"/>
  <c r="U904" i="12843"/>
  <c r="U911" i="12843" s="1"/>
  <c r="U913" i="12843" s="1"/>
  <c r="U986" i="12843"/>
  <c r="U1080" i="12843" s="1"/>
  <c r="U1082" i="12843" s="1"/>
  <c r="O904" i="12843"/>
  <c r="Q1077" i="12843"/>
  <c r="Q926" i="12843" s="1"/>
  <c r="Q948" i="12843"/>
  <c r="Q928" i="12843" s="1"/>
  <c r="Q1004" i="12843"/>
  <c r="Q1006" i="12843" s="1"/>
  <c r="Q988" i="12843"/>
  <c r="Q1080" i="12843"/>
  <c r="Q1082" i="12843" s="1"/>
  <c r="O909" i="12843" l="1"/>
  <c r="Q911" i="12843" s="1"/>
  <c r="Q913" i="12843" s="1"/>
  <c r="U988" i="12843"/>
  <c r="Q929" i="12843"/>
  <c r="Q931" i="12843" s="1"/>
  <c r="Q1099" i="12843"/>
  <c r="Q1101" i="12843" s="1"/>
  <c r="K1283" i="12843" l="1"/>
  <c r="K1276" i="12843"/>
  <c r="K1265" i="12843"/>
  <c r="K1271" i="12843"/>
  <c r="K1290" i="12843"/>
  <c r="K1281" i="12843"/>
  <c r="K1275" i="12843"/>
  <c r="K1287" i="12843"/>
  <c r="K1267" i="12843"/>
  <c r="K1288" i="12843"/>
  <c r="K1280" i="12843"/>
  <c r="K1273" i="12843"/>
  <c r="K1286" i="12843"/>
  <c r="K1264" i="12843"/>
  <c r="K1284" i="12843"/>
  <c r="K1279" i="12843"/>
  <c r="K1268" i="12843"/>
  <c r="K1272" i="12843"/>
  <c r="K1263" i="12843"/>
  <c r="M1293" i="12843"/>
  <c r="M1295" i="12843" s="1"/>
  <c r="O1288" i="12843" l="1"/>
  <c r="O1280" i="12843"/>
  <c r="O1273" i="12843"/>
  <c r="O1264" i="12843"/>
  <c r="O1284" i="12843"/>
  <c r="O1279" i="12843"/>
  <c r="O1268" i="12843"/>
  <c r="O1272" i="12843"/>
  <c r="O1263" i="12843"/>
  <c r="O1283" i="12843"/>
  <c r="O1276" i="12843"/>
  <c r="O1265" i="12843"/>
  <c r="O1271" i="12843"/>
  <c r="O1290" i="12843"/>
  <c r="O1281" i="12843"/>
  <c r="O1275" i="12843"/>
  <c r="O1287" i="12843"/>
  <c r="O1267" i="12843"/>
  <c r="O1286" i="12843"/>
  <c r="Q1293" i="12843"/>
  <c r="Q1295" i="12843" s="1"/>
  <c r="S1264" i="12843"/>
  <c r="S1267" i="12843"/>
  <c r="S1271" i="12843"/>
  <c r="S1286" i="12843"/>
  <c r="S1287" i="12843"/>
  <c r="S1265" i="12843"/>
  <c r="S1268" i="12843"/>
  <c r="S1273" i="12843"/>
  <c r="S1275" i="12843"/>
  <c r="S1276" i="12843"/>
  <c r="S1279" i="12843"/>
  <c r="S1280" i="12843"/>
  <c r="S1281" i="12843"/>
  <c r="S1283" i="12843"/>
  <c r="S1284" i="12843"/>
  <c r="S1288" i="12843"/>
  <c r="S1272" i="12843" l="1"/>
  <c r="S1290" i="12843"/>
  <c r="S1263" i="12843"/>
  <c r="U1293" i="12843"/>
  <c r="U1295" i="12843" s="1"/>
  <c r="M1142" i="12843" l="1"/>
  <c r="M1139" i="12843" l="1"/>
  <c r="M1144" i="12843"/>
  <c r="M1141" i="12843"/>
  <c r="M1140" i="12843"/>
  <c r="M1162" i="12843"/>
  <c r="M1164" i="12843" s="1"/>
  <c r="L33" i="12837" l="1"/>
  <c r="P33" i="12837" l="1"/>
  <c r="R33" i="12837"/>
  <c r="L37" i="12837"/>
  <c r="L25" i="12837"/>
  <c r="L44" i="12837" l="1"/>
  <c r="R44" i="12837" s="1"/>
  <c r="R37" i="12837"/>
  <c r="P37" i="12837"/>
  <c r="V33" i="12837"/>
  <c r="L28" i="12837"/>
  <c r="P25" i="12837"/>
  <c r="R25" i="12837"/>
  <c r="P44" i="12837" l="1"/>
  <c r="V44" i="12837" s="1"/>
  <c r="V37" i="12837"/>
  <c r="L46" i="12837"/>
  <c r="R46" i="12837" s="1"/>
  <c r="L58" i="12837"/>
  <c r="R58" i="12837" s="1"/>
  <c r="R28" i="12837"/>
  <c r="V25" i="12837"/>
  <c r="P28" i="12837"/>
  <c r="V28" i="12837" l="1"/>
  <c r="P46" i="12837"/>
  <c r="V46" i="12837" s="1"/>
  <c r="P58" i="12837"/>
  <c r="V58" i="12837" s="1"/>
  <c r="G585" i="12843" l="1"/>
  <c r="G643" i="12843" l="1"/>
  <c r="X626" i="12843"/>
  <c r="G706" i="12843"/>
  <c r="G707" i="12843" s="1"/>
  <c r="G668" i="12843"/>
  <c r="G642" i="12843"/>
  <c r="X627" i="12843" l="1"/>
  <c r="R18" i="12770"/>
  <c r="U18" i="12770" s="1"/>
  <c r="I668" i="12843"/>
  <c r="I706" i="12843"/>
  <c r="G720" i="12843"/>
  <c r="I720" i="12843" s="1"/>
  <c r="G682" i="12843"/>
  <c r="I682" i="12843" s="1"/>
  <c r="G669" i="12843"/>
  <c r="I707" i="12843"/>
  <c r="G721" i="12843"/>
  <c r="I721" i="12843" s="1"/>
  <c r="G599" i="12843"/>
  <c r="I599" i="12843" s="1"/>
  <c r="I585" i="12843"/>
  <c r="I626" i="12843" l="1"/>
  <c r="I642" i="12843"/>
  <c r="I669" i="12843"/>
  <c r="G683" i="12843"/>
  <c r="I683" i="12843" s="1"/>
  <c r="I643" i="12843" s="1"/>
  <c r="G606" i="12843"/>
  <c r="I606" i="12843" s="1"/>
  <c r="G607" i="12843"/>
  <c r="I607" i="12843" s="1"/>
  <c r="I627" i="12843" l="1"/>
  <c r="X23" i="12769" l="1"/>
  <c r="Y23" i="12769" s="1"/>
  <c r="U652" i="12843"/>
  <c r="U730" i="12843" s="1"/>
  <c r="M652" i="12843"/>
  <c r="Q652" i="12843"/>
  <c r="Q631" i="12843"/>
  <c r="U631" i="12843"/>
  <c r="Q647" i="12843"/>
  <c r="U647" i="12843"/>
  <c r="Q18" i="12773" l="1"/>
  <c r="I28" i="12773" s="1"/>
  <c r="N18" i="12773"/>
  <c r="V14" i="12771"/>
  <c r="K31" i="12771" s="1"/>
  <c r="T14" i="12771"/>
  <c r="O19" i="12770"/>
  <c r="G14" i="12770" s="1"/>
  <c r="O20" i="12770"/>
  <c r="X21" i="12769"/>
  <c r="Y21" i="12769" s="1"/>
  <c r="X22" i="12769"/>
  <c r="Y22" i="12769" s="1"/>
  <c r="Y10" i="12833"/>
  <c r="W10" i="12833"/>
  <c r="W9" i="12833"/>
  <c r="U692" i="12843"/>
  <c r="Q692" i="12843"/>
  <c r="Q730" i="12843"/>
  <c r="M692" i="12843"/>
  <c r="M730" i="12843"/>
  <c r="O647" i="12843"/>
  <c r="S631" i="12843"/>
  <c r="O631" i="12843"/>
  <c r="S647" i="12843"/>
  <c r="Y9" i="12833"/>
  <c r="AA22" i="12769"/>
  <c r="AB22" i="12769" s="1"/>
  <c r="AA21" i="12769"/>
  <c r="AA23" i="12769"/>
  <c r="AB23" i="12769" s="1"/>
  <c r="J10" i="12833" l="1"/>
  <c r="I29" i="12773"/>
  <c r="T18" i="12773"/>
  <c r="I20" i="12773"/>
  <c r="I24" i="12773"/>
  <c r="I27" i="12773"/>
  <c r="I23" i="12773"/>
  <c r="I21" i="12773"/>
  <c r="I25" i="12773"/>
  <c r="I19" i="12773"/>
  <c r="I17" i="12773"/>
  <c r="I16" i="12773"/>
  <c r="I15" i="12773"/>
  <c r="N18" i="12791"/>
  <c r="G30" i="12770"/>
  <c r="K20" i="12771"/>
  <c r="K25" i="12771"/>
  <c r="K24" i="12771"/>
  <c r="K23" i="12771"/>
  <c r="K29" i="12771"/>
  <c r="K32" i="12771"/>
  <c r="K18" i="12771"/>
  <c r="K19" i="12771"/>
  <c r="K33" i="12771"/>
  <c r="G20" i="12773"/>
  <c r="G28" i="12773"/>
  <c r="K28" i="12773" s="1"/>
  <c r="G25" i="12773"/>
  <c r="G24" i="12773"/>
  <c r="G29" i="12773"/>
  <c r="G16" i="12773"/>
  <c r="G19" i="12773"/>
  <c r="G23" i="12773"/>
  <c r="G27" i="12773"/>
  <c r="G21" i="12773"/>
  <c r="G15" i="12773"/>
  <c r="G17" i="12773"/>
  <c r="K27" i="12771"/>
  <c r="K28" i="12771"/>
  <c r="Q18" i="12772"/>
  <c r="I29" i="12772" s="1"/>
  <c r="N18" i="12772"/>
  <c r="G16" i="12770"/>
  <c r="G24" i="12770"/>
  <c r="G22" i="12770"/>
  <c r="G35" i="12770"/>
  <c r="G38" i="12770"/>
  <c r="G26" i="12770"/>
  <c r="G23" i="12770"/>
  <c r="G28" i="12770"/>
  <c r="G18" i="12770"/>
  <c r="G39" i="12770"/>
  <c r="G31" i="12770"/>
  <c r="G25" i="12771"/>
  <c r="G18" i="12771"/>
  <c r="G29" i="12771"/>
  <c r="G28" i="12771"/>
  <c r="G20" i="12771"/>
  <c r="G32" i="12771"/>
  <c r="G19" i="12771"/>
  <c r="G31" i="12771"/>
  <c r="O31" i="12771" s="1"/>
  <c r="G24" i="12771"/>
  <c r="G23" i="12771"/>
  <c r="G33" i="12771"/>
  <c r="G27" i="12771"/>
  <c r="G27" i="12770"/>
  <c r="G40" i="12770"/>
  <c r="G34" i="12770"/>
  <c r="G32" i="12770"/>
  <c r="G15" i="12770"/>
  <c r="G20" i="12770"/>
  <c r="G19" i="12770"/>
  <c r="G36" i="12770"/>
  <c r="G30" i="12769"/>
  <c r="G24" i="12769"/>
  <c r="G14" i="12769"/>
  <c r="G15" i="12769"/>
  <c r="G26" i="12769"/>
  <c r="G20" i="12769"/>
  <c r="G32" i="12769"/>
  <c r="G27" i="12769"/>
  <c r="G23" i="12769"/>
  <c r="G16" i="12769"/>
  <c r="G18" i="12769"/>
  <c r="G22" i="12769"/>
  <c r="G19" i="12769"/>
  <c r="G31" i="12769"/>
  <c r="J12" i="12833"/>
  <c r="G28" i="12769"/>
  <c r="J17" i="12833"/>
  <c r="J11" i="12833"/>
  <c r="J16" i="12833"/>
  <c r="I15" i="12769"/>
  <c r="I16" i="12769"/>
  <c r="I14" i="12769"/>
  <c r="I32" i="12769"/>
  <c r="I30" i="12769"/>
  <c r="I27" i="12769"/>
  <c r="I28" i="12769"/>
  <c r="I22" i="12769"/>
  <c r="I24" i="12769"/>
  <c r="I31" i="12769"/>
  <c r="I23" i="12769"/>
  <c r="I26" i="12769"/>
  <c r="I19" i="12769"/>
  <c r="I20" i="12769"/>
  <c r="I18" i="12769"/>
  <c r="J33" i="12833"/>
  <c r="J26" i="12833"/>
  <c r="J14" i="12833"/>
  <c r="J31" i="12833"/>
  <c r="J15" i="12833"/>
  <c r="J19" i="12833"/>
  <c r="J32" i="12833"/>
  <c r="J22" i="12833"/>
  <c r="J25" i="12833"/>
  <c r="J23" i="12833"/>
  <c r="J21" i="12833"/>
  <c r="J28" i="12833"/>
  <c r="J27" i="12833"/>
  <c r="J20" i="12833"/>
  <c r="J29" i="12833"/>
  <c r="AB21" i="12769"/>
  <c r="K18" i="12769"/>
  <c r="K27" i="12769"/>
  <c r="K28" i="12769"/>
  <c r="K31" i="12769"/>
  <c r="K15" i="12769"/>
  <c r="K20" i="12769"/>
  <c r="K22" i="12769"/>
  <c r="K23" i="12769"/>
  <c r="K24" i="12769"/>
  <c r="K30" i="12769"/>
  <c r="K32" i="12769"/>
  <c r="K14" i="12769"/>
  <c r="K19" i="12769"/>
  <c r="K16" i="12769"/>
  <c r="K26" i="12769"/>
  <c r="AA10" i="12833"/>
  <c r="L10" i="12833"/>
  <c r="L12" i="12833"/>
  <c r="L17" i="12833"/>
  <c r="L21" i="12833"/>
  <c r="L25" i="12833"/>
  <c r="L29" i="12833"/>
  <c r="L15" i="12833"/>
  <c r="L27" i="12833"/>
  <c r="L32" i="12833"/>
  <c r="L16" i="12833"/>
  <c r="L20" i="12833"/>
  <c r="L23" i="12833"/>
  <c r="L33" i="12833"/>
  <c r="AA9" i="12833"/>
  <c r="L11" i="12833"/>
  <c r="L28" i="12833"/>
  <c r="L14" i="12833"/>
  <c r="L31" i="12833"/>
  <c r="L22" i="12833"/>
  <c r="L19" i="12833"/>
  <c r="L26" i="12833"/>
  <c r="S725" i="12843"/>
  <c r="U725" i="12843" s="1"/>
  <c r="S687" i="12843"/>
  <c r="U687" i="12843" s="1"/>
  <c r="S646" i="12843"/>
  <c r="S711" i="12843"/>
  <c r="S673" i="12843"/>
  <c r="O725" i="12843"/>
  <c r="Q725" i="12843" s="1"/>
  <c r="O687" i="12843"/>
  <c r="Q687" i="12843" s="1"/>
  <c r="O711" i="12843"/>
  <c r="O646" i="12843"/>
  <c r="O673" i="12843"/>
  <c r="S589" i="12843"/>
  <c r="S602" i="12843" s="1"/>
  <c r="O589" i="12843"/>
  <c r="O602" i="12843" s="1"/>
  <c r="K24" i="12773" l="1"/>
  <c r="K27" i="12773"/>
  <c r="U589" i="12843"/>
  <c r="Q602" i="12843"/>
  <c r="U602" i="12843"/>
  <c r="Q589" i="12843"/>
  <c r="K29" i="12773"/>
  <c r="K20" i="12773"/>
  <c r="K21" i="12773"/>
  <c r="I24" i="12772"/>
  <c r="K17" i="12773"/>
  <c r="K23" i="12773"/>
  <c r="K19" i="12773"/>
  <c r="K15" i="12773"/>
  <c r="K25" i="12773"/>
  <c r="K16" i="12773"/>
  <c r="I19" i="12772"/>
  <c r="O20" i="12771"/>
  <c r="T18" i="12772"/>
  <c r="O28" i="12771"/>
  <c r="G17" i="12791"/>
  <c r="G28" i="12791"/>
  <c r="G29" i="12791"/>
  <c r="G27" i="12791"/>
  <c r="G19" i="12791"/>
  <c r="G21" i="12791"/>
  <c r="G16" i="12791"/>
  <c r="G23" i="12791"/>
  <c r="G24" i="12791"/>
  <c r="G25" i="12791"/>
  <c r="G20" i="12791"/>
  <c r="G15" i="12791"/>
  <c r="O29" i="12771"/>
  <c r="I17" i="12772"/>
  <c r="O25" i="12771"/>
  <c r="I27" i="12772"/>
  <c r="O23" i="12771"/>
  <c r="I28" i="12772"/>
  <c r="O24" i="12771"/>
  <c r="I25" i="12772"/>
  <c r="I23" i="12772"/>
  <c r="I15" i="12772"/>
  <c r="O32" i="12771"/>
  <c r="O18" i="12771"/>
  <c r="I21" i="12772"/>
  <c r="O27" i="12771"/>
  <c r="O33" i="12771"/>
  <c r="O19" i="12771"/>
  <c r="G28" i="12772"/>
  <c r="G15" i="12772"/>
  <c r="G21" i="12772"/>
  <c r="G24" i="12772"/>
  <c r="G23" i="12772"/>
  <c r="G16" i="12772"/>
  <c r="G19" i="12772"/>
  <c r="G20" i="12772"/>
  <c r="G27" i="12772"/>
  <c r="G17" i="12772"/>
  <c r="G25" i="12772"/>
  <c r="G29" i="12772"/>
  <c r="K29" i="12772" s="1"/>
  <c r="I20" i="12772"/>
  <c r="I16" i="12772"/>
  <c r="O724" i="12843"/>
  <c r="Q724" i="12843" s="1"/>
  <c r="Q711" i="12843"/>
  <c r="U673" i="12843"/>
  <c r="S686" i="12843"/>
  <c r="U686" i="12843" s="1"/>
  <c r="O590" i="12843"/>
  <c r="O603" i="12843" s="1"/>
  <c r="Q673" i="12843"/>
  <c r="O686" i="12843"/>
  <c r="Q686" i="12843" s="1"/>
  <c r="R31" i="12833"/>
  <c r="N31" i="12833"/>
  <c r="P31" i="12833"/>
  <c r="T31" i="12833"/>
  <c r="N16" i="12833"/>
  <c r="R16" i="12833"/>
  <c r="T16" i="12833"/>
  <c r="P16" i="12833"/>
  <c r="T17" i="12833"/>
  <c r="P17" i="12833"/>
  <c r="R17" i="12833"/>
  <c r="N17" i="12833"/>
  <c r="O26" i="12769"/>
  <c r="S26" i="12769"/>
  <c r="O32" i="12769"/>
  <c r="S32" i="12769"/>
  <c r="S22" i="12769"/>
  <c r="O22" i="12769"/>
  <c r="S28" i="12769"/>
  <c r="O28" i="12769"/>
  <c r="S590" i="12843"/>
  <c r="S603" i="12843" s="1"/>
  <c r="R26" i="12833"/>
  <c r="N26" i="12833"/>
  <c r="P26" i="12833"/>
  <c r="T26" i="12833"/>
  <c r="R14" i="12833"/>
  <c r="N14" i="12833"/>
  <c r="P14" i="12833"/>
  <c r="T14" i="12833"/>
  <c r="N33" i="12833"/>
  <c r="R33" i="12833"/>
  <c r="T33" i="12833"/>
  <c r="P33" i="12833"/>
  <c r="P32" i="12833"/>
  <c r="T32" i="12833"/>
  <c r="N32" i="12833"/>
  <c r="R32" i="12833"/>
  <c r="T29" i="12833"/>
  <c r="P29" i="12833"/>
  <c r="R29" i="12833"/>
  <c r="N29" i="12833"/>
  <c r="T12" i="12833"/>
  <c r="P12" i="12833"/>
  <c r="R12" i="12833"/>
  <c r="N12" i="12833"/>
  <c r="O16" i="12769"/>
  <c r="S16" i="12769"/>
  <c r="O30" i="12769"/>
  <c r="S30" i="12769"/>
  <c r="S20" i="12769"/>
  <c r="O20" i="12769"/>
  <c r="S27" i="12769"/>
  <c r="O27" i="12769"/>
  <c r="R19" i="12833"/>
  <c r="N19" i="12833"/>
  <c r="P19" i="12833"/>
  <c r="T19" i="12833"/>
  <c r="N28" i="12833"/>
  <c r="R28" i="12833"/>
  <c r="T28" i="12833"/>
  <c r="P28" i="12833"/>
  <c r="N23" i="12833"/>
  <c r="R23" i="12833"/>
  <c r="T23" i="12833"/>
  <c r="P23" i="12833"/>
  <c r="P27" i="12833"/>
  <c r="T27" i="12833"/>
  <c r="N27" i="12833"/>
  <c r="R27" i="12833"/>
  <c r="T25" i="12833"/>
  <c r="P25" i="12833"/>
  <c r="R25" i="12833"/>
  <c r="N25" i="12833"/>
  <c r="T10" i="12833"/>
  <c r="P10" i="12833"/>
  <c r="R10" i="12833"/>
  <c r="N10" i="12833"/>
  <c r="O19" i="12769"/>
  <c r="S19" i="12769"/>
  <c r="S24" i="12769"/>
  <c r="O24" i="12769"/>
  <c r="S15" i="12769"/>
  <c r="O15" i="12769"/>
  <c r="S18" i="12769"/>
  <c r="O18" i="12769"/>
  <c r="S724" i="12843"/>
  <c r="U724" i="12843" s="1"/>
  <c r="U711" i="12843"/>
  <c r="R22" i="12833"/>
  <c r="N22" i="12833"/>
  <c r="P22" i="12833"/>
  <c r="T22" i="12833"/>
  <c r="N11" i="12833"/>
  <c r="R11" i="12833"/>
  <c r="T11" i="12833"/>
  <c r="P11" i="12833"/>
  <c r="N20" i="12833"/>
  <c r="R20" i="12833"/>
  <c r="T20" i="12833"/>
  <c r="P20" i="12833"/>
  <c r="P15" i="12833"/>
  <c r="T15" i="12833"/>
  <c r="N15" i="12833"/>
  <c r="R15" i="12833"/>
  <c r="T21" i="12833"/>
  <c r="P21" i="12833"/>
  <c r="R21" i="12833"/>
  <c r="N21" i="12833"/>
  <c r="O14" i="12769"/>
  <c r="S14" i="12769"/>
  <c r="S23" i="12769"/>
  <c r="O23" i="12769"/>
  <c r="S31" i="12769"/>
  <c r="O31" i="12769"/>
  <c r="M15" i="12769"/>
  <c r="M18" i="12769"/>
  <c r="M20" i="12769"/>
  <c r="M22" i="12769"/>
  <c r="M23" i="12769"/>
  <c r="M24" i="12769"/>
  <c r="M27" i="12769"/>
  <c r="M14" i="12769"/>
  <c r="M16" i="12769"/>
  <c r="M19" i="12769"/>
  <c r="M26" i="12769"/>
  <c r="M32" i="12769"/>
  <c r="M30" i="12769"/>
  <c r="M28" i="12769"/>
  <c r="M31" i="12769"/>
  <c r="U603" i="12843" l="1"/>
  <c r="U646" i="12843"/>
  <c r="Q590" i="12843"/>
  <c r="U590" i="12843"/>
  <c r="Q603" i="12843"/>
  <c r="Q646" i="12843"/>
  <c r="K24" i="12772"/>
  <c r="K19" i="12772"/>
  <c r="K17" i="12772"/>
  <c r="K21" i="12772"/>
  <c r="K27" i="12772"/>
  <c r="K28" i="12772"/>
  <c r="K16" i="12772"/>
  <c r="K25" i="12772"/>
  <c r="K15" i="12772"/>
  <c r="K23" i="12772"/>
  <c r="K20" i="12772"/>
  <c r="Q19" i="12769"/>
  <c r="U19" i="12769"/>
  <c r="U32" i="12769"/>
  <c r="Q32" i="12769"/>
  <c r="Q14" i="12769"/>
  <c r="U14" i="12769"/>
  <c r="U22" i="12769"/>
  <c r="Q22" i="12769"/>
  <c r="Q31" i="12769"/>
  <c r="U31" i="12769"/>
  <c r="Q26" i="12769"/>
  <c r="U26" i="12769"/>
  <c r="Q27" i="12769"/>
  <c r="U27" i="12769"/>
  <c r="U20" i="12769"/>
  <c r="Q20" i="12769"/>
  <c r="Q28" i="12769"/>
  <c r="U28" i="12769"/>
  <c r="U24" i="12769"/>
  <c r="Q24" i="12769"/>
  <c r="U18" i="12769"/>
  <c r="Q18" i="12769"/>
  <c r="U30" i="12769"/>
  <c r="Q30" i="12769"/>
  <c r="Q16" i="12769"/>
  <c r="U16" i="12769"/>
  <c r="U23" i="12769"/>
  <c r="Q23" i="12769"/>
  <c r="U15" i="12769"/>
  <c r="Q15" i="12769"/>
  <c r="O626" i="12843" l="1"/>
  <c r="O642" i="12843" s="1"/>
  <c r="S626" i="12843"/>
  <c r="O706" i="12843" l="1"/>
  <c r="O707" i="12843" s="1"/>
  <c r="O627" i="12843"/>
  <c r="O643" i="12843" s="1"/>
  <c r="O668" i="12843"/>
  <c r="Q642" i="12843"/>
  <c r="U642" i="12843"/>
  <c r="S642" i="12843"/>
  <c r="S706" i="12843"/>
  <c r="S668" i="12843"/>
  <c r="S627" i="12843"/>
  <c r="S643" i="12843" s="1"/>
  <c r="O720" i="12843"/>
  <c r="Q720" i="12843" s="1"/>
  <c r="Q706" i="12843"/>
  <c r="O682" i="12843"/>
  <c r="Q682" i="12843" s="1"/>
  <c r="Q668" i="12843"/>
  <c r="O669" i="12843"/>
  <c r="O585" i="12843"/>
  <c r="O599" i="12843" s="1"/>
  <c r="S585" i="12843"/>
  <c r="S599" i="12843" s="1"/>
  <c r="Q643" i="12843" l="1"/>
  <c r="Q627" i="12843"/>
  <c r="U627" i="12843"/>
  <c r="U643" i="12843"/>
  <c r="S607" i="12843"/>
  <c r="S606" i="12843"/>
  <c r="O683" i="12843"/>
  <c r="Q683" i="12843" s="1"/>
  <c r="Q669" i="12843"/>
  <c r="O606" i="12843"/>
  <c r="O607" i="12843"/>
  <c r="S669" i="12843"/>
  <c r="U668" i="12843"/>
  <c r="S682" i="12843"/>
  <c r="U682" i="12843" s="1"/>
  <c r="S720" i="12843"/>
  <c r="U720" i="12843" s="1"/>
  <c r="U706" i="12843"/>
  <c r="S707" i="12843"/>
  <c r="Q585" i="12843"/>
  <c r="U585" i="12843"/>
  <c r="O721" i="12843"/>
  <c r="Q721" i="12843" s="1"/>
  <c r="Q707" i="12843"/>
  <c r="U599" i="12843" l="1"/>
  <c r="Q606" i="12843"/>
  <c r="U607" i="12843"/>
  <c r="Q607" i="12843"/>
  <c r="Q599" i="12843"/>
  <c r="U606" i="12843"/>
  <c r="S721" i="12843"/>
  <c r="U721" i="12843" s="1"/>
  <c r="U707" i="12843"/>
  <c r="S683" i="12843"/>
  <c r="U683" i="12843" s="1"/>
  <c r="U669" i="12843"/>
  <c r="I1247" i="12843" l="1"/>
  <c r="I1248" i="12843"/>
  <c r="I1253" i="12843" l="1"/>
  <c r="I1255" i="12843" s="1"/>
  <c r="X1255" i="12843" s="1"/>
  <c r="N30" i="12783" l="1"/>
  <c r="W1256" i="12843"/>
  <c r="S30" i="12783" l="1"/>
  <c r="P30" i="12783"/>
  <c r="Q30" i="12783" s="1"/>
  <c r="G1114" i="12843"/>
  <c r="I1114" i="12843" s="1"/>
  <c r="I1116" i="12843"/>
  <c r="G1117" i="12843"/>
  <c r="X1117" i="12843" s="1"/>
  <c r="R18" i="12791"/>
  <c r="U18" i="12791" s="1"/>
  <c r="I23" i="12791" l="1"/>
  <c r="K23" i="12791" s="1"/>
  <c r="I20" i="12791"/>
  <c r="K20" i="12791" s="1"/>
  <c r="I17" i="12791"/>
  <c r="K17" i="12791" s="1"/>
  <c r="I28" i="12791"/>
  <c r="K28" i="12791" s="1"/>
  <c r="I16" i="12791"/>
  <c r="K16" i="12791" s="1"/>
  <c r="I27" i="12791"/>
  <c r="K27" i="12791" s="1"/>
  <c r="I25" i="12791"/>
  <c r="K25" i="12791" s="1"/>
  <c r="I21" i="12791"/>
  <c r="K21" i="12791" s="1"/>
  <c r="I1118" i="12843"/>
  <c r="I926" i="12843"/>
  <c r="X1114" i="12843"/>
  <c r="I29" i="12791"/>
  <c r="K29" i="12791" s="1"/>
  <c r="I24" i="12791"/>
  <c r="K24" i="12791" s="1"/>
  <c r="I19" i="12791"/>
  <c r="K19" i="12791" s="1"/>
  <c r="I15" i="12791"/>
  <c r="K15" i="12791" s="1"/>
  <c r="I1120" i="12843" l="1"/>
  <c r="I929" i="12843"/>
  <c r="I931" i="12843" s="1"/>
  <c r="X931" i="12843" l="1"/>
  <c r="W932" i="12843"/>
  <c r="N29" i="12783"/>
  <c r="X1120" i="12843"/>
  <c r="W1121" i="12843"/>
  <c r="S29" i="12783" l="1"/>
  <c r="P29" i="12783"/>
  <c r="Q29" i="12783" s="1"/>
  <c r="K194" i="12843" l="1"/>
  <c r="K337" i="12843" s="1"/>
  <c r="M194" i="12843"/>
  <c r="O194" i="12843"/>
  <c r="Q194" i="12843"/>
  <c r="S194" i="12843"/>
  <c r="S209" i="12843" s="1"/>
  <c r="U194" i="12843"/>
  <c r="K195" i="12843"/>
  <c r="M195" i="12843"/>
  <c r="O195" i="12843"/>
  <c r="O338" i="12843" s="1"/>
  <c r="Q195" i="12843"/>
  <c r="S195" i="12843"/>
  <c r="U195" i="12843"/>
  <c r="K196" i="12843"/>
  <c r="K211" i="12843" s="1"/>
  <c r="M196" i="12843"/>
  <c r="O196" i="12843"/>
  <c r="Q196" i="12843"/>
  <c r="S196" i="12843"/>
  <c r="S203" i="12843" s="1"/>
  <c r="U196" i="12843"/>
  <c r="K197" i="12843"/>
  <c r="M197" i="12843"/>
  <c r="O197" i="12843"/>
  <c r="O212" i="12843" s="1"/>
  <c r="Q197" i="12843"/>
  <c r="S197" i="12843"/>
  <c r="U197" i="12843"/>
  <c r="K202" i="12843"/>
  <c r="O202" i="12843"/>
  <c r="S202" i="12843"/>
  <c r="K203" i="12843"/>
  <c r="O203" i="12843"/>
  <c r="K204" i="12843"/>
  <c r="O204" i="12843"/>
  <c r="S204" i="12843"/>
  <c r="K209" i="12843"/>
  <c r="M209" i="12843"/>
  <c r="O209" i="12843"/>
  <c r="Q209" i="12843"/>
  <c r="U209" i="12843"/>
  <c r="K210" i="12843"/>
  <c r="M210" i="12843"/>
  <c r="O210" i="12843"/>
  <c r="Q210" i="12843"/>
  <c r="S210" i="12843"/>
  <c r="U210" i="12843"/>
  <c r="M211" i="12843"/>
  <c r="O211" i="12843"/>
  <c r="Q211" i="12843"/>
  <c r="S211" i="12843"/>
  <c r="U211" i="12843"/>
  <c r="K212" i="12843"/>
  <c r="M212" i="12843"/>
  <c r="Q212" i="12843"/>
  <c r="S212" i="12843"/>
  <c r="U212" i="12843"/>
  <c r="M216" i="12843"/>
  <c r="Q216" i="12843"/>
  <c r="M217" i="12843"/>
  <c r="Q217" i="12843"/>
  <c r="M219" i="12843"/>
  <c r="M221" i="12843" s="1"/>
  <c r="Q219" i="12843"/>
  <c r="U219" i="12843"/>
  <c r="U221" i="12843" s="1"/>
  <c r="Q221" i="12843"/>
  <c r="K234" i="12843"/>
  <c r="O234" i="12843"/>
  <c r="S234" i="12843"/>
  <c r="K235" i="12843"/>
  <c r="O235" i="12843"/>
  <c r="S235" i="12843"/>
  <c r="K236" i="12843"/>
  <c r="K248" i="12843" s="1"/>
  <c r="O236" i="12843"/>
  <c r="S236" i="12843"/>
  <c r="K237" i="12843"/>
  <c r="O237" i="12843"/>
  <c r="S237" i="12843"/>
  <c r="K246" i="12843"/>
  <c r="O246" i="12843"/>
  <c r="S246" i="12843"/>
  <c r="K247" i="12843"/>
  <c r="O247" i="12843"/>
  <c r="S247" i="12843"/>
  <c r="O248" i="12843"/>
  <c r="S248" i="12843"/>
  <c r="K249" i="12843"/>
  <c r="O249" i="12843"/>
  <c r="S249" i="12843"/>
  <c r="K268" i="12843"/>
  <c r="M268" i="12843" s="1"/>
  <c r="O268" i="12843"/>
  <c r="Q268" i="12843" s="1"/>
  <c r="K269" i="12843"/>
  <c r="M269" i="12843" s="1"/>
  <c r="O269" i="12843"/>
  <c r="Q269" i="12843" s="1"/>
  <c r="S269" i="12843"/>
  <c r="U269" i="12843" s="1"/>
  <c r="O270" i="12843"/>
  <c r="Q270" i="12843" s="1"/>
  <c r="S270" i="12843"/>
  <c r="U270" i="12843" s="1"/>
  <c r="K271" i="12843"/>
  <c r="M271" i="12843" s="1"/>
  <c r="S271" i="12843"/>
  <c r="U271" i="12843" s="1"/>
  <c r="K280" i="12843"/>
  <c r="M280" i="12843" s="1"/>
  <c r="O280" i="12843"/>
  <c r="Q280" i="12843" s="1"/>
  <c r="K281" i="12843"/>
  <c r="M281" i="12843" s="1"/>
  <c r="O281" i="12843"/>
  <c r="Q281" i="12843" s="1"/>
  <c r="S281" i="12843"/>
  <c r="U281" i="12843" s="1"/>
  <c r="S282" i="12843"/>
  <c r="U282" i="12843" s="1"/>
  <c r="K283" i="12843"/>
  <c r="M283" i="12843" s="1"/>
  <c r="S283" i="12843"/>
  <c r="U283" i="12843" s="1"/>
  <c r="M290" i="12843"/>
  <c r="M292" i="12843" s="1"/>
  <c r="Q290" i="12843"/>
  <c r="Q292" i="12843" s="1"/>
  <c r="U290" i="12843"/>
  <c r="U292" i="12843" s="1"/>
  <c r="K303" i="12843"/>
  <c r="M303" i="12843" s="1"/>
  <c r="O303" i="12843"/>
  <c r="Q303" i="12843" s="1"/>
  <c r="S303" i="12843"/>
  <c r="U303" i="12843" s="1"/>
  <c r="K304" i="12843"/>
  <c r="M304" i="12843" s="1"/>
  <c r="O304" i="12843"/>
  <c r="Q304" i="12843" s="1"/>
  <c r="S304" i="12843"/>
  <c r="U304" i="12843" s="1"/>
  <c r="K305" i="12843"/>
  <c r="M305" i="12843" s="1"/>
  <c r="O305" i="12843"/>
  <c r="Q305" i="12843" s="1"/>
  <c r="S305" i="12843"/>
  <c r="U305" i="12843" s="1"/>
  <c r="K306" i="12843"/>
  <c r="M306" i="12843" s="1"/>
  <c r="O306" i="12843"/>
  <c r="Q306" i="12843" s="1"/>
  <c r="S306" i="12843"/>
  <c r="U306" i="12843" s="1"/>
  <c r="O315" i="12843"/>
  <c r="Q315" i="12843" s="1"/>
  <c r="S315" i="12843"/>
  <c r="U315" i="12843" s="1"/>
  <c r="K316" i="12843"/>
  <c r="M316" i="12843" s="1"/>
  <c r="O316" i="12843"/>
  <c r="Q316" i="12843" s="1"/>
  <c r="S316" i="12843"/>
  <c r="U316" i="12843" s="1"/>
  <c r="K317" i="12843"/>
  <c r="M317" i="12843" s="1"/>
  <c r="O317" i="12843"/>
  <c r="Q317" i="12843" s="1"/>
  <c r="K318" i="12843"/>
  <c r="M318" i="12843" s="1"/>
  <c r="O318" i="12843"/>
  <c r="Q318" i="12843" s="1"/>
  <c r="S318" i="12843"/>
  <c r="U318" i="12843" s="1"/>
  <c r="M325" i="12843"/>
  <c r="Q325" i="12843"/>
  <c r="U325" i="12843"/>
  <c r="U327" i="12843" s="1"/>
  <c r="O337" i="12843"/>
  <c r="Q337" i="12843" s="1"/>
  <c r="S337" i="12843"/>
  <c r="U337" i="12843" s="1"/>
  <c r="K338" i="12843"/>
  <c r="M338" i="12843" s="1"/>
  <c r="S338" i="12843"/>
  <c r="U338" i="12843" s="1"/>
  <c r="K339" i="12843"/>
  <c r="M339" i="12843" s="1"/>
  <c r="O339" i="12843"/>
  <c r="Q339" i="12843" s="1"/>
  <c r="K340" i="12843"/>
  <c r="M340" i="12843" s="1"/>
  <c r="O340" i="12843"/>
  <c r="Q340" i="12843" s="1"/>
  <c r="S340" i="12843"/>
  <c r="U340" i="12843" s="1"/>
  <c r="O349" i="12843"/>
  <c r="Q349" i="12843" s="1"/>
  <c r="S349" i="12843"/>
  <c r="U349" i="12843" s="1"/>
  <c r="K350" i="12843"/>
  <c r="M350" i="12843" s="1"/>
  <c r="S350" i="12843"/>
  <c r="U350" i="12843" s="1"/>
  <c r="K351" i="12843"/>
  <c r="M351" i="12843" s="1"/>
  <c r="O351" i="12843"/>
  <c r="Q351" i="12843" s="1"/>
  <c r="O352" i="12843"/>
  <c r="Q352" i="12843" s="1"/>
  <c r="S352" i="12843"/>
  <c r="U352" i="12843" s="1"/>
  <c r="M359" i="12843"/>
  <c r="Q359" i="12843"/>
  <c r="Q361" i="12843" s="1"/>
  <c r="U359" i="12843"/>
  <c r="U361" i="12843" s="1"/>
  <c r="M361" i="12843"/>
  <c r="K372" i="12843"/>
  <c r="K384" i="12843" s="1"/>
  <c r="O372" i="12843"/>
  <c r="S372" i="12843"/>
  <c r="S384" i="12843" s="1"/>
  <c r="K373" i="12843"/>
  <c r="O373" i="12843"/>
  <c r="O385" i="12843" s="1"/>
  <c r="S373" i="12843"/>
  <c r="K374" i="12843"/>
  <c r="K386" i="12843" s="1"/>
  <c r="O374" i="12843"/>
  <c r="S374" i="12843"/>
  <c r="S386" i="12843" s="1"/>
  <c r="K375" i="12843"/>
  <c r="O375" i="12843"/>
  <c r="O387" i="12843" s="1"/>
  <c r="S375" i="12843"/>
  <c r="U375" i="12843"/>
  <c r="O384" i="12843"/>
  <c r="K385" i="12843"/>
  <c r="S385" i="12843"/>
  <c r="O386" i="12843"/>
  <c r="K387" i="12843"/>
  <c r="M387" i="12843"/>
  <c r="S387" i="12843"/>
  <c r="K407" i="12843"/>
  <c r="M407" i="12843" s="1"/>
  <c r="M372" i="12843" s="1"/>
  <c r="O407" i="12843"/>
  <c r="Q407" i="12843" s="1"/>
  <c r="K408" i="12843"/>
  <c r="M408" i="12843"/>
  <c r="O408" i="12843"/>
  <c r="Q408" i="12843" s="1"/>
  <c r="Q373" i="12843" s="1"/>
  <c r="S408" i="12843"/>
  <c r="U408" i="12843" s="1"/>
  <c r="O409" i="12843"/>
  <c r="Q409" i="12843"/>
  <c r="S409" i="12843"/>
  <c r="U409" i="12843" s="1"/>
  <c r="U374" i="12843" s="1"/>
  <c r="K410" i="12843"/>
  <c r="M410" i="12843" s="1"/>
  <c r="M375" i="12843" s="1"/>
  <c r="S410" i="12843"/>
  <c r="U410" i="12843"/>
  <c r="K419" i="12843"/>
  <c r="M419" i="12843" s="1"/>
  <c r="M384" i="12843" s="1"/>
  <c r="O419" i="12843"/>
  <c r="Q419" i="12843" s="1"/>
  <c r="K420" i="12843"/>
  <c r="M420" i="12843"/>
  <c r="M385" i="12843" s="1"/>
  <c r="S420" i="12843"/>
  <c r="U420" i="12843" s="1"/>
  <c r="O421" i="12843"/>
  <c r="Q421" i="12843"/>
  <c r="K422" i="12843"/>
  <c r="M422" i="12843" s="1"/>
  <c r="S422" i="12843"/>
  <c r="U422" i="12843"/>
  <c r="M429" i="12843"/>
  <c r="Q429" i="12843"/>
  <c r="U429" i="12843"/>
  <c r="U431" i="12843" s="1"/>
  <c r="K442" i="12843"/>
  <c r="M442" i="12843"/>
  <c r="O442" i="12843"/>
  <c r="Q442" i="12843" s="1"/>
  <c r="S442" i="12843"/>
  <c r="U442" i="12843" s="1"/>
  <c r="K443" i="12843"/>
  <c r="M443" i="12843"/>
  <c r="O443" i="12843"/>
  <c r="Q443" i="12843"/>
  <c r="S443" i="12843"/>
  <c r="U443" i="12843" s="1"/>
  <c r="K444" i="12843"/>
  <c r="M444" i="12843" s="1"/>
  <c r="O444" i="12843"/>
  <c r="Q444" i="12843"/>
  <c r="Q374" i="12843" s="1"/>
  <c r="S444" i="12843"/>
  <c r="U444" i="12843"/>
  <c r="K445" i="12843"/>
  <c r="M445" i="12843" s="1"/>
  <c r="O445" i="12843"/>
  <c r="Q445" i="12843" s="1"/>
  <c r="S445" i="12843"/>
  <c r="U445" i="12843"/>
  <c r="K454" i="12843"/>
  <c r="M454" i="12843"/>
  <c r="S454" i="12843"/>
  <c r="U454" i="12843" s="1"/>
  <c r="K455" i="12843"/>
  <c r="M455" i="12843"/>
  <c r="O455" i="12843"/>
  <c r="Q455" i="12843"/>
  <c r="S455" i="12843"/>
  <c r="U455" i="12843" s="1"/>
  <c r="K456" i="12843"/>
  <c r="M456" i="12843" s="1"/>
  <c r="O456" i="12843"/>
  <c r="Q456" i="12843"/>
  <c r="S456" i="12843"/>
  <c r="U456" i="12843"/>
  <c r="K457" i="12843"/>
  <c r="M457" i="12843" s="1"/>
  <c r="O457" i="12843"/>
  <c r="Q457" i="12843" s="1"/>
  <c r="S457" i="12843"/>
  <c r="U457" i="12843"/>
  <c r="M464" i="12843"/>
  <c r="M466" i="12843" s="1"/>
  <c r="Q464" i="12843"/>
  <c r="Q466" i="12843" s="1"/>
  <c r="U464" i="12843"/>
  <c r="U466" i="12843" s="1"/>
  <c r="K478" i="12843"/>
  <c r="O478" i="12843"/>
  <c r="S478" i="12843"/>
  <c r="S490" i="12843" s="1"/>
  <c r="K479" i="12843"/>
  <c r="O479" i="12843"/>
  <c r="S479" i="12843"/>
  <c r="K480" i="12843"/>
  <c r="K492" i="12843" s="1"/>
  <c r="O480" i="12843"/>
  <c r="S480" i="12843"/>
  <c r="K481" i="12843"/>
  <c r="O481" i="12843"/>
  <c r="O493" i="12843" s="1"/>
  <c r="S481" i="12843"/>
  <c r="K490" i="12843"/>
  <c r="O490" i="12843"/>
  <c r="K491" i="12843"/>
  <c r="O491" i="12843"/>
  <c r="S491" i="12843"/>
  <c r="O492" i="12843"/>
  <c r="S492" i="12843"/>
  <c r="U492" i="12843"/>
  <c r="K493" i="12843"/>
  <c r="S493" i="12843"/>
  <c r="K513" i="12843"/>
  <c r="M513" i="12843" s="1"/>
  <c r="O513" i="12843"/>
  <c r="Q513" i="12843"/>
  <c r="S513" i="12843"/>
  <c r="U513" i="12843"/>
  <c r="K514" i="12843"/>
  <c r="M514" i="12843" s="1"/>
  <c r="O514" i="12843"/>
  <c r="Q514" i="12843" s="1"/>
  <c r="S514" i="12843"/>
  <c r="U514" i="12843"/>
  <c r="K515" i="12843"/>
  <c r="M515" i="12843"/>
  <c r="O515" i="12843"/>
  <c r="Q515" i="12843" s="1"/>
  <c r="S515" i="12843"/>
  <c r="U515" i="12843" s="1"/>
  <c r="K516" i="12843"/>
  <c r="M516" i="12843"/>
  <c r="O516" i="12843"/>
  <c r="Q516" i="12843"/>
  <c r="S516" i="12843"/>
  <c r="U516" i="12843" s="1"/>
  <c r="U481" i="12843" s="1"/>
  <c r="K525" i="12843"/>
  <c r="M525" i="12843" s="1"/>
  <c r="O525" i="12843"/>
  <c r="Q525" i="12843"/>
  <c r="S525" i="12843"/>
  <c r="U525" i="12843"/>
  <c r="O526" i="12843"/>
  <c r="Q526" i="12843" s="1"/>
  <c r="Q491" i="12843" s="1"/>
  <c r="S526" i="12843"/>
  <c r="U526" i="12843"/>
  <c r="K527" i="12843"/>
  <c r="M527" i="12843"/>
  <c r="S527" i="12843"/>
  <c r="U527" i="12843" s="1"/>
  <c r="K528" i="12843"/>
  <c r="M528" i="12843"/>
  <c r="O528" i="12843"/>
  <c r="Q528" i="12843"/>
  <c r="S528" i="12843"/>
  <c r="U528" i="12843" s="1"/>
  <c r="U493" i="12843" s="1"/>
  <c r="M535" i="12843"/>
  <c r="M537" i="12843" s="1"/>
  <c r="Q535" i="12843"/>
  <c r="Q537" i="12843" s="1"/>
  <c r="U535" i="12843"/>
  <c r="U537" i="12843" s="1"/>
  <c r="K548" i="12843"/>
  <c r="M548" i="12843" s="1"/>
  <c r="O548" i="12843"/>
  <c r="Q548" i="12843" s="1"/>
  <c r="S548" i="12843"/>
  <c r="U548" i="12843"/>
  <c r="K549" i="12843"/>
  <c r="M549" i="12843"/>
  <c r="O549" i="12843"/>
  <c r="Q549" i="12843" s="1"/>
  <c r="S549" i="12843"/>
  <c r="U549" i="12843" s="1"/>
  <c r="K550" i="12843"/>
  <c r="M550" i="12843"/>
  <c r="O550" i="12843"/>
  <c r="Q550" i="12843"/>
  <c r="S550" i="12843"/>
  <c r="U550" i="12843" s="1"/>
  <c r="K551" i="12843"/>
  <c r="M551" i="12843" s="1"/>
  <c r="O551" i="12843"/>
  <c r="Q551" i="12843"/>
  <c r="S551" i="12843"/>
  <c r="U551" i="12843"/>
  <c r="O560" i="12843"/>
  <c r="Q560" i="12843" s="1"/>
  <c r="S560" i="12843"/>
  <c r="U560" i="12843"/>
  <c r="K561" i="12843"/>
  <c r="M561" i="12843"/>
  <c r="O561" i="12843"/>
  <c r="Q561" i="12843" s="1"/>
  <c r="S561" i="12843"/>
  <c r="U561" i="12843" s="1"/>
  <c r="K562" i="12843"/>
  <c r="M562" i="12843"/>
  <c r="O562" i="12843"/>
  <c r="Q562" i="12843"/>
  <c r="S562" i="12843"/>
  <c r="U562" i="12843" s="1"/>
  <c r="K563" i="12843"/>
  <c r="M563" i="12843" s="1"/>
  <c r="O563" i="12843"/>
  <c r="Q563" i="12843"/>
  <c r="S563" i="12843"/>
  <c r="U563" i="12843"/>
  <c r="M570" i="12843"/>
  <c r="M572" i="12843" s="1"/>
  <c r="Q570" i="12843"/>
  <c r="Q572" i="12843" s="1"/>
  <c r="U570" i="12843"/>
  <c r="K585" i="12843"/>
  <c r="M585" i="12843"/>
  <c r="O587" i="12843"/>
  <c r="Q587" i="12843"/>
  <c r="S587" i="12843"/>
  <c r="U587" i="12843"/>
  <c r="O588" i="12843"/>
  <c r="O608" i="12843" s="1"/>
  <c r="Q588" i="12843"/>
  <c r="S588" i="12843"/>
  <c r="U588" i="12843"/>
  <c r="K599" i="12843"/>
  <c r="M599" i="12843"/>
  <c r="Q601" i="12843"/>
  <c r="S601" i="12843"/>
  <c r="U601" i="12843"/>
  <c r="K606" i="12843"/>
  <c r="M606" i="12843"/>
  <c r="K607" i="12843"/>
  <c r="M607" i="12843"/>
  <c r="Q608" i="12843"/>
  <c r="S608" i="12843"/>
  <c r="U608" i="12843"/>
  <c r="M611" i="12843"/>
  <c r="M613" i="12843" s="1"/>
  <c r="Q611" i="12843"/>
  <c r="Q613" i="12843" s="1"/>
  <c r="U611" i="12843"/>
  <c r="U613" i="12843" s="1"/>
  <c r="K626" i="12843"/>
  <c r="K627" i="12843" s="1"/>
  <c r="K643" i="12843" s="1"/>
  <c r="M626" i="12843"/>
  <c r="Q626" i="12843"/>
  <c r="U626" i="12843"/>
  <c r="M627" i="12843"/>
  <c r="O629" i="12843"/>
  <c r="Q629" i="12843"/>
  <c r="S629" i="12843"/>
  <c r="U629" i="12843"/>
  <c r="O630" i="12843"/>
  <c r="O672" i="12843" s="1"/>
  <c r="Q630" i="12843"/>
  <c r="S630" i="12843"/>
  <c r="S672" i="12843" s="1"/>
  <c r="U630" i="12843"/>
  <c r="O634" i="12843"/>
  <c r="S635" i="12843"/>
  <c r="K642" i="12843"/>
  <c r="M642" i="12843"/>
  <c r="M643" i="12843"/>
  <c r="O644" i="12843"/>
  <c r="Q644" i="12843"/>
  <c r="U644" i="12843"/>
  <c r="Q645" i="12843"/>
  <c r="S645" i="12843"/>
  <c r="U645" i="12843"/>
  <c r="M651" i="12843"/>
  <c r="M653" i="12843" s="1"/>
  <c r="Q651" i="12843"/>
  <c r="Q653" i="12843" s="1"/>
  <c r="U651" i="12843"/>
  <c r="U653" i="12843" s="1"/>
  <c r="K668" i="12843"/>
  <c r="M668" i="12843"/>
  <c r="K669" i="12843"/>
  <c r="M669" i="12843"/>
  <c r="O671" i="12843"/>
  <c r="Q671" i="12843" s="1"/>
  <c r="K682" i="12843"/>
  <c r="M682" i="12843"/>
  <c r="K683" i="12843"/>
  <c r="M683" i="12843"/>
  <c r="O684" i="12843"/>
  <c r="Q684" i="12843"/>
  <c r="M691" i="12843"/>
  <c r="M693" i="12843" s="1"/>
  <c r="Q691" i="12843"/>
  <c r="Q693" i="12843" s="1"/>
  <c r="U691" i="12843"/>
  <c r="U693" i="12843" s="1"/>
  <c r="K706" i="12843"/>
  <c r="K707" i="12843" s="1"/>
  <c r="K721" i="12843" s="1"/>
  <c r="M706" i="12843"/>
  <c r="M707" i="12843"/>
  <c r="O709" i="12843"/>
  <c r="Q709" i="12843"/>
  <c r="K720" i="12843"/>
  <c r="M720" i="12843"/>
  <c r="M721" i="12843"/>
  <c r="O722" i="12843"/>
  <c r="Q722" i="12843"/>
  <c r="M729" i="12843"/>
  <c r="M731" i="12843" s="1"/>
  <c r="Q729" i="12843"/>
  <c r="Q731" i="12843" s="1"/>
  <c r="U729" i="12843"/>
  <c r="U731" i="12843" s="1"/>
  <c r="K757" i="12843"/>
  <c r="K760" i="12843" s="1"/>
  <c r="M757" i="12843"/>
  <c r="O757" i="12843"/>
  <c r="Q757" i="12843"/>
  <c r="S757" i="12843"/>
  <c r="U757" i="12843"/>
  <c r="O760" i="12843"/>
  <c r="K778" i="12843"/>
  <c r="M778" i="12843"/>
  <c r="O778" i="12843"/>
  <c r="Q778" i="12843"/>
  <c r="U778" i="12843"/>
  <c r="M783" i="12843"/>
  <c r="M785" i="12843" s="1"/>
  <c r="Q783" i="12843"/>
  <c r="Q785" i="12843" s="1"/>
  <c r="U783" i="12843"/>
  <c r="U785" i="12843" s="1"/>
  <c r="K811" i="12843"/>
  <c r="M811" i="12843" s="1"/>
  <c r="O811" i="12843"/>
  <c r="Q811" i="12843" s="1"/>
  <c r="K830" i="12843"/>
  <c r="M830" i="12843"/>
  <c r="O830" i="12843"/>
  <c r="Q830" i="12843" s="1"/>
  <c r="M834" i="12843"/>
  <c r="M836" i="12843" s="1"/>
  <c r="Q834" i="12843"/>
  <c r="Q836" i="12843" s="1"/>
  <c r="U834" i="12843"/>
  <c r="U836" i="12843" s="1"/>
  <c r="K862" i="12843"/>
  <c r="M862" i="12843"/>
  <c r="O862" i="12843"/>
  <c r="K882" i="12843"/>
  <c r="M882" i="12843" s="1"/>
  <c r="M887" i="12843"/>
  <c r="M889" i="12843" s="1"/>
  <c r="Q887" i="12843"/>
  <c r="Q889" i="12843" s="1"/>
  <c r="U887" i="12843"/>
  <c r="U889" i="12843" s="1"/>
  <c r="M373" i="12843" l="1"/>
  <c r="M478" i="12843"/>
  <c r="Q236" i="12843"/>
  <c r="U480" i="12843"/>
  <c r="M479" i="12843"/>
  <c r="U249" i="12843"/>
  <c r="Q480" i="12843"/>
  <c r="U379" i="12843"/>
  <c r="Q256" i="12843"/>
  <c r="Q258" i="12843" s="1"/>
  <c r="U500" i="12843"/>
  <c r="U502" i="12843" s="1"/>
  <c r="Q500" i="12843"/>
  <c r="Q502" i="12843" s="1"/>
  <c r="U572" i="12843"/>
  <c r="Q479" i="12843"/>
  <c r="Q394" i="12843"/>
  <c r="Q396" i="12843" s="1"/>
  <c r="Q327" i="12843"/>
  <c r="Q1300" i="12843"/>
  <c r="Q1303" i="12843" s="1"/>
  <c r="M1300" i="12843"/>
  <c r="M1303" i="12843" s="1"/>
  <c r="U1300" i="12843"/>
  <c r="U1303" i="12843" s="1"/>
  <c r="Q672" i="12843"/>
  <c r="O685" i="12843"/>
  <c r="Q685" i="12843" s="1"/>
  <c r="U491" i="12843"/>
  <c r="M493" i="12843"/>
  <c r="Q481" i="12843"/>
  <c r="U479" i="12843"/>
  <c r="U385" i="12843"/>
  <c r="Q246" i="12843"/>
  <c r="U235" i="12843"/>
  <c r="M247" i="12843"/>
  <c r="O710" i="12843"/>
  <c r="S644" i="12843"/>
  <c r="S634" i="12843"/>
  <c r="S671" i="12843"/>
  <c r="S709" i="12843"/>
  <c r="O601" i="12843"/>
  <c r="K526" i="12843"/>
  <c r="M526" i="12843" s="1"/>
  <c r="M491" i="12843" s="1"/>
  <c r="S421" i="12843"/>
  <c r="U421" i="12843" s="1"/>
  <c r="U386" i="12843" s="1"/>
  <c r="Q372" i="12843"/>
  <c r="S317" i="12843"/>
  <c r="U317" i="12843" s="1"/>
  <c r="K315" i="12843"/>
  <c r="M315" i="12843" s="1"/>
  <c r="O350" i="12843"/>
  <c r="Q350" i="12843" s="1"/>
  <c r="Q247" i="12843" s="1"/>
  <c r="Q338" i="12843"/>
  <c r="Q235" i="12843" s="1"/>
  <c r="K349" i="12843"/>
  <c r="M349" i="12843" s="1"/>
  <c r="M337" i="12843"/>
  <c r="M234" i="12843" s="1"/>
  <c r="S778" i="12843"/>
  <c r="S760" i="12843"/>
  <c r="Q478" i="12843"/>
  <c r="U490" i="12843"/>
  <c r="M481" i="12843"/>
  <c r="U394" i="12843"/>
  <c r="U396" i="12843" s="1"/>
  <c r="Q386" i="12843"/>
  <c r="K352" i="12843"/>
  <c r="M352" i="12843" s="1"/>
  <c r="M249" i="12843" s="1"/>
  <c r="U237" i="12843"/>
  <c r="M235" i="12843"/>
  <c r="Q493" i="12843"/>
  <c r="M480" i="12843"/>
  <c r="O420" i="12843"/>
  <c r="Q420" i="12843" s="1"/>
  <c r="Q385" i="12843" s="1"/>
  <c r="O527" i="12843"/>
  <c r="Q527" i="12843" s="1"/>
  <c r="Q492" i="12843" s="1"/>
  <c r="S811" i="12843"/>
  <c r="O645" i="12843"/>
  <c r="O635" i="12843"/>
  <c r="S862" i="12843"/>
  <c r="Q862" i="12843"/>
  <c r="O882" i="12843"/>
  <c r="Q882" i="12843" s="1"/>
  <c r="K560" i="12843"/>
  <c r="M560" i="12843" s="1"/>
  <c r="M490" i="12843" s="1"/>
  <c r="M500" i="12843"/>
  <c r="M502" i="12843" s="1"/>
  <c r="M492" i="12843"/>
  <c r="Q490" i="12843"/>
  <c r="U478" i="12843"/>
  <c r="O454" i="12843"/>
  <c r="Q454" i="12843" s="1"/>
  <c r="Q384" i="12843" s="1"/>
  <c r="M394" i="12843"/>
  <c r="M396" i="12843" s="1"/>
  <c r="M431" i="12843"/>
  <c r="U373" i="12843"/>
  <c r="U247" i="12843"/>
  <c r="M237" i="12843"/>
  <c r="Q234" i="12843"/>
  <c r="O282" i="12843"/>
  <c r="Q282" i="12843" s="1"/>
  <c r="Q248" i="12843" s="1"/>
  <c r="S685" i="12843"/>
  <c r="U685" i="12843" s="1"/>
  <c r="U672" i="12843"/>
  <c r="U387" i="12843"/>
  <c r="M327" i="12843"/>
  <c r="M256" i="12843"/>
  <c r="M258" i="12843" s="1"/>
  <c r="Q431" i="12843"/>
  <c r="O410" i="12843"/>
  <c r="K409" i="12843"/>
  <c r="S407" i="12843"/>
  <c r="S339" i="12843"/>
  <c r="O271" i="12843"/>
  <c r="K270" i="12843"/>
  <c r="S268" i="12843"/>
  <c r="U256" i="12843"/>
  <c r="U258" i="12843" s="1"/>
  <c r="S710" i="12843"/>
  <c r="K421" i="12843" l="1"/>
  <c r="M421" i="12843" s="1"/>
  <c r="M386" i="12843" s="1"/>
  <c r="M409" i="12843"/>
  <c r="M374" i="12843" s="1"/>
  <c r="Q710" i="12843"/>
  <c r="O723" i="12843"/>
  <c r="Q723" i="12843" s="1"/>
  <c r="U862" i="12843"/>
  <c r="S882" i="12843"/>
  <c r="U882" i="12843" s="1"/>
  <c r="K282" i="12843"/>
  <c r="M282" i="12843" s="1"/>
  <c r="M248" i="12843" s="1"/>
  <c r="M270" i="12843"/>
  <c r="M236" i="12843" s="1"/>
  <c r="O283" i="12843"/>
  <c r="Q283" i="12843" s="1"/>
  <c r="Q249" i="12843" s="1"/>
  <c r="Q271" i="12843"/>
  <c r="Q237" i="12843" s="1"/>
  <c r="U811" i="12843"/>
  <c r="S830" i="12843"/>
  <c r="U830" i="12843" s="1"/>
  <c r="S722" i="12843"/>
  <c r="U722" i="12843" s="1"/>
  <c r="U709" i="12843"/>
  <c r="O422" i="12843"/>
  <c r="Q422" i="12843" s="1"/>
  <c r="Q387" i="12843" s="1"/>
  <c r="Q410" i="12843"/>
  <c r="Q375" i="12843" s="1"/>
  <c r="S351" i="12843"/>
  <c r="U351" i="12843" s="1"/>
  <c r="U248" i="12843" s="1"/>
  <c r="U339" i="12843"/>
  <c r="U236" i="12843" s="1"/>
  <c r="S684" i="12843"/>
  <c r="U684" i="12843" s="1"/>
  <c r="U671" i="12843"/>
  <c r="S723" i="12843"/>
  <c r="U723" i="12843" s="1"/>
  <c r="U710" i="12843"/>
  <c r="S280" i="12843"/>
  <c r="U280" i="12843" s="1"/>
  <c r="U246" i="12843" s="1"/>
  <c r="U268" i="12843"/>
  <c r="U234" i="12843" s="1"/>
  <c r="S419" i="12843"/>
  <c r="U419" i="12843" s="1"/>
  <c r="U384" i="12843" s="1"/>
  <c r="U407" i="12843"/>
  <c r="U372" i="12843" s="1"/>
  <c r="M246" i="12843"/>
  <c r="AF32" i="12775" l="1"/>
  <c r="AF44" i="12775" s="1"/>
  <c r="Q8" i="12775"/>
  <c r="D54" i="12775" s="1"/>
  <c r="AE8" i="12775"/>
  <c r="Q54" i="12775" s="1"/>
  <c r="P54" i="12775" l="1"/>
  <c r="R54" i="12775" l="1"/>
  <c r="Q9" i="12775"/>
  <c r="H55" i="12775"/>
  <c r="AE9" i="12775"/>
  <c r="D55" i="12775"/>
  <c r="E55" i="12775"/>
  <c r="F55" i="12775"/>
  <c r="I55" i="12775"/>
  <c r="J55" i="12775"/>
  <c r="K55" i="12775"/>
  <c r="L55" i="12775"/>
  <c r="M55" i="12775"/>
  <c r="N55" i="12775"/>
  <c r="Q55" i="12775"/>
  <c r="O55" i="12775" l="1"/>
  <c r="G55" i="12775"/>
  <c r="P55" i="12775" l="1"/>
  <c r="R55" i="12775" l="1"/>
  <c r="Q10" i="12775"/>
  <c r="I56" i="12775"/>
  <c r="AE10" i="12775"/>
  <c r="D56" i="12775"/>
  <c r="E56" i="12775"/>
  <c r="F56" i="12775"/>
  <c r="H56" i="12775"/>
  <c r="K56" i="12775"/>
  <c r="L56" i="12775"/>
  <c r="M56" i="12775"/>
  <c r="N56" i="12775"/>
  <c r="Q56" i="12775"/>
  <c r="J56" i="12775" l="1"/>
  <c r="O56" i="12775"/>
  <c r="G56" i="12775"/>
  <c r="P56" i="12775" l="1"/>
  <c r="R56" i="12775" l="1"/>
  <c r="Q11" i="12775"/>
  <c r="D57" i="12775" s="1"/>
  <c r="X12" i="12775"/>
  <c r="N58" i="12775"/>
  <c r="AE11" i="12775"/>
  <c r="AE12" i="12775" s="1"/>
  <c r="Q12" i="12775"/>
  <c r="R12" i="12775"/>
  <c r="S12" i="12775"/>
  <c r="T12" i="12775"/>
  <c r="U12" i="12775"/>
  <c r="V12" i="12775"/>
  <c r="W12" i="12775"/>
  <c r="Y12" i="12775"/>
  <c r="Z12" i="12775"/>
  <c r="AA12" i="12775"/>
  <c r="AB12" i="12775"/>
  <c r="AC12" i="12775"/>
  <c r="E58" i="12775"/>
  <c r="G58" i="12775"/>
  <c r="J58" i="12775"/>
  <c r="K58" i="12775"/>
  <c r="O58" i="12775"/>
  <c r="D58" i="12775"/>
  <c r="H58" i="12775"/>
  <c r="I58" i="12775"/>
  <c r="L58" i="12775"/>
  <c r="M58" i="12775"/>
  <c r="Q57" i="12775" l="1"/>
  <c r="Q58" i="12775" s="1"/>
  <c r="F58" i="12775"/>
  <c r="P57" i="12775"/>
  <c r="P58" i="12775" l="1"/>
  <c r="R58" i="12775" s="1"/>
  <c r="R57" i="12775"/>
  <c r="Q14" i="12775"/>
  <c r="D60" i="12775" s="1"/>
  <c r="P60" i="12775" s="1"/>
  <c r="AE14" i="12775"/>
  <c r="Q60" i="12775" s="1"/>
  <c r="Q15" i="12775"/>
  <c r="D61" i="12775" s="1"/>
  <c r="R15" i="12775"/>
  <c r="S15" i="12775"/>
  <c r="F61" i="12775" s="1"/>
  <c r="T15" i="12775"/>
  <c r="G61" i="12775" s="1"/>
  <c r="U15" i="12775"/>
  <c r="H61" i="12775" s="1"/>
  <c r="V15" i="12775"/>
  <c r="W15" i="12775"/>
  <c r="X15" i="12775"/>
  <c r="Y15" i="12775"/>
  <c r="L61" i="12775" s="1"/>
  <c r="Z15" i="12775"/>
  <c r="AA15" i="12775"/>
  <c r="N61" i="12775" s="1"/>
  <c r="AB15" i="12775"/>
  <c r="O61" i="12775" s="1"/>
  <c r="AE15" i="12775"/>
  <c r="I61" i="12775"/>
  <c r="J61" i="12775"/>
  <c r="K61" i="12775"/>
  <c r="Q61" i="12775"/>
  <c r="R60" i="12775" l="1"/>
  <c r="M61" i="12775"/>
  <c r="E61" i="12775"/>
  <c r="P61" i="12775" l="1"/>
  <c r="R61" i="12775" l="1"/>
  <c r="Q16" i="12775"/>
  <c r="R16" i="12775"/>
  <c r="S16" i="12775"/>
  <c r="F62" i="12775" s="1"/>
  <c r="T16" i="12775"/>
  <c r="G62" i="12775" s="1"/>
  <c r="U16" i="12775"/>
  <c r="H62" i="12775" s="1"/>
  <c r="V16" i="12775"/>
  <c r="W16" i="12775"/>
  <c r="X16" i="12775"/>
  <c r="Y16" i="12775"/>
  <c r="Z16" i="12775"/>
  <c r="AA16" i="12775"/>
  <c r="AB16" i="12775"/>
  <c r="O62" i="12775" s="1"/>
  <c r="AE16" i="12775"/>
  <c r="Q62" i="12775" s="1"/>
  <c r="D62" i="12775"/>
  <c r="E62" i="12775"/>
  <c r="K62" i="12775"/>
  <c r="L62" i="12775"/>
  <c r="M62" i="12775"/>
  <c r="N62" i="12775"/>
  <c r="J62" i="12775" l="1"/>
  <c r="I62" i="12775"/>
  <c r="P62" i="12775"/>
  <c r="R62" i="12775" l="1"/>
  <c r="AE17" i="12775"/>
  <c r="D63" i="12775"/>
  <c r="E63" i="12775"/>
  <c r="F63" i="12775"/>
  <c r="G63" i="12775"/>
  <c r="H63" i="12775"/>
  <c r="I63" i="12775"/>
  <c r="K63" i="12775"/>
  <c r="L63" i="12775"/>
  <c r="M63" i="12775"/>
  <c r="N63" i="12775"/>
  <c r="O63" i="12775"/>
  <c r="Q63" i="12775"/>
  <c r="J63" i="12775" l="1"/>
  <c r="P63" i="12775" l="1"/>
  <c r="R63" i="12775" l="1"/>
  <c r="Q18" i="12775"/>
  <c r="D64" i="12775" s="1"/>
  <c r="R18" i="12775"/>
  <c r="E64" i="12775" s="1"/>
  <c r="S18" i="12775"/>
  <c r="F64" i="12775" s="1"/>
  <c r="T18" i="12775"/>
  <c r="G64" i="12775" s="1"/>
  <c r="U18" i="12775"/>
  <c r="H64" i="12775" s="1"/>
  <c r="V18" i="12775"/>
  <c r="I64" i="12775" s="1"/>
  <c r="W18" i="12775"/>
  <c r="J64" i="12775" s="1"/>
  <c r="X18" i="12775"/>
  <c r="K64" i="12775" s="1"/>
  <c r="Y18" i="12775"/>
  <c r="L64" i="12775" s="1"/>
  <c r="Z18" i="12775"/>
  <c r="M64" i="12775" s="1"/>
  <c r="AA18" i="12775"/>
  <c r="N64" i="12775" s="1"/>
  <c r="AB18" i="12775"/>
  <c r="O64" i="12775" s="1"/>
  <c r="AE18" i="12775"/>
  <c r="Q64" i="12775"/>
  <c r="P64" i="12775" l="1"/>
  <c r="R64" i="12775" l="1"/>
  <c r="Q19" i="12775"/>
  <c r="D65" i="12775" s="1"/>
  <c r="R19" i="12775"/>
  <c r="E65" i="12775" s="1"/>
  <c r="S19" i="12775"/>
  <c r="F65" i="12775" s="1"/>
  <c r="T19" i="12775"/>
  <c r="G65" i="12775" s="1"/>
  <c r="U19" i="12775"/>
  <c r="H65" i="12775" s="1"/>
  <c r="V19" i="12775"/>
  <c r="I65" i="12775" s="1"/>
  <c r="W19" i="12775"/>
  <c r="J65" i="12775" s="1"/>
  <c r="X19" i="12775"/>
  <c r="K65" i="12775" s="1"/>
  <c r="Y19" i="12775"/>
  <c r="L65" i="12775" s="1"/>
  <c r="Z19" i="12775"/>
  <c r="M65" i="12775" s="1"/>
  <c r="AA19" i="12775"/>
  <c r="N65" i="12775" s="1"/>
  <c r="AB19" i="12775"/>
  <c r="O65" i="12775" s="1"/>
  <c r="AE19" i="12775"/>
  <c r="Q65" i="12775" s="1"/>
  <c r="P65" i="12775" l="1"/>
  <c r="R65" i="12775" l="1"/>
  <c r="Q20" i="12775"/>
  <c r="R20" i="12775"/>
  <c r="E66" i="12775" s="1"/>
  <c r="S20" i="12775"/>
  <c r="T20" i="12775"/>
  <c r="G66" i="12775" s="1"/>
  <c r="U20" i="12775"/>
  <c r="V20" i="12775"/>
  <c r="W20" i="12775"/>
  <c r="J66" i="12775" s="1"/>
  <c r="X20" i="12775"/>
  <c r="Y20" i="12775"/>
  <c r="Z20" i="12775"/>
  <c r="M66" i="12775" s="1"/>
  <c r="AA20" i="12775"/>
  <c r="N66" i="12775" s="1"/>
  <c r="AB20" i="12775"/>
  <c r="O66" i="12775" s="1"/>
  <c r="AE20" i="12775"/>
  <c r="D66" i="12775"/>
  <c r="F66" i="12775"/>
  <c r="K66" i="12775"/>
  <c r="L66" i="12775"/>
  <c r="Q66" i="12775" l="1"/>
  <c r="I66" i="12775"/>
  <c r="H66" i="12775"/>
  <c r="P66" i="12775" l="1"/>
  <c r="R66" i="12775" l="1"/>
  <c r="Q21" i="12775"/>
  <c r="Q22" i="12775" s="1"/>
  <c r="R21" i="12775"/>
  <c r="E67" i="12775" s="1"/>
  <c r="E68" i="12775" s="1"/>
  <c r="S21" i="12775"/>
  <c r="S22" i="12775" s="1"/>
  <c r="T21" i="12775"/>
  <c r="G67" i="12775" s="1"/>
  <c r="G68" i="12775" s="1"/>
  <c r="U21" i="12775"/>
  <c r="U22" i="12775" s="1"/>
  <c r="V21" i="12775"/>
  <c r="V22" i="12775" s="1"/>
  <c r="W21" i="12775"/>
  <c r="W22" i="12775" s="1"/>
  <c r="X21" i="12775"/>
  <c r="Y21" i="12775"/>
  <c r="Y22" i="12775" s="1"/>
  <c r="Z21" i="12775"/>
  <c r="Z22" i="12775" s="1"/>
  <c r="AA21" i="12775"/>
  <c r="AA22" i="12775" s="1"/>
  <c r="AB21" i="12775"/>
  <c r="O67" i="12775" s="1"/>
  <c r="O68" i="12775" s="1"/>
  <c r="AE21" i="12775"/>
  <c r="Q67" i="12775" s="1"/>
  <c r="R22" i="12775"/>
  <c r="T22" i="12775"/>
  <c r="X22" i="12775"/>
  <c r="AC22" i="12775"/>
  <c r="D67" i="12775"/>
  <c r="K67" i="12775"/>
  <c r="K68" i="12775" s="1"/>
  <c r="L67" i="12775"/>
  <c r="L68" i="12775" s="1"/>
  <c r="M67" i="12775"/>
  <c r="M68" i="12775" s="1"/>
  <c r="AE22" i="12775" l="1"/>
  <c r="Q68" i="12775" s="1"/>
  <c r="I67" i="12775"/>
  <c r="I68" i="12775" s="1"/>
  <c r="H67" i="12775"/>
  <c r="H68" i="12775" s="1"/>
  <c r="F67" i="12775"/>
  <c r="F68" i="12775" s="1"/>
  <c r="AB22" i="12775"/>
  <c r="N67" i="12775"/>
  <c r="N68" i="12775" s="1"/>
  <c r="D68" i="12775"/>
  <c r="J67" i="12775"/>
  <c r="J68" i="12775" s="1"/>
  <c r="P67" i="12775" l="1"/>
  <c r="P68" i="12775" l="1"/>
  <c r="R68" i="12775" s="1"/>
  <c r="R67" i="12775"/>
  <c r="Q24" i="12775"/>
  <c r="D70" i="12775" s="1"/>
  <c r="R24" i="12775"/>
  <c r="S24" i="12775"/>
  <c r="F70" i="12775" s="1"/>
  <c r="T24" i="12775"/>
  <c r="U24" i="12775"/>
  <c r="V24" i="12775"/>
  <c r="W24" i="12775"/>
  <c r="J70" i="12775" s="1"/>
  <c r="X24" i="12775"/>
  <c r="K70" i="12775" s="1"/>
  <c r="Y24" i="12775"/>
  <c r="L70" i="12775" s="1"/>
  <c r="Z24" i="12775"/>
  <c r="AA24" i="12775"/>
  <c r="N70" i="12775" s="1"/>
  <c r="AB24" i="12775"/>
  <c r="AE24" i="12775"/>
  <c r="I70" i="12775" l="1"/>
  <c r="H70" i="12775"/>
  <c r="G70" i="12775"/>
  <c r="O70" i="12775"/>
  <c r="M70" i="12775"/>
  <c r="E70" i="12775"/>
  <c r="Q70" i="12775"/>
  <c r="P70" i="12775" l="1"/>
  <c r="R70" i="12775" l="1"/>
  <c r="Q25" i="12775"/>
  <c r="D71" i="12775" s="1"/>
  <c r="R25" i="12775"/>
  <c r="E71" i="12775" s="1"/>
  <c r="S25" i="12775"/>
  <c r="T25" i="12775"/>
  <c r="G71" i="12775" s="1"/>
  <c r="U25" i="12775"/>
  <c r="V25" i="12775"/>
  <c r="W25" i="12775"/>
  <c r="X25" i="12775"/>
  <c r="K71" i="12775" s="1"/>
  <c r="Y25" i="12775"/>
  <c r="Z25" i="12775"/>
  <c r="M71" i="12775" s="1"/>
  <c r="AA25" i="12775"/>
  <c r="AB25" i="12775"/>
  <c r="O71" i="12775" s="1"/>
  <c r="AE25" i="12775"/>
  <c r="Q71" i="12775" s="1"/>
  <c r="H71" i="12775" l="1"/>
  <c r="I71" i="12775"/>
  <c r="F71" i="12775"/>
  <c r="L71" i="12775"/>
  <c r="J71" i="12775"/>
  <c r="N71" i="12775"/>
  <c r="P71" i="12775" l="1"/>
  <c r="R71" i="12775" l="1"/>
  <c r="Q26" i="12775"/>
  <c r="R26" i="12775"/>
  <c r="E72" i="12775" s="1"/>
  <c r="E98" i="12775" s="1"/>
  <c r="S26" i="12775"/>
  <c r="F72" i="12775" s="1"/>
  <c r="F98" i="12775" s="1"/>
  <c r="T26" i="12775"/>
  <c r="G72" i="12775" s="1"/>
  <c r="G98" i="12775" s="1"/>
  <c r="U26" i="12775"/>
  <c r="H72" i="12775" s="1"/>
  <c r="H98" i="12775" s="1"/>
  <c r="V26" i="12775"/>
  <c r="I72" i="12775" s="1"/>
  <c r="I98" i="12775" s="1"/>
  <c r="W26" i="12775"/>
  <c r="X26" i="12775"/>
  <c r="K72" i="12775" s="1"/>
  <c r="K98" i="12775" s="1"/>
  <c r="Y26" i="12775"/>
  <c r="Z26" i="12775"/>
  <c r="M72" i="12775" s="1"/>
  <c r="M98" i="12775" s="1"/>
  <c r="AA26" i="12775"/>
  <c r="AB26" i="12775"/>
  <c r="O72" i="12775" s="1"/>
  <c r="O98" i="12775" s="1"/>
  <c r="AE26" i="12775"/>
  <c r="Q72" i="12775" s="1"/>
  <c r="I96" i="12775" l="1"/>
  <c r="I97" i="12775" s="1"/>
  <c r="E96" i="12775"/>
  <c r="E97" i="12775" s="1"/>
  <c r="F96" i="12775"/>
  <c r="F97" i="12775" s="1"/>
  <c r="O96" i="12775"/>
  <c r="O97" i="12775" s="1"/>
  <c r="M96" i="12775"/>
  <c r="M97" i="12775" s="1"/>
  <c r="H96" i="12775"/>
  <c r="H97" i="12775" s="1"/>
  <c r="G96" i="12775"/>
  <c r="G97" i="12775" s="1"/>
  <c r="K96" i="12775"/>
  <c r="K97" i="12775" s="1"/>
  <c r="L72" i="12775"/>
  <c r="L98" i="12775" s="1"/>
  <c r="D72" i="12775"/>
  <c r="D98" i="12775" s="1"/>
  <c r="J72" i="12775"/>
  <c r="J98" i="12775" s="1"/>
  <c r="N72" i="12775"/>
  <c r="N98" i="12775" s="1"/>
  <c r="J96" i="12775" l="1"/>
  <c r="J97" i="12775" s="1"/>
  <c r="N96" i="12775"/>
  <c r="N97" i="12775" s="1"/>
  <c r="L96" i="12775"/>
  <c r="L97" i="12775" s="1"/>
  <c r="D96" i="12775"/>
  <c r="P98" i="12775"/>
  <c r="P72" i="12775"/>
  <c r="P96" i="12775" l="1"/>
  <c r="D97" i="12775"/>
  <c r="P97" i="12775" s="1"/>
  <c r="R72" i="12775"/>
  <c r="Q27" i="12775"/>
  <c r="D73" i="12775" s="1"/>
  <c r="D102" i="12775" s="1"/>
  <c r="R27" i="12775"/>
  <c r="E73" i="12775" s="1"/>
  <c r="E102" i="12775" s="1"/>
  <c r="S27" i="12775"/>
  <c r="F73" i="12775" s="1"/>
  <c r="F102" i="12775" s="1"/>
  <c r="T27" i="12775"/>
  <c r="G73" i="12775" s="1"/>
  <c r="G102" i="12775" s="1"/>
  <c r="U27" i="12775"/>
  <c r="V27" i="12775"/>
  <c r="W27" i="12775"/>
  <c r="X27" i="12775"/>
  <c r="Y27" i="12775"/>
  <c r="L73" i="12775" s="1"/>
  <c r="L102" i="12775" s="1"/>
  <c r="Z27" i="12775"/>
  <c r="M73" i="12775" s="1"/>
  <c r="M102" i="12775" s="1"/>
  <c r="AA27" i="12775"/>
  <c r="N73" i="12775" s="1"/>
  <c r="N102" i="12775" s="1"/>
  <c r="AB27" i="12775"/>
  <c r="O73" i="12775" s="1"/>
  <c r="O102" i="12775" s="1"/>
  <c r="AE27" i="12775"/>
  <c r="Q73" i="12775" s="1"/>
  <c r="G100" i="12775" l="1"/>
  <c r="G101" i="12775" s="1"/>
  <c r="N100" i="12775"/>
  <c r="N101" i="12775" s="1"/>
  <c r="O100" i="12775"/>
  <c r="O101" i="12775" s="1"/>
  <c r="F100" i="12775"/>
  <c r="F101" i="12775" s="1"/>
  <c r="L100" i="12775"/>
  <c r="L101" i="12775" s="1"/>
  <c r="M100" i="12775"/>
  <c r="M101" i="12775" s="1"/>
  <c r="E100" i="12775"/>
  <c r="E101" i="12775" s="1"/>
  <c r="D100" i="12775"/>
  <c r="D101" i="12775" s="1"/>
  <c r="I73" i="12775"/>
  <c r="I102" i="12775" s="1"/>
  <c r="H73" i="12775"/>
  <c r="H102" i="12775" s="1"/>
  <c r="K73" i="12775"/>
  <c r="K102" i="12775" s="1"/>
  <c r="J73" i="12775"/>
  <c r="J102" i="12775" s="1"/>
  <c r="J100" i="12775" l="1"/>
  <c r="J101" i="12775" s="1"/>
  <c r="I100" i="12775"/>
  <c r="I101" i="12775" s="1"/>
  <c r="K100" i="12775"/>
  <c r="K101" i="12775" s="1"/>
  <c r="P102" i="12775"/>
  <c r="H100" i="12775"/>
  <c r="H101" i="12775" s="1"/>
  <c r="P73" i="12775"/>
  <c r="P100" i="12775" l="1"/>
  <c r="P101" i="12775" s="1"/>
  <c r="R73" i="12775"/>
  <c r="Q28" i="12775"/>
  <c r="R28" i="12775"/>
  <c r="E74" i="12775" s="1"/>
  <c r="S28" i="12775"/>
  <c r="T28" i="12775"/>
  <c r="G74" i="12775" s="1"/>
  <c r="U28" i="12775"/>
  <c r="H74" i="12775" s="1"/>
  <c r="V28" i="12775"/>
  <c r="W28" i="12775"/>
  <c r="J74" i="12775" s="1"/>
  <c r="X28" i="12775"/>
  <c r="K74" i="12775" s="1"/>
  <c r="Y28" i="12775"/>
  <c r="Z28" i="12775"/>
  <c r="M74" i="12775" s="1"/>
  <c r="AA28" i="12775"/>
  <c r="N74" i="12775" s="1"/>
  <c r="AB28" i="12775"/>
  <c r="O74" i="12775" s="1"/>
  <c r="AE28" i="12775"/>
  <c r="I74" i="12775" l="1"/>
  <c r="F74" i="12775"/>
  <c r="L74" i="12775"/>
  <c r="D74" i="12775"/>
  <c r="Q74" i="12775"/>
  <c r="P74" i="12775" l="1"/>
  <c r="R74" i="12775" l="1"/>
  <c r="Q29" i="12775"/>
  <c r="D75" i="12775" s="1"/>
  <c r="R29" i="12775"/>
  <c r="E75" i="12775" s="1"/>
  <c r="S29" i="12775"/>
  <c r="T29" i="12775"/>
  <c r="U29" i="12775"/>
  <c r="V29" i="12775"/>
  <c r="W29" i="12775"/>
  <c r="X29" i="12775"/>
  <c r="K75" i="12775" s="1"/>
  <c r="Y29" i="12775"/>
  <c r="L75" i="12775" s="1"/>
  <c r="Z29" i="12775"/>
  <c r="M75" i="12775" s="1"/>
  <c r="AA29" i="12775"/>
  <c r="N75" i="12775" s="1"/>
  <c r="AB29" i="12775"/>
  <c r="O75" i="12775" s="1"/>
  <c r="AE29" i="12775"/>
  <c r="H75" i="12775" l="1"/>
  <c r="G75" i="12775"/>
  <c r="I75" i="12775"/>
  <c r="Q75" i="12775"/>
  <c r="F75" i="12775"/>
  <c r="J75" i="12775"/>
  <c r="P75" i="12775" l="1"/>
  <c r="R75" i="12775" l="1"/>
  <c r="Q30" i="12775"/>
  <c r="D76" i="12775" s="1"/>
  <c r="D106" i="12775" s="1"/>
  <c r="R30" i="12775"/>
  <c r="E76" i="12775" s="1"/>
  <c r="E106" i="12775" s="1"/>
  <c r="S30" i="12775"/>
  <c r="T30" i="12775"/>
  <c r="U30" i="12775"/>
  <c r="V30" i="12775"/>
  <c r="W30" i="12775"/>
  <c r="X30" i="12775"/>
  <c r="K76" i="12775" s="1"/>
  <c r="K106" i="12775" s="1"/>
  <c r="Y30" i="12775"/>
  <c r="L76" i="12775" s="1"/>
  <c r="L106" i="12775" s="1"/>
  <c r="Z30" i="12775"/>
  <c r="M76" i="12775" s="1"/>
  <c r="M106" i="12775" s="1"/>
  <c r="AA30" i="12775"/>
  <c r="N76" i="12775" s="1"/>
  <c r="N106" i="12775" s="1"/>
  <c r="AB30" i="12775"/>
  <c r="AE30" i="12775"/>
  <c r="Q76" i="12775" s="1"/>
  <c r="N104" i="12775" l="1"/>
  <c r="N105" i="12775" s="1"/>
  <c r="M104" i="12775"/>
  <c r="M105" i="12775" s="1"/>
  <c r="E104" i="12775"/>
  <c r="E105" i="12775" s="1"/>
  <c r="L104" i="12775"/>
  <c r="L105" i="12775" s="1"/>
  <c r="K104" i="12775"/>
  <c r="K105" i="12775" s="1"/>
  <c r="D104" i="12775"/>
  <c r="D105" i="12775" s="1"/>
  <c r="I76" i="12775"/>
  <c r="I106" i="12775" s="1"/>
  <c r="H76" i="12775"/>
  <c r="H106" i="12775" s="1"/>
  <c r="G76" i="12775"/>
  <c r="G106" i="12775" s="1"/>
  <c r="O76" i="12775"/>
  <c r="O106" i="12775" s="1"/>
  <c r="F76" i="12775"/>
  <c r="F106" i="12775" s="1"/>
  <c r="J76" i="12775"/>
  <c r="J106" i="12775" s="1"/>
  <c r="O104" i="12775" l="1"/>
  <c r="O105" i="12775" s="1"/>
  <c r="H104" i="12775"/>
  <c r="H105" i="12775" s="1"/>
  <c r="I104" i="12775"/>
  <c r="I105" i="12775" s="1"/>
  <c r="G104" i="12775"/>
  <c r="G105" i="12775" s="1"/>
  <c r="J104" i="12775"/>
  <c r="J105" i="12775" s="1"/>
  <c r="F104" i="12775"/>
  <c r="F105" i="12775" s="1"/>
  <c r="P106" i="12775"/>
  <c r="P76" i="12775"/>
  <c r="P104" i="12775" l="1"/>
  <c r="P105" i="12775" s="1"/>
  <c r="R76" i="12775"/>
  <c r="Q31" i="12775"/>
  <c r="Q32" i="12775" s="1"/>
  <c r="R31" i="12775"/>
  <c r="E77" i="12775" s="1"/>
  <c r="E78" i="12775" s="1"/>
  <c r="S31" i="12775"/>
  <c r="S32" i="12775" s="1"/>
  <c r="T31" i="12775"/>
  <c r="T32" i="12775" s="1"/>
  <c r="U31" i="12775"/>
  <c r="H77" i="12775" s="1"/>
  <c r="H78" i="12775" s="1"/>
  <c r="V31" i="12775"/>
  <c r="V32" i="12775" s="1"/>
  <c r="W31" i="12775"/>
  <c r="W32" i="12775" s="1"/>
  <c r="X31" i="12775"/>
  <c r="K77" i="12775" s="1"/>
  <c r="K78" i="12775" s="1"/>
  <c r="Y31" i="12775"/>
  <c r="Y32" i="12775" s="1"/>
  <c r="Z31" i="12775"/>
  <c r="Z32" i="12775" s="1"/>
  <c r="AA31" i="12775"/>
  <c r="N77" i="12775" s="1"/>
  <c r="N78" i="12775" s="1"/>
  <c r="AB31" i="12775"/>
  <c r="AB32" i="12775" s="1"/>
  <c r="AE31" i="12775"/>
  <c r="Q77" i="12775" s="1"/>
  <c r="AC32" i="12775"/>
  <c r="R32" i="12775" l="1"/>
  <c r="M77" i="12775"/>
  <c r="M78" i="12775" s="1"/>
  <c r="D77" i="12775"/>
  <c r="D78" i="12775" s="1"/>
  <c r="L77" i="12775"/>
  <c r="L78" i="12775" s="1"/>
  <c r="AA32" i="12775"/>
  <c r="X32" i="12775"/>
  <c r="I77" i="12775"/>
  <c r="I78" i="12775" s="1"/>
  <c r="AE32" i="12775"/>
  <c r="U32" i="12775"/>
  <c r="G77" i="12775"/>
  <c r="G78" i="12775" s="1"/>
  <c r="O77" i="12775"/>
  <c r="O78" i="12775" s="1"/>
  <c r="F77" i="12775"/>
  <c r="F78" i="12775" s="1"/>
  <c r="J77" i="12775"/>
  <c r="J78" i="12775" s="1"/>
  <c r="P77" i="12775" l="1"/>
  <c r="P78" i="12775" s="1"/>
  <c r="R77" i="12775" l="1"/>
  <c r="Q34" i="12775"/>
  <c r="D80" i="12775" s="1"/>
  <c r="R34" i="12775"/>
  <c r="E80" i="12775" s="1"/>
  <c r="S34" i="12775"/>
  <c r="F80" i="12775" s="1"/>
  <c r="T34" i="12775"/>
  <c r="G80" i="12775" s="1"/>
  <c r="U34" i="12775"/>
  <c r="H80" i="12775" s="1"/>
  <c r="V34" i="12775"/>
  <c r="I80" i="12775" s="1"/>
  <c r="W34" i="12775"/>
  <c r="J80" i="12775" s="1"/>
  <c r="X34" i="12775"/>
  <c r="K80" i="12775" s="1"/>
  <c r="Y34" i="12775"/>
  <c r="L80" i="12775" s="1"/>
  <c r="Z34" i="12775"/>
  <c r="M80" i="12775" s="1"/>
  <c r="AA34" i="12775"/>
  <c r="N80" i="12775" s="1"/>
  <c r="AB34" i="12775"/>
  <c r="O80" i="12775" s="1"/>
  <c r="AE34" i="12775"/>
  <c r="Q80" i="12775" s="1"/>
  <c r="P80" i="12775" l="1"/>
  <c r="R80" i="12775" l="1"/>
  <c r="Q35" i="12775"/>
  <c r="D81" i="12775" s="1"/>
  <c r="R35" i="12775"/>
  <c r="E81" i="12775" s="1"/>
  <c r="E82" i="12775" s="1"/>
  <c r="S35" i="12775"/>
  <c r="S36" i="12775" s="1"/>
  <c r="T35" i="12775"/>
  <c r="T36" i="12775" s="1"/>
  <c r="U35" i="12775"/>
  <c r="U36" i="12775" s="1"/>
  <c r="V35" i="12775"/>
  <c r="V36" i="12775" s="1"/>
  <c r="W35" i="12775"/>
  <c r="W36" i="12775" s="1"/>
  <c r="X35" i="12775"/>
  <c r="K81" i="12775" s="1"/>
  <c r="K82" i="12775" s="1"/>
  <c r="Y35" i="12775"/>
  <c r="L81" i="12775" s="1"/>
  <c r="L82" i="12775" s="1"/>
  <c r="Z35" i="12775"/>
  <c r="M81" i="12775" s="1"/>
  <c r="M82" i="12775" s="1"/>
  <c r="AA35" i="12775"/>
  <c r="AA36" i="12775" s="1"/>
  <c r="AB35" i="12775"/>
  <c r="AB36" i="12775" s="1"/>
  <c r="AE35" i="12775"/>
  <c r="AE36" i="12775" s="1"/>
  <c r="Q82" i="12775" s="1"/>
  <c r="AC36" i="12775"/>
  <c r="Q36" i="12775" l="1"/>
  <c r="R36" i="12775"/>
  <c r="Y36" i="12775"/>
  <c r="X36" i="12775"/>
  <c r="Z36" i="12775"/>
  <c r="N81" i="12775"/>
  <c r="N82" i="12775" s="1"/>
  <c r="I81" i="12775"/>
  <c r="I82" i="12775" s="1"/>
  <c r="H81" i="12775"/>
  <c r="H82" i="12775" s="1"/>
  <c r="Q81" i="12775"/>
  <c r="G81" i="12775"/>
  <c r="G82" i="12775" s="1"/>
  <c r="O81" i="12775"/>
  <c r="O82" i="12775" s="1"/>
  <c r="F81" i="12775"/>
  <c r="F82" i="12775" s="1"/>
  <c r="D82" i="12775"/>
  <c r="J81" i="12775"/>
  <c r="J82" i="12775" s="1"/>
  <c r="P81" i="12775" l="1"/>
  <c r="P82" i="12775" l="1"/>
  <c r="R82" i="12775" s="1"/>
  <c r="R81" i="12775"/>
  <c r="Q38" i="12775"/>
  <c r="D84" i="12775" s="1"/>
  <c r="R38" i="12775"/>
  <c r="E84" i="12775" s="1"/>
  <c r="S38" i="12775"/>
  <c r="F84" i="12775" s="1"/>
  <c r="T38" i="12775"/>
  <c r="G84" i="12775" s="1"/>
  <c r="U38" i="12775"/>
  <c r="H84" i="12775" s="1"/>
  <c r="V38" i="12775"/>
  <c r="W38" i="12775"/>
  <c r="J84" i="12775" s="1"/>
  <c r="X38" i="12775"/>
  <c r="K84" i="12775" s="1"/>
  <c r="Y38" i="12775"/>
  <c r="L84" i="12775" s="1"/>
  <c r="Z38" i="12775"/>
  <c r="AA38" i="12775"/>
  <c r="N84" i="12775" s="1"/>
  <c r="AB38" i="12775"/>
  <c r="AE38" i="12775"/>
  <c r="Q84" i="12775" s="1"/>
  <c r="O84" i="12775" l="1"/>
  <c r="M84" i="12775"/>
  <c r="I84" i="12775"/>
  <c r="P84" i="12775" l="1"/>
  <c r="R84" i="12775" l="1"/>
  <c r="Q39" i="12775"/>
  <c r="D85" i="12775" s="1"/>
  <c r="R39" i="12775"/>
  <c r="E85" i="12775" s="1"/>
  <c r="S39" i="12775"/>
  <c r="F85" i="12775" s="1"/>
  <c r="T39" i="12775"/>
  <c r="G85" i="12775" s="1"/>
  <c r="U39" i="12775"/>
  <c r="H85" i="12775" s="1"/>
  <c r="V39" i="12775"/>
  <c r="I85" i="12775" s="1"/>
  <c r="W39" i="12775"/>
  <c r="X39" i="12775"/>
  <c r="K85" i="12775" s="1"/>
  <c r="Y39" i="12775"/>
  <c r="L85" i="12775" s="1"/>
  <c r="Z39" i="12775"/>
  <c r="M85" i="12775" s="1"/>
  <c r="AA39" i="12775"/>
  <c r="N85" i="12775" s="1"/>
  <c r="AB39" i="12775"/>
  <c r="O85" i="12775" s="1"/>
  <c r="AE39" i="12775"/>
  <c r="Q85" i="12775" s="1"/>
  <c r="J85" i="12775" l="1"/>
  <c r="P85" i="12775" l="1"/>
  <c r="R85" i="12775" s="1"/>
  <c r="Q40" i="12775"/>
  <c r="D86" i="12775" s="1"/>
  <c r="R40" i="12775"/>
  <c r="E86" i="12775" s="1"/>
  <c r="S40" i="12775"/>
  <c r="F86" i="12775" s="1"/>
  <c r="T40" i="12775"/>
  <c r="U40" i="12775"/>
  <c r="V40" i="12775"/>
  <c r="W40" i="12775"/>
  <c r="X40" i="12775"/>
  <c r="Y40" i="12775"/>
  <c r="Z40" i="12775"/>
  <c r="M86" i="12775" s="1"/>
  <c r="AA40" i="12775"/>
  <c r="N86" i="12775" s="1"/>
  <c r="AB40" i="12775"/>
  <c r="AE40" i="12775"/>
  <c r="Q86" i="12775" s="1"/>
  <c r="L86" i="12775" l="1"/>
  <c r="K86" i="12775"/>
  <c r="I86" i="12775"/>
  <c r="H86" i="12775"/>
  <c r="O86" i="12775"/>
  <c r="G86" i="12775"/>
  <c r="J86" i="12775"/>
  <c r="P86" i="12775" l="1"/>
  <c r="R86" i="12775" l="1"/>
  <c r="Q41" i="12775"/>
  <c r="D87" i="12775" s="1"/>
  <c r="R41" i="12775"/>
  <c r="E87" i="12775" s="1"/>
  <c r="S41" i="12775"/>
  <c r="F87" i="12775" s="1"/>
  <c r="T41" i="12775"/>
  <c r="U41" i="12775"/>
  <c r="H87" i="12775" s="1"/>
  <c r="V41" i="12775"/>
  <c r="I87" i="12775" s="1"/>
  <c r="W41" i="12775"/>
  <c r="J87" i="12775" s="1"/>
  <c r="X41" i="12775"/>
  <c r="K87" i="12775" s="1"/>
  <c r="Y41" i="12775"/>
  <c r="L87" i="12775" s="1"/>
  <c r="Z41" i="12775"/>
  <c r="M87" i="12775" s="1"/>
  <c r="AA41" i="12775"/>
  <c r="N87" i="12775" s="1"/>
  <c r="AB41" i="12775"/>
  <c r="AE41" i="12775"/>
  <c r="Q87" i="12775" l="1"/>
  <c r="O87" i="12775"/>
  <c r="G87" i="12775"/>
  <c r="P87" i="12775" l="1"/>
  <c r="R87" i="12775" l="1"/>
  <c r="Q42" i="12775"/>
  <c r="D88" i="12775" s="1"/>
  <c r="R42" i="12775"/>
  <c r="E88" i="12775" s="1"/>
  <c r="E89" i="12775" s="1"/>
  <c r="E91" i="12775" s="1"/>
  <c r="S42" i="12775"/>
  <c r="S43" i="12775" s="1"/>
  <c r="T42" i="12775"/>
  <c r="T43" i="12775" s="1"/>
  <c r="U42" i="12775"/>
  <c r="U43" i="12775" s="1"/>
  <c r="V42" i="12775"/>
  <c r="V43" i="12775" s="1"/>
  <c r="W42" i="12775"/>
  <c r="W43" i="12775" s="1"/>
  <c r="X42" i="12775"/>
  <c r="K88" i="12775" s="1"/>
  <c r="K89" i="12775" s="1"/>
  <c r="K91" i="12775" s="1"/>
  <c r="Y42" i="12775"/>
  <c r="L88" i="12775" s="1"/>
  <c r="L89" i="12775" s="1"/>
  <c r="L91" i="12775" s="1"/>
  <c r="Z42" i="12775"/>
  <c r="M88" i="12775" s="1"/>
  <c r="M89" i="12775" s="1"/>
  <c r="M91" i="12775" s="1"/>
  <c r="AA42" i="12775"/>
  <c r="N88" i="12775" s="1"/>
  <c r="N89" i="12775" s="1"/>
  <c r="N91" i="12775" s="1"/>
  <c r="AB42" i="12775"/>
  <c r="O88" i="12775" s="1"/>
  <c r="O89" i="12775" s="1"/>
  <c r="O91" i="12775" s="1"/>
  <c r="AE42" i="12775"/>
  <c r="AE43" i="12775" s="1"/>
  <c r="AC43" i="12775"/>
  <c r="AC45" i="12775" s="1"/>
  <c r="R43" i="12775" l="1"/>
  <c r="Y43" i="12775"/>
  <c r="X43" i="12775"/>
  <c r="Q43" i="12775"/>
  <c r="Q45" i="12775" s="1"/>
  <c r="AA43" i="12775"/>
  <c r="Z43" i="12775"/>
  <c r="AB43" i="12775"/>
  <c r="I88" i="12775"/>
  <c r="I89" i="12775" s="1"/>
  <c r="I91" i="12775" s="1"/>
  <c r="G88" i="12775"/>
  <c r="G89" i="12775" s="1"/>
  <c r="G91" i="12775" s="1"/>
  <c r="F88" i="12775"/>
  <c r="F89" i="12775" s="1"/>
  <c r="F91" i="12775" s="1"/>
  <c r="Q89" i="12775"/>
  <c r="AE44" i="12775"/>
  <c r="Q91" i="12775" s="1"/>
  <c r="D89" i="12775"/>
  <c r="D91" i="12775" s="1"/>
  <c r="J88" i="12775"/>
  <c r="J89" i="12775" s="1"/>
  <c r="J91" i="12775" s="1"/>
  <c r="Q88" i="12775"/>
  <c r="H88" i="12775"/>
  <c r="H89" i="12775" s="1"/>
  <c r="H91" i="12775" s="1"/>
  <c r="P91" i="12775" l="1"/>
  <c r="R91" i="12775" s="1"/>
  <c r="P88" i="12775"/>
  <c r="P89" i="12775" s="1"/>
  <c r="R89" i="12775" s="1"/>
  <c r="R88" i="12775" l="1"/>
  <c r="N24" i="12783"/>
  <c r="P24" i="12783"/>
  <c r="Q24" i="12783"/>
  <c r="N25" i="12783"/>
  <c r="P25" i="12783"/>
  <c r="Q25" i="12783"/>
  <c r="S25" i="12783"/>
  <c r="N33" i="12783"/>
  <c r="P33" i="12783"/>
  <c r="Q33" i="12783"/>
  <c r="S33" i="12783"/>
  <c r="N36" i="12783"/>
  <c r="P36" i="12783"/>
  <c r="Q36" i="12783"/>
  <c r="S36" i="12783"/>
  <c r="N43" i="12783"/>
  <c r="P43" i="12783"/>
  <c r="Q43" i="12783"/>
  <c r="S43" i="12783"/>
  <c r="N45" i="12783"/>
  <c r="P45" i="12783"/>
  <c r="Q45" i="12783"/>
  <c r="S45" i="12783"/>
  <c r="N49" i="12783"/>
  <c r="P49" i="12783"/>
  <c r="Q49" i="12783"/>
  <c r="S49" i="12783"/>
  <c r="G15" i="12843"/>
  <c r="I15" i="12843"/>
  <c r="G16" i="12843"/>
  <c r="I16" i="12843"/>
  <c r="G17" i="12843"/>
  <c r="I17" i="12843"/>
  <c r="G19" i="12843"/>
  <c r="I19" i="12843"/>
  <c r="G20" i="12843"/>
  <c r="I20" i="12843"/>
  <c r="G21" i="12843"/>
  <c r="I21" i="12843"/>
  <c r="I25" i="12843"/>
  <c r="I27" i="12843"/>
  <c r="X27" i="12843"/>
  <c r="W29" i="12843"/>
  <c r="U30" i="12843"/>
  <c r="G36" i="12843"/>
  <c r="I36" i="12843"/>
  <c r="G37" i="12843"/>
  <c r="I37" i="12843"/>
  <c r="G38" i="12843"/>
  <c r="I38" i="12843"/>
  <c r="G40" i="12843"/>
  <c r="I40" i="12843"/>
  <c r="G41" i="12843"/>
  <c r="I41" i="12843"/>
  <c r="G42" i="12843"/>
  <c r="I42" i="12843"/>
  <c r="I46" i="12843"/>
  <c r="I48" i="12843"/>
  <c r="G54" i="12843"/>
  <c r="I54" i="12843"/>
  <c r="G55" i="12843"/>
  <c r="I55" i="12843"/>
  <c r="G56" i="12843"/>
  <c r="I56" i="12843"/>
  <c r="G58" i="12843"/>
  <c r="I58" i="12843"/>
  <c r="G59" i="12843"/>
  <c r="I59" i="12843"/>
  <c r="G60" i="12843"/>
  <c r="I60" i="12843"/>
  <c r="I64" i="12843"/>
  <c r="I66" i="12843"/>
  <c r="G72" i="12843"/>
  <c r="I72" i="12843"/>
  <c r="G73" i="12843"/>
  <c r="I73" i="12843"/>
  <c r="G74" i="12843"/>
  <c r="I74" i="12843"/>
  <c r="G76" i="12843"/>
  <c r="I76" i="12843"/>
  <c r="G77" i="12843"/>
  <c r="I77" i="12843"/>
  <c r="G78" i="12843"/>
  <c r="I78" i="12843"/>
  <c r="I82" i="12843"/>
  <c r="I84" i="12843"/>
  <c r="G587" i="12843"/>
  <c r="I587" i="12843"/>
  <c r="G588" i="12843"/>
  <c r="I588" i="12843"/>
  <c r="G601" i="12843"/>
  <c r="I601" i="12843"/>
  <c r="G608" i="12843"/>
  <c r="I608" i="12843"/>
  <c r="I611" i="12843"/>
  <c r="I613" i="12843"/>
  <c r="G629" i="12843"/>
  <c r="I629" i="12843"/>
  <c r="X629" i="12843"/>
  <c r="G630" i="12843"/>
  <c r="I630" i="12843"/>
  <c r="X630" i="12843"/>
  <c r="G634" i="12843"/>
  <c r="X634" i="12843"/>
  <c r="G635" i="12843"/>
  <c r="X635" i="12843"/>
  <c r="G644" i="12843"/>
  <c r="I644" i="12843"/>
  <c r="G645" i="12843"/>
  <c r="I645" i="12843"/>
  <c r="I651" i="12843"/>
  <c r="I653" i="12843"/>
  <c r="X653" i="12843"/>
  <c r="W654" i="12843"/>
  <c r="G671" i="12843"/>
  <c r="I671" i="12843"/>
  <c r="G672" i="12843"/>
  <c r="I672" i="12843"/>
  <c r="G684" i="12843"/>
  <c r="I684" i="12843"/>
  <c r="G685" i="12843"/>
  <c r="I685" i="12843"/>
  <c r="I691" i="12843"/>
  <c r="I693" i="12843"/>
  <c r="G709" i="12843"/>
  <c r="I709" i="12843"/>
  <c r="G710" i="12843"/>
  <c r="I710" i="12843"/>
  <c r="G722" i="12843"/>
  <c r="I722" i="12843"/>
  <c r="G723" i="12843"/>
  <c r="I723" i="12843"/>
  <c r="I729" i="12843"/>
  <c r="I731" i="12843"/>
  <c r="I1300" i="12843"/>
  <c r="W1301" i="12843"/>
  <c r="I1303" i="12843"/>
  <c r="I14" i="12770"/>
  <c r="K14" i="12770"/>
  <c r="I15" i="12770"/>
  <c r="K15" i="12770"/>
  <c r="I16" i="12770"/>
  <c r="K16" i="12770"/>
  <c r="I18" i="12770"/>
  <c r="K18" i="12770"/>
  <c r="I19" i="12770"/>
  <c r="K19" i="12770"/>
  <c r="R19" i="12770"/>
  <c r="U19" i="12770"/>
  <c r="I20" i="12770"/>
  <c r="K20" i="12770"/>
  <c r="R20" i="12770"/>
  <c r="U20" i="12770"/>
  <c r="I22" i="12770"/>
  <c r="K22" i="12770"/>
  <c r="I23" i="12770"/>
  <c r="K23" i="12770"/>
  <c r="I24" i="12770"/>
  <c r="K24" i="12770"/>
  <c r="I26" i="12770"/>
  <c r="K26" i="12770"/>
  <c r="I27" i="12770"/>
  <c r="K27" i="12770"/>
  <c r="I28" i="12770"/>
  <c r="K28" i="12770"/>
  <c r="I30" i="12770"/>
  <c r="K30" i="12770"/>
  <c r="I31" i="12770"/>
  <c r="K31" i="12770"/>
  <c r="I32" i="12770"/>
  <c r="K32" i="12770"/>
  <c r="O32" i="12770"/>
  <c r="I34" i="12770"/>
  <c r="K34" i="12770"/>
  <c r="I35" i="12770"/>
  <c r="K35" i="12770"/>
  <c r="I36" i="12770"/>
  <c r="K36" i="12770"/>
  <c r="I38" i="12770"/>
  <c r="K38" i="12770"/>
  <c r="I39" i="12770"/>
  <c r="K39" i="12770"/>
  <c r="I40" i="12770"/>
  <c r="K40" i="12770"/>
</calcChain>
</file>

<file path=xl/comments1.xml><?xml version="1.0" encoding="utf-8"?>
<comments xmlns="http://schemas.openxmlformats.org/spreadsheetml/2006/main">
  <authors>
    <author>Judith M Ridenour</author>
    <author>P15223</author>
  </authors>
  <commentList>
    <comment ref="C5" authorId="0" shapeId="0">
      <text>
        <r>
          <rPr>
            <sz val="10"/>
            <color indexed="81"/>
            <rFont val="Tahoma"/>
            <family val="2"/>
          </rPr>
          <t>BPA Revenues NOT INCLUDED
(Base Revenues)</t>
        </r>
      </text>
    </comment>
    <comment ref="AA13" authorId="1" shapeId="0">
      <text>
        <r>
          <rPr>
            <b/>
            <sz val="8"/>
            <color indexed="81"/>
            <rFont val="Tahoma"/>
            <family val="2"/>
          </rPr>
          <t>P15223:</t>
        </r>
        <r>
          <rPr>
            <sz val="8"/>
            <color indexed="81"/>
            <rFont val="Tahoma"/>
            <family val="2"/>
          </rPr>
          <t xml:space="preserve">
Subtracts Net Metering.</t>
        </r>
      </text>
    </comment>
    <comment ref="AA14" authorId="1" shapeId="0">
      <text>
        <r>
          <rPr>
            <b/>
            <sz val="8"/>
            <color indexed="81"/>
            <rFont val="Tahoma"/>
            <family val="2"/>
          </rPr>
          <t>P15223:</t>
        </r>
        <r>
          <rPr>
            <sz val="8"/>
            <color indexed="81"/>
            <rFont val="Tahoma"/>
            <family val="2"/>
          </rPr>
          <t xml:space="preserve">
Subtracts Net Metering.</t>
        </r>
      </text>
    </comment>
    <comment ref="AA15" authorId="1" shapeId="0">
      <text>
        <r>
          <rPr>
            <b/>
            <sz val="8"/>
            <color indexed="81"/>
            <rFont val="Tahoma"/>
            <family val="2"/>
          </rPr>
          <t>P15223:</t>
        </r>
        <r>
          <rPr>
            <sz val="8"/>
            <color indexed="81"/>
            <rFont val="Tahoma"/>
            <family val="2"/>
          </rPr>
          <t xml:space="preserve">
Subtracts Net Metering.</t>
        </r>
      </text>
    </comment>
    <comment ref="AA20" authorId="1" shapeId="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authors>
    <author>P15223</author>
  </authors>
  <commentList>
    <comment ref="A1" authorId="0" shapeId="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<sst xmlns="http://schemas.openxmlformats.org/spreadsheetml/2006/main" count="9034" uniqueCount="920">
  <si>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</si>
  <si>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</si>
  <si>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</si>
  <si>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</si>
  <si>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</si>
  <si>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</si>
  <si>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</si>
  <si>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</si>
  <si>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</si>
  <si>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</si>
  <si>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</si>
  <si>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</si>
  <si>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</si>
  <si>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</si>
  <si>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</si>
  <si>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</si>
  <si>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</si>
  <si>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</si>
  <si>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</si>
  <si>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</si>
  <si>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</si>
  <si>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</si>
  <si>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</si>
  <si>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</si>
  <si>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</si>
  <si>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</si>
  <si>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</si>
  <si>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</si>
  <si>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</si>
  <si>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</si>
  <si>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</si>
  <si>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</si>
  <si>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</si>
  <si>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</si>
  <si>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</si>
  <si>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</si>
  <si>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</si>
  <si>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</si>
  <si>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</si>
  <si>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</si>
  <si>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</si>
  <si>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</si>
  <si>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</si>
  <si>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</si>
  <si>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</si>
  <si>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</si>
  <si>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</si>
  <si>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</si>
  <si>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</si>
  <si>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</si>
  <si>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</si>
  <si>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</si>
  <si>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</si>
  <si>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</si>
  <si>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</si>
  <si>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</si>
  <si>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</si>
  <si>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</si>
  <si>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</si>
  <si>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</si>
  <si>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</si>
  <si>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</si>
  <si>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</si>
  <si>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</si>
  <si>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</si>
  <si>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</si>
  <si>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</si>
  <si>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</si>
  <si>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</si>
  <si>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</si>
  <si>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</si>
  <si>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</si>
  <si>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</si>
  <si>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</si>
  <si>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</si>
  <si>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</si>
  <si>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</si>
  <si>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</si>
  <si>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</si>
  <si>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</si>
  <si>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</si>
  <si>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</si>
  <si>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</si>
  <si>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</si>
  <si>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</si>
  <si>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</si>
  <si>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</si>
  <si>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</si>
  <si>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</si>
  <si>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</si>
  <si>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</si>
  <si>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</si>
  <si>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</si>
  <si>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</si>
  <si>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</si>
  <si>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</si>
  <si>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</si>
  <si>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</si>
  <si>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</si>
  <si>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</si>
  <si>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</si>
  <si>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</si>
  <si>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</si>
  <si>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</si>
  <si>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</si>
  <si>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</si>
  <si>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</si>
  <si>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</si>
  <si>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</si>
  <si>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</si>
  <si>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</si>
  <si>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</si>
  <si>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</si>
  <si>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</si>
  <si>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</si>
  <si>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</si>
  <si>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</si>
  <si>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</si>
  <si>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</si>
  <si>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</si>
  <si>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</si>
  <si>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</si>
  <si>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</si>
  <si>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</si>
  <si>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</si>
  <si>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</si>
  <si>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</si>
  <si>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</si>
  <si>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</si>
  <si>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</si>
  <si>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</si>
  <si>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</si>
  <si>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</si>
  <si>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</si>
  <si>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</si>
  <si>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</si>
  <si>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</si>
  <si>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</si>
  <si>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</si>
  <si>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</si>
  <si>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</si>
  <si>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</si>
  <si>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</si>
  <si>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</si>
  <si>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</si>
  <si>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</si>
  <si>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</si>
  <si>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</si>
  <si>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</si>
  <si>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</si>
  <si>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</si>
  <si>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</si>
  <si>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</si>
  <si>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</si>
  <si>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</si>
  <si>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</si>
  <si>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</si>
  <si>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</si>
  <si>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</si>
  <si>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</si>
  <si>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</si>
  <si>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</si>
  <si>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</si>
  <si>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</si>
  <si>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</si>
  <si>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</si>
  <si>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</si>
  <si>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</si>
  <si>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</si>
  <si>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</si>
  <si>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</si>
  <si>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</si>
  <si>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</si>
  <si>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</si>
  <si>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</si>
  <si>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</si>
  <si>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</si>
  <si>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</si>
  <si>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</si>
  <si>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</si>
  <si>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</si>
  <si>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</si>
  <si>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</si>
  <si>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</si>
  <si>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</si>
  <si>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</si>
  <si>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</si>
  <si>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</si>
  <si>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</si>
  <si>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</si>
  <si>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</si>
  <si>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</si>
  <si>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</si>
  <si>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</si>
  <si>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</si>
  <si>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</si>
  <si>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</si>
  <si>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</si>
  <si>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</si>
  <si>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</si>
  <si>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</si>
  <si>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</si>
  <si>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</si>
  <si>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</si>
  <si>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</si>
  <si>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</si>
  <si>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</si>
  <si>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</si>
  <si>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</si>
  <si>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</si>
  <si>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</si>
  <si>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</si>
  <si>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</si>
  <si>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</si>
  <si>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</si>
  <si>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</si>
  <si>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</si>
  <si>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</si>
  <si>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</si>
  <si>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</si>
  <si>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</si>
  <si>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</si>
  <si>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</si>
  <si>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</si>
  <si>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</si>
  <si>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</si>
  <si>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</si>
  <si>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</si>
  <si>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</si>
  <si>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</si>
  <si>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</si>
  <si>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</si>
  <si>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</si>
  <si>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</si>
  <si>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</si>
  <si>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</si>
  <si>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</si>
  <si>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</si>
  <si>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</si>
  <si>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</si>
  <si>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</si>
  <si>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</si>
  <si>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</si>
  <si>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</si>
  <si>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</si>
  <si>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</si>
  <si>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</si>
  <si>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</si>
  <si>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</si>
  <si>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</si>
  <si>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</si>
  <si>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</si>
  <si>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</si>
  <si>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</si>
  <si>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</si>
  <si>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</si>
  <si>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</si>
  <si>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</si>
  <si>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</si>
  <si>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</si>
  <si>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</si>
  <si>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</si>
  <si>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</si>
  <si>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</si>
  <si>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</si>
  <si>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</si>
  <si>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</si>
  <si>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</si>
  <si>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</si>
  <si>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</si>
  <si>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</si>
  <si>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</si>
  <si>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</si>
  <si>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</si>
  <si>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</si>
  <si>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</si>
  <si>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</si>
  <si>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</si>
  <si>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</si>
  <si>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</si>
  <si>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</si>
  <si>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</si>
  <si>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</si>
  <si>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</si>
  <si>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</si>
  <si>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</si>
  <si>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</si>
  <si>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</si>
  <si>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</si>
  <si>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</si>
  <si>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ESTIMATED EFFECT OF PROPOSED PRICES</t>
  </si>
  <si>
    <t>ON REVENUES FROM ELECTRIC SALES TO ULTIMATE CONSUMERS</t>
  </si>
  <si>
    <t>IN WASHINGTON</t>
  </si>
  <si>
    <t>12 MONTHS ENDED JUNE 2008 PRO FORMA</t>
  </si>
  <si>
    <t>Actual</t>
  </si>
  <si>
    <t>Proposed</t>
  </si>
  <si>
    <t xml:space="preserve">Proposed </t>
  </si>
  <si>
    <t>Curr.</t>
  </si>
  <si>
    <t>Avg.</t>
  </si>
  <si>
    <t>Sch.</t>
  </si>
  <si>
    <t>Cust.</t>
  </si>
  <si>
    <t>MWH</t>
  </si>
  <si>
    <t>Deferral</t>
  </si>
  <si>
    <t>Cents/</t>
  </si>
  <si>
    <t>%</t>
  </si>
  <si>
    <t>(cents/kWh)</t>
  </si>
  <si>
    <t>(1)</t>
  </si>
  <si>
    <t>(2)</t>
  </si>
  <si>
    <t>(3)</t>
  </si>
  <si>
    <t>(4)</t>
  </si>
  <si>
    <t>(5)</t>
  </si>
  <si>
    <t>(6)</t>
  </si>
  <si>
    <t>(7)</t>
  </si>
  <si>
    <t>(8)</t>
  </si>
  <si>
    <t>(10)</t>
  </si>
  <si>
    <t>(5)+(7)</t>
  </si>
  <si>
    <t>(7)/(5)</t>
  </si>
  <si>
    <t>(7/4)</t>
  </si>
  <si>
    <t>Residential Service</t>
  </si>
  <si>
    <t>16/18</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</si>
  <si>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</si>
  <si>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</si>
  <si>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</si>
  <si>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</si>
  <si>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</si>
  <si>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</si>
  <si>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</si>
  <si>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</si>
  <si>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</si>
  <si>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</si>
  <si>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</si>
  <si>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</si>
  <si>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</si>
  <si>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</si>
  <si>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</si>
  <si>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</si>
  <si>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</si>
  <si>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</si>
  <si>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</si>
  <si>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</si>
  <si>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</si>
  <si>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</si>
  <si>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</si>
  <si>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</si>
  <si>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</si>
  <si>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</si>
  <si>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</si>
  <si>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</si>
  <si>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</si>
  <si>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</si>
  <si>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</si>
  <si>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</si>
  <si>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</si>
  <si>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</si>
  <si>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</si>
  <si>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</si>
  <si>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</si>
  <si>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</si>
  <si>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</si>
  <si>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</si>
  <si>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</si>
  <si>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</si>
  <si>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</si>
  <si>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</si>
  <si>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</si>
  <si>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</si>
  <si>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</si>
  <si>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</si>
  <si>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</si>
  <si>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</si>
  <si>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</si>
  <si>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</si>
  <si>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</si>
  <si>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</si>
  <si>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</si>
  <si>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</si>
  <si>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</si>
  <si>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</si>
  <si>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</si>
  <si>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</si>
  <si>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</si>
  <si>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</si>
  <si>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</si>
  <si>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</si>
  <si>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</si>
  <si>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</si>
  <si>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</si>
  <si>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</si>
  <si>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</si>
  <si>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</si>
  <si>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</si>
  <si>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</si>
  <si>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</si>
  <si>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</si>
  <si>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</si>
  <si>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</si>
  <si>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</si>
  <si>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</si>
  <si>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</si>
  <si>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</si>
  <si>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</si>
  <si>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</si>
  <si>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</si>
  <si>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</si>
  <si>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</si>
  <si>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</si>
  <si>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</si>
  <si>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</si>
  <si>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</si>
  <si>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</si>
  <si>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</si>
  <si>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</si>
  <si>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</si>
  <si>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</si>
  <si>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</si>
  <si>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</si>
  <si>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</si>
  <si>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</si>
  <si>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</si>
  <si>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</si>
  <si>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</si>
  <si>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</si>
  <si>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</si>
  <si>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</si>
  <si>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</si>
  <si>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</si>
  <si>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</si>
  <si>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</si>
  <si>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</si>
  <si>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</si>
  <si>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</si>
  <si>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</si>
  <si>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</si>
  <si>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</si>
  <si>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</si>
  <si>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</si>
  <si>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</si>
  <si>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</si>
  <si>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</si>
  <si>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</si>
  <si>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</si>
  <si>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</si>
  <si>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</si>
  <si>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</si>
  <si>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</si>
  <si>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</si>
  <si>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</si>
  <si>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</si>
  <si>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</si>
  <si>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</si>
  <si>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</si>
  <si>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</si>
  <si>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</si>
  <si>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</si>
  <si>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</si>
  <si>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</si>
  <si>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</si>
  <si>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</si>
  <si>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</si>
  <si>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</si>
  <si>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</si>
  <si>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</si>
  <si>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</si>
  <si>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</si>
  <si>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</si>
  <si>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</si>
  <si>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</si>
  <si>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</si>
  <si>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</si>
  <si>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</si>
  <si>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</si>
  <si>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</si>
  <si>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</si>
  <si>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</si>
  <si>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</si>
  <si>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</si>
  <si>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</si>
  <si>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</si>
  <si>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</si>
  <si>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</si>
  <si>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</si>
  <si>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</si>
  <si>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</si>
  <si>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</si>
  <si>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</si>
  <si>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</si>
  <si>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</si>
  <si>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</si>
  <si>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</si>
  <si>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</si>
  <si>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</si>
  <si>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</si>
  <si>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</si>
  <si>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</si>
  <si>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</si>
  <si>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</si>
  <si>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</si>
  <si>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</si>
  <si>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</si>
  <si>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</si>
  <si>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</si>
  <si>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</si>
  <si>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</si>
  <si>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</si>
  <si>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</si>
  <si>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</si>
  <si>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</si>
  <si>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</si>
  <si>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</si>
  <si>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</si>
  <si>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</si>
  <si>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</si>
  <si>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</si>
  <si>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</si>
  <si>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</si>
  <si>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</si>
  <si>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</si>
  <si>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</si>
  <si>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</si>
  <si>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</si>
  <si>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</si>
  <si>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Dollar</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</si>
  <si>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</si>
  <si>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</si>
  <si>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</si>
  <si>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</si>
  <si>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</si>
  <si>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</si>
  <si>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</si>
  <si>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</si>
  <si>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</si>
  <si>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</si>
  <si>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</si>
  <si>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</si>
  <si>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</si>
  <si>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</si>
  <si>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</si>
  <si>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</si>
  <si>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</si>
  <si>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</si>
  <si>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</si>
  <si>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</si>
  <si>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</si>
  <si>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</si>
  <si>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</si>
  <si>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</si>
  <si>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</si>
  <si>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</si>
  <si>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</si>
  <si>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</si>
  <si>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</si>
  <si>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</si>
  <si>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</si>
  <si>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</si>
  <si>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</si>
  <si>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</si>
  <si>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</si>
  <si>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</si>
  <si>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</si>
  <si>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</si>
  <si>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</si>
  <si>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</si>
  <si>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</si>
  <si>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</si>
  <si>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</si>
  <si>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</si>
  <si>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</si>
  <si>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</si>
  <si>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</si>
  <si>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</si>
  <si>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</si>
  <si>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</si>
  <si>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</si>
  <si>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</si>
  <si>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</si>
  <si>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</si>
  <si>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</si>
  <si>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</si>
  <si>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</si>
  <si>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</si>
  <si>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</si>
  <si>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</si>
  <si>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</si>
  <si>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</si>
  <si>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</si>
  <si>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</si>
  <si>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</si>
  <si>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</si>
  <si>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</si>
  <si>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</si>
  <si>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</si>
  <si>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</si>
  <si>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</si>
  <si>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</si>
  <si>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</si>
  <si>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</si>
  <si>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</si>
  <si>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</si>
  <si>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</si>
  <si>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</si>
  <si>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</si>
  <si>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</si>
  <si>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</si>
  <si>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</si>
  <si>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</si>
  <si>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</si>
  <si>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</si>
  <si>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TABLE A. PRESENT AND TARGETED RATES</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</si>
  <si>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</si>
  <si>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</si>
  <si>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</si>
  <si>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</si>
  <si>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</si>
  <si>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</si>
  <si>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</si>
  <si>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</si>
  <si>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</si>
  <si>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</si>
  <si>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</si>
  <si>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</si>
  <si>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</si>
  <si>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</si>
  <si>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</si>
  <si>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</si>
  <si>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</si>
  <si>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</si>
  <si>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</si>
  <si>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</si>
  <si>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</si>
  <si>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</si>
  <si>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</si>
  <si>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</si>
  <si>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</si>
  <si>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</si>
  <si>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</si>
  <si>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</si>
  <si>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</si>
  <si>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</si>
  <si>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</si>
  <si>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</si>
  <si>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</si>
  <si>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</si>
  <si>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</si>
  <si>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</si>
  <si>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</si>
  <si>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</si>
  <si>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</si>
  <si>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</si>
  <si>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</si>
  <si>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</si>
  <si>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</si>
  <si>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</si>
  <si>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</si>
  <si>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</si>
  <si>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</si>
  <si>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</si>
  <si>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</si>
  <si>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</si>
  <si>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</si>
  <si>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</si>
  <si>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</si>
  <si>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</si>
  <si>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</si>
  <si>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</si>
  <si>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</si>
  <si>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</si>
  <si>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</si>
  <si>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</si>
  <si>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</si>
  <si>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</si>
  <si>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</si>
  <si>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</si>
  <si>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</si>
  <si>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</si>
  <si>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</si>
  <si>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</si>
  <si>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</si>
  <si>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</si>
  <si>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</si>
  <si>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</si>
  <si>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</si>
  <si>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</si>
  <si>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</si>
  <si>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</si>
  <si>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</si>
  <si>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</si>
  <si>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</si>
  <si>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</si>
  <si>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</si>
  <si>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</si>
  <si>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</si>
  <si>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</si>
  <si>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</si>
  <si>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</si>
  <si>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</si>
  <si>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</si>
  <si>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</si>
  <si>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</si>
  <si>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</si>
  <si>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</si>
  <si>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</si>
  <si>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</si>
  <si>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</si>
  <si>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</si>
  <si>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</si>
  <si>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</si>
  <si>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</si>
  <si>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</si>
  <si>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</si>
  <si>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</si>
  <si>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</si>
  <si>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Monthly Basic Charge</t>
  </si>
  <si>
    <t>Large General Service 30,000 kW and over-Primary Dedicated Facilities</t>
  </si>
  <si>
    <r>
      <t xml:space="preserve">Monthly Energy Charge </t>
    </r>
    <r>
      <rPr>
        <vertAlign val="superscript"/>
        <sz val="11"/>
        <rFont val="Times New Roman"/>
        <family val="1"/>
      </rPr>
      <t>1</t>
    </r>
  </si>
  <si>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</si>
  <si>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</si>
  <si>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</si>
  <si>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</si>
  <si>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</si>
  <si>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</si>
  <si>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</si>
  <si>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</si>
  <si>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</si>
  <si>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</si>
  <si>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</si>
  <si>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</si>
  <si>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</si>
  <si>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</si>
  <si>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</si>
  <si>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</si>
  <si>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</si>
  <si>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</si>
  <si>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</si>
  <si>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</si>
  <si>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</si>
  <si>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</si>
  <si>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</si>
  <si>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</si>
  <si>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</si>
  <si>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</si>
  <si>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</si>
  <si>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</si>
  <si>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</si>
  <si>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</si>
  <si>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</si>
  <si>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</si>
  <si>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</si>
  <si>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</si>
  <si>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</si>
  <si>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</si>
  <si>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</si>
  <si>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</si>
  <si>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</si>
  <si>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</si>
  <si>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</si>
  <si>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</si>
  <si>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</si>
  <si>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</si>
  <si>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</si>
  <si>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</si>
  <si>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</si>
  <si>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</si>
  <si>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</si>
  <si>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</si>
  <si>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</si>
  <si>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</si>
  <si>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</si>
  <si>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</si>
  <si>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</si>
  <si>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</si>
  <si>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</si>
  <si>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</si>
  <si>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</si>
  <si>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</si>
  <si>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</si>
  <si>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ESTIMATED EFFECT OF PROPOSED BASE RATE INCREASE</t>
  </si>
  <si>
    <r>
      <t xml:space="preserve">       </t>
    </r>
    <r>
      <rPr>
        <vertAlign val="superscript"/>
        <sz val="10"/>
        <rFont val="Times New Roman"/>
        <family val="1"/>
      </rPr>
      <t>1</t>
    </r>
    <r>
      <rPr>
        <sz val="10"/>
        <rFont val="Times New Roman"/>
        <family val="1"/>
      </rPr>
      <t xml:space="preserve"> Includes SBC Charge, Low Income Charge, Deferral Surcharge and BPA Credit.</t>
    </r>
  </si>
  <si>
    <t xml:space="preserve">       * Includes SBC Charge, Deferral Surcharge and Low Income Charge.</t>
  </si>
  <si>
    <t xml:space="preserve">       * Includes SBC Charge BPA Credit, Deferral Surcharge and Low Income charge.</t>
  </si>
  <si>
    <t>Large Partial Requirements Service - Secondary</t>
  </si>
  <si>
    <t>NPC-Base - NPC per kWh *</t>
  </si>
  <si>
    <t>*Included in Generation Price</t>
  </si>
  <si>
    <t>NPC-Base - All kWh *</t>
  </si>
  <si>
    <t xml:space="preserve">LED </t>
  </si>
  <si>
    <t>(6/4)</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</si>
  <si>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</si>
  <si>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</si>
  <si>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</si>
  <si>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</si>
  <si>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</si>
  <si>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</si>
  <si>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</si>
  <si>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</si>
  <si>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</si>
  <si>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</si>
  <si>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</si>
  <si>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</si>
  <si>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</si>
  <si>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</si>
  <si>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</si>
  <si>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</si>
  <si>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</si>
  <si>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</si>
  <si>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</si>
  <si>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</si>
  <si>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</si>
  <si>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</si>
  <si>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</si>
  <si>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</si>
  <si>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</si>
  <si>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</si>
  <si>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</si>
  <si>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</si>
  <si>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</si>
  <si>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</si>
  <si>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</si>
  <si>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</si>
  <si>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</si>
  <si>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</si>
  <si>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</si>
  <si>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</si>
  <si>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</si>
  <si>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</si>
  <si>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</si>
  <si>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</si>
  <si>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</si>
  <si>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</si>
  <si>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</si>
  <si>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</si>
  <si>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</si>
  <si>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</si>
  <si>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</si>
  <si>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</si>
  <si>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</si>
  <si>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</si>
  <si>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</si>
  <si>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</si>
  <si>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</si>
  <si>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</si>
  <si>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</si>
  <si>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</si>
  <si>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</si>
  <si>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</si>
  <si>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</si>
  <si>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</si>
  <si>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</si>
  <si>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</si>
  <si>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</si>
  <si>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</si>
  <si>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</si>
  <si>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</si>
  <si>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</si>
  <si>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</si>
  <si>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</si>
  <si>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</si>
  <si>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</si>
  <si>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</si>
  <si>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</si>
  <si>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</si>
  <si>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</si>
  <si>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</si>
  <si>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</si>
  <si>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</si>
  <si>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</si>
  <si>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</si>
  <si>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</si>
  <si>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</si>
  <si>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</si>
  <si>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</si>
  <si>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</si>
  <si>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</si>
  <si>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</si>
  <si>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</si>
  <si>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</si>
  <si>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</si>
  <si>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</si>
  <si>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</si>
  <si>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</si>
  <si>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</si>
  <si>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</si>
  <si>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</si>
  <si>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</si>
  <si>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</si>
  <si>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</si>
  <si>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</si>
  <si>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</si>
  <si>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</si>
  <si>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</si>
  <si>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</si>
  <si>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</si>
  <si>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</si>
  <si>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</si>
  <si>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</si>
  <si>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</si>
  <si>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</si>
  <si>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</si>
  <si>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</si>
  <si>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</si>
  <si>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</si>
  <si>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12 MONTHS ENDED DECEMBER 2019</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</si>
  <si>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</si>
  <si>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</si>
  <si>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</si>
  <si>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</si>
  <si>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</si>
  <si>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</si>
  <si>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</si>
  <si>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</si>
  <si>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</si>
  <si>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</si>
  <si>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</si>
  <si>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</si>
  <si>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</si>
  <si>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</si>
  <si>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</si>
  <si>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</si>
  <si>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</si>
  <si>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02LGSV048B - Boise</t>
  </si>
  <si>
    <t>and tolerance adjustment 16,180.</t>
  </si>
  <si>
    <r>
      <t>1</t>
    </r>
    <r>
      <rPr>
        <sz val="12"/>
        <rFont val="Times New Roman"/>
        <family val="1"/>
      </rPr>
      <t xml:space="preserve"> Temperature normalization -77,101,943 kWh, and Out of Period 718,779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</si>
</sst>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_);_(* \(#,##0.0000\);_(* &quot;-&quot;??_);_(@_)"/>
    <numFmt numFmtId="179" formatCode="_(* #,##0.00000_);_(* \(#,##0.00000\);_(* &quot;-&quot;??_);_(@_)"/>
    <numFmt numFmtId="180" formatCode="0.000"/>
    <numFmt numFmtId="181" formatCode="########\-###\-###"/>
    <numFmt numFmtId="182" formatCode="#,##0.000_);\(#,##0.000\)"/>
    <numFmt numFmtId="183" formatCode="_(* #,##0.000_);_(* \(#,##0.000\);_(* &quot;-&quot;??_);_(@_)"/>
    <numFmt numFmtId="184" formatCode="0.000_)"/>
    <numFmt numFmtId="185" formatCode="0.000000_)"/>
    <numFmt numFmtId="186" formatCode="0.00000000_)"/>
    <numFmt numFmtId="187" formatCode="&quot;$&quot;#,##0.000_);\(&quot;$&quot;#,##0.000\)"/>
    <numFmt numFmtId="188" formatCode="0.0000_)"/>
    <numFmt numFmtId="189" formatCode="0.00_)"/>
    <numFmt numFmtId="190" formatCode="0.000000000_)"/>
    <numFmt numFmtId="191" formatCode="#,##0.0_);\(#,##0.0\)"/>
    <numFmt numFmtId="192" formatCode="#,##0.000"/>
    <numFmt numFmtId="193" formatCode="#,##0;\-#,##0;#,##0"/>
    <numFmt numFmtId="194" formatCode="&quot;$&quot;#,##0.000000_);\(&quot;$&quot;#,##0.000000\)"/>
    <numFmt numFmtId="195" formatCode="_(&quot;$&quot;* #,##0.00000_);_(&quot;$&quot;* \(#,##0.00000\);_(&quot;$&quot;* &quot;-&quot;??_);_(@_)"/>
    <numFmt numFmtId="196" formatCode="0.000%"/>
    <numFmt numFmtId="197" formatCode="0.00000%"/>
    <numFmt numFmtId="198" formatCode="0.000000%"/>
    <numFmt numFmtId="199" formatCode="#,##0.0000000"/>
    <numFmt numFmtId="200" formatCode="_(* #,##0.00000000_);_(* \(#,##0.00000000\);_(* &quot;-&quot;??_);_(@_)"/>
    <numFmt numFmtId="201" formatCode="0.0000000%"/>
    <numFmt numFmtId="202" formatCode="0.00000000000000%"/>
    <numFmt numFmtId="203" formatCode="_(&quot;$&quot;* #,##0.000000_);_(&quot;$&quot;* \(#,##0.000000\);_(&quot;$&quot;* &quot;-&quot;??_);_(@_)"/>
    <numFmt numFmtId="204" formatCode="#,##0_)"/>
    <numFmt numFmtId="205" formatCode="#,##0.00;\-#,##0.00"/>
    <numFmt numFmtId="206" formatCode="0_);\(0\)"/>
    <numFmt numFmtId="207" formatCode="_(* #,##0.000000_);_(* \(#,##0.000000\);_(* &quot;-&quot;??_);_(@_)"/>
    <numFmt numFmtId="208" formatCode="&quot;$&quot;#,##0.0_);\(&quot;$&quot;#,##0.0\)"/>
    <numFmt numFmtId="209" formatCode="&quot;$&quot;#,##0_)"/>
    <numFmt numFmtId="210" formatCode="_(&quot;$&quot;* #,##0.000_);_(&quot;$&quot;* \(#,##0.000\);_(&quot;$&quot;* &quot;-&quot;_);_(@_)"/>
    <numFmt numFmtId="211" formatCode="\$#,##0.00;&quot;($&quot;#,##0.00\)"/>
    <numFmt numFmtId="212" formatCode="0.00000"/>
    <numFmt numFmtId="213" formatCode="&quot;$&quot;#,##0.00_)"/>
  </numFmts>
  <fonts count="68">
    <font>
      <sz val="12"/>
      <name val="Times New Roman"/>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81"/>
      <name val="Tahoma"/>
      <family val="2"/>
    </font>
    <font>
      <b/>
      <sz val="11"/>
      <name val="TimesNewRomanPS"/>
    </font>
    <font>
      <sz val="11"/>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b/>
      <sz val="14"/>
      <name val="Times New Roman"/>
      <family val="1"/>
    </font>
    <font>
      <u/>
      <sz val="11"/>
      <name val="Times New Roman"/>
      <family val="1"/>
    </font>
    <font>
      <sz val="14"/>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b/>
      <i/>
      <sz val="12"/>
      <name val="Times New Roman"/>
      <family val="1"/>
    </font>
    <font>
      <sz val="9"/>
      <name val="Arial"/>
      <family val="2"/>
    </font>
  </fonts>
  <fills count="2">
    <fill>
      <patternFill patternType="none"/>
    </fill>
    <fill>
      <patternFill patternType="gray125"/>
    </fill>
  </fills>
  <borders count="70">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s>
  <cellStyleXfs count="45">
    <xf numFmtId="0" fontId="0" fillId="0" borderId="0"/>
    <xf numFmtId="43" fontId="3" fillId="0" borderId="0" applyFont="0" applyFill="0" applyBorder="0" applyAlignment="0" applyProtection="0"/>
    <xf numFmtId="44" fontId="3" fillId="0" borderId="0" applyFont="0" applyFill="0" applyBorder="0" applyAlignment="0" applyProtection="0"/>
    <xf numFmtId="0" fontId="18" fillId="0" borderId="0" applyFont="0" applyFill="0" applyBorder="0" applyAlignment="0" applyProtection="0">
      <alignment horizontal="left"/>
    </xf>
    <xf numFmtId="181" fontId="3" fillId="0" borderId="0"/>
    <xf numFmtId="168" fontId="7" fillId="0" borderId="0" applyFont="0" applyAlignment="0" applyProtection="0"/>
    <xf numFmtId="0" fontId="3" fillId="0" borderId="0"/>
    <xf numFmtId="0" fontId="3" fillId="0" borderId="0"/>
    <xf numFmtId="0" fontId="11" fillId="0" borderId="0"/>
    <xf numFmtId="0" fontId="24" fillId="0" borderId="0"/>
    <xf numFmtId="0" fontId="24" fillId="0" borderId="0"/>
    <xf numFmtId="0" fontId="11" fillId="0" borderId="0"/>
    <xf numFmtId="0" fontId="11" fillId="0" borderId="0"/>
    <xf numFmtId="9" fontId="3" fillId="0" borderId="0" applyFont="0" applyFill="0" applyBorder="0" applyAlignment="0" applyProtection="0"/>
    <xf numFmtId="169" fontId="19" fillId="0" borderId="0">
      <alignment horizontal="left"/>
    </xf>
    <xf numFmtId="0" fontId="3" fillId="0" borderId="0">
      <alignment wrapText="1"/>
    </xf>
    <xf numFmtId="0" fontId="51" fillId="0" borderId="0"/>
    <xf numFmtId="43" fontId="51" fillId="0" borderId="0" applyFont="0" applyFill="0" applyBorder="0" applyAlignment="0" applyProtection="0"/>
    <xf numFmtId="0" fontId="52" fillId="0" borderId="0"/>
    <xf numFmtId="0" fontId="5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10" fillId="0" borderId="0"/>
    <xf numFmtId="0" fontId="10" fillId="0" borderId="0"/>
    <xf numFmtId="0" fontId="3" fillId="0" borderId="0"/>
    <xf numFmtId="43" fontId="3" fillId="0" borderId="0" applyFont="0" applyFill="0" applyBorder="0" applyAlignment="0" applyProtection="0"/>
    <xf numFmtId="0" fontId="10" fillId="0" borderId="0"/>
    <xf numFmtId="0" fontId="3" fillId="0" borderId="0">
      <alignment wrapText="1"/>
    </xf>
    <xf numFmtId="0" fontId="58" fillId="0" borderId="0">
      <alignment wrapText="1"/>
    </xf>
    <xf numFmtId="43" fontId="2" fillId="0" borderId="0" applyFont="0" applyFill="0" applyBorder="0" applyAlignment="0" applyProtection="0"/>
    <xf numFmtId="0" fontId="2" fillId="0" borderId="0"/>
    <xf numFmtId="9" fontId="2" fillId="0" borderId="0" applyFont="0" applyFill="0" applyBorder="0" applyAlignment="0" applyProtection="0"/>
    <xf numFmtId="41" fontId="59" fillId="0" borderId="0" applyFont="0" applyFill="0" applyBorder="0" applyAlignment="0" applyProtection="0"/>
    <xf numFmtId="44" fontId="3" fillId="0" borderId="0" applyFont="0" applyFill="0" applyBorder="0" applyAlignment="0" applyProtection="0"/>
    <xf numFmtId="0" fontId="60" fillId="0" borderId="0">
      <alignment wrapText="1"/>
    </xf>
    <xf numFmtId="44" fontId="42" fillId="0" borderId="0" applyFont="0" applyFill="0" applyBorder="0" applyAlignment="0" applyProtection="0"/>
    <xf numFmtId="0" fontId="42" fillId="0" borderId="0"/>
    <xf numFmtId="0" fontId="3" fillId="0" borderId="0"/>
    <xf numFmtId="0" fontId="61" fillId="0" borderId="0"/>
    <xf numFmtId="9" fontId="3" fillId="0" borderId="0" applyFont="0" applyFill="0" applyBorder="0" applyAlignment="0" applyProtection="0"/>
    <xf numFmtId="0" fontId="10" fillId="0" borderId="0"/>
    <xf numFmtId="0" fontId="1" fillId="0" borderId="0"/>
    <xf numFmtId="0" fontId="1" fillId="0" borderId="0"/>
    <xf numFmtId="0" fontId="1" fillId="0" borderId="0"/>
  </cellStyleXfs>
  <cellXfs count="1116">
    <xf numFmtId="0" fontId="0" fillId="0" borderId="0" xfId="0"/>
    <xf numFmtId="0" fontId="4" fillId="0" borderId="0" xfId="0" applyFont="1" applyFill="1" applyProtection="1"/>
    <xf numFmtId="5" fontId="4" fillId="0" borderId="0" xfId="0" applyNumberFormat="1" applyFont="1" applyFill="1" applyProtection="1"/>
    <xf numFmtId="0" fontId="0" fillId="0" borderId="0" xfId="0" applyFill="1"/>
    <xf numFmtId="0" fontId="10" fillId="0" borderId="0" xfId="0" applyFont="1" applyFill="1"/>
    <xf numFmtId="0" fontId="12" fillId="0" borderId="0" xfId="0" applyFont="1" applyFill="1"/>
    <xf numFmtId="0" fontId="10" fillId="0" borderId="4" xfId="0" applyFont="1" applyFill="1" applyBorder="1"/>
    <xf numFmtId="0" fontId="10" fillId="0" borderId="0" xfId="0" applyFont="1" applyFill="1" applyBorder="1"/>
    <xf numFmtId="168" fontId="10" fillId="0" borderId="0" xfId="0" applyNumberFormat="1" applyFont="1" applyFill="1"/>
    <xf numFmtId="168" fontId="10" fillId="0" borderId="0" xfId="0" applyNumberFormat="1" applyFont="1" applyFill="1" applyBorder="1"/>
    <xf numFmtId="168" fontId="10" fillId="0" borderId="5" xfId="0" applyNumberFormat="1" applyFont="1" applyFill="1" applyBorder="1"/>
    <xf numFmtId="0" fontId="8" fillId="0" borderId="0" xfId="0" applyFont="1" applyFill="1"/>
    <xf numFmtId="168" fontId="8" fillId="0" borderId="0" xfId="0" applyNumberFormat="1" applyFont="1" applyFill="1"/>
    <xf numFmtId="0" fontId="13" fillId="0" borderId="0" xfId="0" applyFont="1" applyFill="1"/>
    <xf numFmtId="171" fontId="11" fillId="0" borderId="0" xfId="13" applyNumberFormat="1" applyFont="1" applyFill="1"/>
    <xf numFmtId="168" fontId="0" fillId="0" borderId="0" xfId="0" applyNumberFormat="1" applyFill="1"/>
    <xf numFmtId="171" fontId="8" fillId="0" borderId="0" xfId="13" applyNumberFormat="1" applyFont="1" applyFill="1"/>
    <xf numFmtId="168" fontId="13" fillId="0" borderId="0" xfId="0" applyNumberFormat="1" applyFont="1" applyFill="1"/>
    <xf numFmtId="171" fontId="13" fillId="0" borderId="0" xfId="13" applyNumberFormat="1" applyFont="1" applyFill="1"/>
    <xf numFmtId="0" fontId="0" fillId="0" borderId="0" xfId="0" applyFill="1" applyAlignment="1">
      <alignment horizontal="center"/>
    </xf>
    <xf numFmtId="0" fontId="0" fillId="0" borderId="0" xfId="0" applyFill="1" applyBorder="1"/>
    <xf numFmtId="37" fontId="4" fillId="0" borderId="0" xfId="0" applyNumberFormat="1" applyFont="1" applyFill="1" applyProtection="1"/>
    <xf numFmtId="0" fontId="0" fillId="0" borderId="0" xfId="0" applyFill="1" applyAlignment="1">
      <alignment horizontal="left"/>
    </xf>
    <xf numFmtId="0" fontId="4" fillId="0" borderId="0" xfId="0" applyFont="1" applyFill="1" applyBorder="1" applyProtection="1"/>
    <xf numFmtId="167" fontId="4" fillId="0" borderId="0" xfId="2" applyNumberFormat="1" applyFont="1" applyFill="1" applyProtection="1"/>
    <xf numFmtId="37" fontId="4" fillId="0" borderId="0" xfId="0" applyNumberFormat="1" applyFont="1" applyFill="1" applyBorder="1" applyProtection="1"/>
    <xf numFmtId="0" fontId="10" fillId="0" borderId="12" xfId="0" applyFont="1" applyFill="1" applyBorder="1" applyAlignment="1">
      <alignment horizontal="center"/>
    </xf>
    <xf numFmtId="0" fontId="10" fillId="0" borderId="13" xfId="0" applyFont="1" applyFill="1" applyBorder="1" applyAlignment="1">
      <alignment horizontal="center"/>
    </xf>
    <xf numFmtId="165" fontId="10" fillId="0" borderId="0" xfId="0" applyNumberFormat="1" applyFont="1" applyFill="1" applyBorder="1"/>
    <xf numFmtId="165" fontId="10" fillId="0" borderId="4" xfId="0" applyNumberFormat="1" applyFont="1" applyFill="1" applyBorder="1"/>
    <xf numFmtId="165" fontId="8" fillId="0" borderId="0" xfId="0" applyNumberFormat="1" applyFont="1" applyFill="1" applyBorder="1"/>
    <xf numFmtId="3" fontId="10" fillId="0" borderId="0" xfId="0" applyNumberFormat="1" applyFont="1" applyFill="1" applyBorder="1"/>
    <xf numFmtId="0" fontId="10" fillId="0" borderId="14" xfId="0" applyFont="1" applyFill="1" applyBorder="1"/>
    <xf numFmtId="0" fontId="10" fillId="0" borderId="15" xfId="0" applyFont="1" applyFill="1" applyBorder="1"/>
    <xf numFmtId="0" fontId="12" fillId="0" borderId="16" xfId="0" applyFont="1" applyFill="1" applyBorder="1"/>
    <xf numFmtId="168" fontId="10" fillId="0" borderId="16" xfId="0" applyNumberFormat="1" applyFont="1" applyFill="1" applyBorder="1"/>
    <xf numFmtId="165" fontId="10" fillId="0" borderId="15" xfId="0" applyNumberFormat="1" applyFont="1" applyFill="1" applyBorder="1"/>
    <xf numFmtId="0" fontId="13" fillId="0" borderId="17" xfId="0" applyFont="1" applyFill="1" applyBorder="1"/>
    <xf numFmtId="165" fontId="10" fillId="0" borderId="16" xfId="0" applyNumberFormat="1" applyFont="1" applyFill="1" applyBorder="1"/>
    <xf numFmtId="0" fontId="10" fillId="0" borderId="0" xfId="0" applyFont="1" applyFill="1" applyBorder="1" applyAlignment="1">
      <alignment horizontal="center"/>
    </xf>
    <xf numFmtId="3" fontId="10" fillId="0" borderId="18" xfId="0" applyNumberFormat="1" applyFont="1" applyFill="1" applyBorder="1"/>
    <xf numFmtId="0" fontId="0" fillId="0" borderId="5" xfId="0" applyFill="1" applyBorder="1"/>
    <xf numFmtId="0" fontId="17" fillId="0" borderId="0" xfId="0" quotePrefix="1" applyFont="1" applyFill="1" applyAlignment="1">
      <alignment horizontal="center"/>
    </xf>
    <xf numFmtId="0" fontId="14" fillId="0" borderId="0" xfId="0" applyFont="1" applyFill="1" applyAlignment="1"/>
    <xf numFmtId="0" fontId="10" fillId="0" borderId="0" xfId="0" applyFont="1" applyFill="1" applyBorder="1" applyAlignment="1"/>
    <xf numFmtId="3" fontId="10" fillId="0" borderId="4" xfId="0" applyNumberFormat="1" applyFont="1" applyFill="1" applyBorder="1" applyAlignment="1"/>
    <xf numFmtId="0" fontId="10" fillId="0" borderId="0" xfId="0" applyFont="1" applyFill="1" applyAlignment="1"/>
    <xf numFmtId="168" fontId="10" fillId="0" borderId="4" xfId="0" applyNumberFormat="1" applyFont="1" applyFill="1" applyBorder="1"/>
    <xf numFmtId="0" fontId="10" fillId="0" borderId="29" xfId="0" applyFont="1" applyFill="1" applyBorder="1"/>
    <xf numFmtId="0" fontId="16" fillId="0" borderId="0" xfId="0" applyFont="1" applyFill="1" applyAlignment="1">
      <alignment horizontal="centerContinuous"/>
    </xf>
    <xf numFmtId="5" fontId="4" fillId="0" borderId="0" xfId="0" applyNumberFormat="1" applyFont="1" applyFill="1" applyBorder="1" applyProtection="1"/>
    <xf numFmtId="0" fontId="24" fillId="0" borderId="0" xfId="9" applyFont="1" applyFill="1"/>
    <xf numFmtId="0" fontId="0" fillId="0" borderId="0" xfId="0" applyFill="1" applyAlignment="1">
      <alignment horizontal="right"/>
    </xf>
    <xf numFmtId="0" fontId="0" fillId="0" borderId="11" xfId="0" applyFill="1" applyBorder="1"/>
    <xf numFmtId="171" fontId="10" fillId="0" borderId="0" xfId="13" applyNumberFormat="1" applyFont="1" applyFill="1"/>
    <xf numFmtId="165" fontId="10" fillId="0" borderId="12" xfId="0" applyNumberFormat="1" applyFont="1" applyFill="1" applyBorder="1" applyAlignment="1">
      <alignment horizontal="center"/>
    </xf>
    <xf numFmtId="0" fontId="20" fillId="0" borderId="36" xfId="0" applyFont="1" applyFill="1" applyBorder="1" applyAlignment="1">
      <alignment horizontal="left"/>
    </xf>
    <xf numFmtId="0" fontId="0" fillId="0" borderId="28" xfId="0" applyFill="1" applyBorder="1"/>
    <xf numFmtId="3" fontId="12" fillId="0" borderId="0" xfId="0" applyNumberFormat="1" applyFont="1" applyFill="1"/>
    <xf numFmtId="165" fontId="10" fillId="0" borderId="0" xfId="0" applyNumberFormat="1" applyFont="1" applyFill="1" applyBorder="1" applyAlignment="1">
      <alignment horizontal="center"/>
    </xf>
    <xf numFmtId="0" fontId="15" fillId="0" borderId="0" xfId="0" applyFont="1" applyFill="1" applyAlignment="1">
      <alignment horizontal="center"/>
    </xf>
    <xf numFmtId="37" fontId="10" fillId="0" borderId="0" xfId="0" applyNumberFormat="1" applyFont="1" applyFill="1" applyProtection="1"/>
    <xf numFmtId="167" fontId="4"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21" fillId="0" borderId="0" xfId="0" applyNumberFormat="1" applyFont="1" applyFill="1"/>
    <xf numFmtId="3" fontId="0" fillId="0" borderId="0" xfId="0" applyNumberFormat="1" applyFill="1" applyBorder="1"/>
    <xf numFmtId="0" fontId="10" fillId="0" borderId="1" xfId="0" applyFont="1" applyFill="1" applyBorder="1" applyAlignment="1" applyProtection="1">
      <alignment horizontal="center"/>
    </xf>
    <xf numFmtId="5" fontId="10" fillId="0" borderId="1" xfId="0" applyNumberFormat="1" applyFont="1" applyFill="1" applyBorder="1" applyAlignment="1" applyProtection="1">
      <alignment horizontal="center"/>
    </xf>
    <xf numFmtId="0" fontId="10" fillId="0" borderId="10" xfId="0" applyFont="1" applyFill="1" applyBorder="1" applyAlignment="1" applyProtection="1">
      <alignment horizontal="center"/>
    </xf>
    <xf numFmtId="165" fontId="8" fillId="0" borderId="4" xfId="0" applyNumberFormat="1" applyFont="1" applyFill="1" applyBorder="1"/>
    <xf numFmtId="165" fontId="10" fillId="0" borderId="42" xfId="0" applyNumberFormat="1" applyFont="1" applyFill="1" applyBorder="1"/>
    <xf numFmtId="165" fontId="10" fillId="0" borderId="14" xfId="0" applyNumberFormat="1" applyFont="1" applyFill="1" applyBorder="1"/>
    <xf numFmtId="0" fontId="0" fillId="0" borderId="4" xfId="0" applyFill="1" applyBorder="1"/>
    <xf numFmtId="0" fontId="22" fillId="0" borderId="0" xfId="0" applyFont="1" applyFill="1"/>
    <xf numFmtId="0" fontId="15" fillId="0" borderId="28" xfId="0" applyFont="1" applyFill="1" applyBorder="1" applyAlignment="1">
      <alignment horizontal="center"/>
    </xf>
    <xf numFmtId="5" fontId="0" fillId="0" borderId="0" xfId="0" applyNumberFormat="1" applyFill="1"/>
    <xf numFmtId="0" fontId="0" fillId="0" borderId="39" xfId="0" applyFill="1" applyBorder="1"/>
    <xf numFmtId="0" fontId="24" fillId="0" borderId="0" xfId="9" applyFont="1" applyFill="1" applyAlignment="1">
      <alignment horizontal="center"/>
    </xf>
    <xf numFmtId="0" fontId="25" fillId="0" borderId="0" xfId="9" applyFont="1" applyFill="1"/>
    <xf numFmtId="3" fontId="10" fillId="0" borderId="0" xfId="0" applyNumberFormat="1" applyFont="1" applyFill="1"/>
    <xf numFmtId="14" fontId="15" fillId="0" borderId="12" xfId="0" applyNumberFormat="1" applyFont="1" applyFill="1" applyBorder="1" applyAlignment="1">
      <alignment horizontal="center"/>
    </xf>
    <xf numFmtId="165" fontId="9" fillId="0" borderId="0" xfId="0" applyNumberFormat="1" applyFont="1" applyFill="1" applyBorder="1"/>
    <xf numFmtId="165" fontId="10" fillId="0" borderId="45" xfId="0" applyNumberFormat="1" applyFont="1" applyFill="1" applyBorder="1"/>
    <xf numFmtId="3" fontId="10" fillId="0" borderId="4" xfId="0" applyNumberFormat="1" applyFont="1" applyFill="1" applyBorder="1"/>
    <xf numFmtId="3" fontId="8" fillId="0" borderId="0" xfId="0" applyNumberFormat="1" applyFont="1" applyFill="1" applyBorder="1"/>
    <xf numFmtId="3" fontId="8" fillId="0" borderId="4" xfId="0" applyNumberFormat="1" applyFont="1" applyFill="1" applyBorder="1"/>
    <xf numFmtId="168" fontId="9" fillId="0" borderId="0" xfId="0" applyNumberFormat="1" applyFont="1" applyFill="1" applyBorder="1"/>
    <xf numFmtId="168" fontId="9" fillId="0" borderId="4" xfId="0" applyNumberFormat="1" applyFont="1" applyFill="1" applyBorder="1"/>
    <xf numFmtId="3" fontId="10" fillId="0" borderId="15" xfId="0" applyNumberFormat="1" applyFont="1" applyFill="1" applyBorder="1"/>
    <xf numFmtId="168" fontId="10" fillId="0" borderId="12" xfId="0" applyNumberFormat="1" applyFont="1" applyFill="1" applyBorder="1"/>
    <xf numFmtId="168" fontId="10" fillId="0" borderId="13" xfId="0" applyNumberFormat="1" applyFont="1" applyFill="1" applyBorder="1"/>
    <xf numFmtId="3" fontId="10" fillId="0" borderId="28" xfId="0" applyNumberFormat="1" applyFont="1" applyFill="1" applyBorder="1"/>
    <xf numFmtId="3" fontId="10" fillId="0" borderId="16" xfId="0" applyNumberFormat="1" applyFont="1" applyFill="1" applyBorder="1"/>
    <xf numFmtId="3" fontId="10" fillId="0" borderId="45" xfId="0" applyNumberFormat="1" applyFont="1" applyFill="1" applyBorder="1"/>
    <xf numFmtId="0" fontId="10" fillId="0" borderId="28" xfId="0" applyFont="1" applyFill="1" applyBorder="1"/>
    <xf numFmtId="0" fontId="10" fillId="0" borderId="38" xfId="0" applyFont="1" applyFill="1" applyBorder="1"/>
    <xf numFmtId="168" fontId="11" fillId="0" borderId="0" xfId="1" applyNumberFormat="1" applyFont="1" applyFill="1"/>
    <xf numFmtId="167" fontId="11" fillId="0" borderId="0" xfId="2" applyNumberFormat="1" applyFont="1" applyFill="1"/>
    <xf numFmtId="3" fontId="12" fillId="0" borderId="0" xfId="0" applyNumberFormat="1" applyFont="1" applyFill="1" applyBorder="1"/>
    <xf numFmtId="8" fontId="12" fillId="0" borderId="0" xfId="0" applyNumberFormat="1" applyFont="1" applyFill="1" applyBorder="1"/>
    <xf numFmtId="3" fontId="22" fillId="0" borderId="0" xfId="0" applyNumberFormat="1" applyFont="1" applyFill="1" applyBorder="1"/>
    <xf numFmtId="8" fontId="10" fillId="0" borderId="0" xfId="0" applyNumberFormat="1" applyFont="1" applyFill="1" applyBorder="1"/>
    <xf numFmtId="0" fontId="12" fillId="0" borderId="0" xfId="0" applyFont="1" applyFill="1" applyBorder="1"/>
    <xf numFmtId="0" fontId="0" fillId="0" borderId="12" xfId="0" applyFill="1" applyBorder="1"/>
    <xf numFmtId="0" fontId="10" fillId="0" borderId="12" xfId="0" applyFont="1" applyFill="1" applyBorder="1"/>
    <xf numFmtId="3" fontId="10" fillId="0" borderId="12" xfId="0" applyNumberFormat="1" applyFont="1" applyFill="1" applyBorder="1"/>
    <xf numFmtId="165" fontId="10" fillId="0" borderId="0" xfId="0" applyNumberFormat="1" applyFont="1" applyFill="1" applyBorder="1" applyAlignment="1"/>
    <xf numFmtId="0" fontId="14" fillId="0" borderId="0" xfId="0" applyFont="1" applyFill="1" applyAlignment="1">
      <alignment horizontal="center"/>
    </xf>
    <xf numFmtId="43" fontId="3" fillId="0" borderId="0" xfId="1" applyFont="1" applyFill="1"/>
    <xf numFmtId="168" fontId="3" fillId="0" borderId="0" xfId="1" applyNumberFormat="1" applyFont="1" applyFill="1"/>
    <xf numFmtId="168" fontId="34" fillId="0" borderId="0" xfId="1" applyNumberFormat="1" applyFont="1" applyFill="1"/>
    <xf numFmtId="43" fontId="3" fillId="0" borderId="0" xfId="1" applyNumberFormat="1" applyFont="1" applyFill="1"/>
    <xf numFmtId="172" fontId="3" fillId="0" borderId="0" xfId="1" applyNumberFormat="1" applyFont="1" applyFill="1"/>
    <xf numFmtId="0" fontId="10" fillId="0" borderId="0" xfId="12" applyFont="1" applyFill="1" applyBorder="1"/>
    <xf numFmtId="0" fontId="36" fillId="0" borderId="0" xfId="11" quotePrefix="1" applyFont="1" applyFill="1" applyAlignment="1">
      <alignment horizontal="centerContinuous"/>
    </xf>
    <xf numFmtId="0" fontId="36" fillId="0" borderId="0" xfId="11" applyFont="1" applyFill="1" applyAlignment="1">
      <alignment horizontal="centerContinuous"/>
    </xf>
    <xf numFmtId="0" fontId="36" fillId="0" borderId="0" xfId="11" applyFont="1" applyFill="1" applyAlignment="1"/>
    <xf numFmtId="0" fontId="36" fillId="0" borderId="0" xfId="11" quotePrefix="1" applyFont="1" applyFill="1" applyAlignment="1"/>
    <xf numFmtId="0" fontId="36" fillId="0" borderId="0" xfId="11" applyFont="1" applyFill="1" applyBorder="1" applyAlignment="1">
      <alignment horizontal="center"/>
    </xf>
    <xf numFmtId="0" fontId="37" fillId="0" borderId="0" xfId="11" applyFont="1" applyFill="1" applyBorder="1" applyAlignment="1">
      <alignment horizontal="center"/>
    </xf>
    <xf numFmtId="184" fontId="10" fillId="0" borderId="0" xfId="0" applyNumberFormat="1" applyFont="1" applyFill="1" applyBorder="1" applyProtection="1"/>
    <xf numFmtId="43" fontId="11" fillId="0" borderId="0" xfId="1" applyFont="1" applyFill="1"/>
    <xf numFmtId="10" fontId="11" fillId="0" borderId="0" xfId="13" applyNumberFormat="1" applyFont="1" applyFill="1"/>
    <xf numFmtId="171" fontId="11" fillId="0" borderId="0" xfId="13" applyNumberFormat="1" applyFont="1" applyFill="1" applyBorder="1"/>
    <xf numFmtId="0" fontId="38"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39" fillId="0" borderId="0" xfId="0" quotePrefix="1" applyNumberFormat="1" applyFont="1" applyFill="1" applyAlignment="1">
      <alignment horizontal="centerContinuous"/>
    </xf>
    <xf numFmtId="0" fontId="39" fillId="0" borderId="0" xfId="0" applyFont="1" applyFill="1" applyAlignment="1" applyProtection="1">
      <alignment horizontal="centerContinuous"/>
    </xf>
    <xf numFmtId="37" fontId="39" fillId="0" borderId="0" xfId="0" applyNumberFormat="1" applyFont="1" applyFill="1" applyAlignment="1" applyProtection="1">
      <alignment horizontal="centerContinuous"/>
    </xf>
    <xf numFmtId="0" fontId="25" fillId="0" borderId="0" xfId="0" quotePrefix="1" applyFont="1" applyFill="1" applyAlignment="1" applyProtection="1">
      <alignment horizontal="centerContinuous"/>
    </xf>
    <xf numFmtId="0" fontId="39" fillId="0" borderId="0" xfId="0" applyFont="1" applyFill="1" applyProtection="1"/>
    <xf numFmtId="37" fontId="25" fillId="0" borderId="0" xfId="0" applyNumberFormat="1" applyFont="1" applyFill="1" applyAlignment="1" applyProtection="1">
      <alignment horizontal="center"/>
    </xf>
    <xf numFmtId="0" fontId="25" fillId="0" borderId="0" xfId="0" applyFont="1" applyFill="1" applyProtection="1"/>
    <xf numFmtId="0" fontId="25" fillId="0" borderId="0" xfId="0" applyFont="1" applyFill="1" applyAlignment="1" applyProtection="1">
      <alignment horizontal="center"/>
    </xf>
    <xf numFmtId="0" fontId="40" fillId="0" borderId="0" xfId="0" applyFont="1" applyFill="1" applyAlignment="1" applyProtection="1">
      <alignment horizontal="center"/>
    </xf>
    <xf numFmtId="0" fontId="25" fillId="0" borderId="0" xfId="0" applyFont="1" applyFill="1" applyBorder="1" applyAlignment="1" applyProtection="1">
      <alignment horizontal="center"/>
    </xf>
    <xf numFmtId="37" fontId="25" fillId="0" borderId="34" xfId="0" applyNumberFormat="1" applyFont="1" applyFill="1" applyBorder="1" applyAlignment="1" applyProtection="1">
      <alignment horizontal="center"/>
    </xf>
    <xf numFmtId="0" fontId="25" fillId="0" borderId="34" xfId="0" applyFont="1" applyFill="1" applyBorder="1" applyAlignment="1" applyProtection="1">
      <alignment horizontal="center"/>
    </xf>
    <xf numFmtId="0" fontId="25" fillId="0" borderId="34" xfId="0" applyFont="1" applyFill="1" applyBorder="1" applyProtection="1"/>
    <xf numFmtId="0" fontId="41" fillId="0" borderId="0" xfId="0" applyFont="1" applyFill="1"/>
    <xf numFmtId="5" fontId="0" fillId="0" borderId="0" xfId="0" applyNumberFormat="1" applyFill="1" applyProtection="1"/>
    <xf numFmtId="37" fontId="0" fillId="0" borderId="0" xfId="0" applyNumberFormat="1" applyFill="1"/>
    <xf numFmtId="7" fontId="7" fillId="0" borderId="0" xfId="2" applyNumberFormat="1" applyFont="1" applyFill="1"/>
    <xf numFmtId="43" fontId="0" fillId="0" borderId="0" xfId="0" applyNumberFormat="1" applyFill="1"/>
    <xf numFmtId="7" fontId="28" fillId="0" borderId="0" xfId="0" applyNumberFormat="1" applyFont="1" applyFill="1"/>
    <xf numFmtId="0" fontId="28" fillId="0" borderId="0" xfId="0" applyFont="1" applyFill="1"/>
    <xf numFmtId="7" fontId="7" fillId="0" borderId="0" xfId="2" applyNumberFormat="1" applyFont="1" applyFill="1" applyBorder="1"/>
    <xf numFmtId="37" fontId="0" fillId="0" borderId="0" xfId="0" applyNumberFormat="1" applyFill="1" applyBorder="1"/>
    <xf numFmtId="179" fontId="11"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4" fillId="0" borderId="46" xfId="0" applyNumberFormat="1" applyFont="1" applyFill="1" applyBorder="1" applyProtection="1"/>
    <xf numFmtId="37" fontId="0" fillId="0" borderId="0" xfId="0" applyNumberFormat="1" applyFill="1" applyProtection="1"/>
    <xf numFmtId="198" fontId="11" fillId="0" borderId="0" xfId="13" applyNumberFormat="1" applyFont="1" applyFill="1"/>
    <xf numFmtId="0" fontId="42" fillId="0" borderId="0" xfId="7" applyFont="1" applyFill="1"/>
    <xf numFmtId="0" fontId="42" fillId="0" borderId="0" xfId="7" applyFont="1" applyFill="1" applyBorder="1"/>
    <xf numFmtId="194" fontId="42" fillId="0" borderId="0" xfId="7" applyNumberFormat="1" applyFont="1" applyFill="1" applyBorder="1"/>
    <xf numFmtId="0" fontId="42" fillId="0" borderId="0" xfId="7" applyFont="1" applyFill="1" applyBorder="1" applyAlignment="1">
      <alignment horizontal="right"/>
    </xf>
    <xf numFmtId="168" fontId="42" fillId="0" borderId="0" xfId="1" applyNumberFormat="1" applyFont="1" applyFill="1" applyBorder="1"/>
    <xf numFmtId="0" fontId="42" fillId="0" borderId="0" xfId="7" applyFont="1" applyFill="1" applyBorder="1" applyAlignment="1">
      <alignment horizontal="left"/>
    </xf>
    <xf numFmtId="7" fontId="42" fillId="0" borderId="0" xfId="7" applyNumberFormat="1" applyFont="1" applyFill="1" applyBorder="1" applyAlignment="1">
      <alignment horizontal="right"/>
    </xf>
    <xf numFmtId="179" fontId="42" fillId="0" borderId="0" xfId="1" applyNumberFormat="1" applyFont="1" applyFill="1" applyBorder="1"/>
    <xf numFmtId="168" fontId="43" fillId="0" borderId="0" xfId="1" applyNumberFormat="1" applyFont="1" applyFill="1" applyBorder="1"/>
    <xf numFmtId="168" fontId="42" fillId="0" borderId="0" xfId="1" applyNumberFormat="1" applyFont="1" applyFill="1"/>
    <xf numFmtId="7" fontId="42" fillId="0" borderId="0" xfId="7" applyNumberFormat="1" applyFont="1" applyFill="1" applyBorder="1"/>
    <xf numFmtId="0" fontId="42" fillId="0" borderId="0" xfId="7" applyFont="1" applyFill="1" applyBorder="1" applyAlignment="1">
      <alignment horizontal="center"/>
    </xf>
    <xf numFmtId="10" fontId="44" fillId="0" borderId="0" xfId="7" applyNumberFormat="1" applyFont="1" applyFill="1"/>
    <xf numFmtId="7" fontId="42" fillId="0" borderId="0" xfId="7" applyNumberFormat="1" applyFont="1" applyFill="1"/>
    <xf numFmtId="5" fontId="42" fillId="0" borderId="0" xfId="7" applyNumberFormat="1" applyFont="1" applyFill="1"/>
    <xf numFmtId="10" fontId="42" fillId="0" borderId="0" xfId="13" applyNumberFormat="1" applyFont="1" applyFill="1"/>
    <xf numFmtId="0" fontId="41" fillId="0" borderId="0" xfId="0" applyFont="1" applyFill="1" applyProtection="1"/>
    <xf numFmtId="196" fontId="11" fillId="0" borderId="0" xfId="13" applyNumberFormat="1" applyFont="1" applyFill="1"/>
    <xf numFmtId="173" fontId="0" fillId="0" borderId="0" xfId="0" applyNumberFormat="1" applyFill="1" applyAlignment="1">
      <alignment horizontal="right"/>
    </xf>
    <xf numFmtId="168" fontId="11" fillId="0" borderId="0" xfId="1" applyNumberFormat="1" applyFont="1" applyFill="1" applyAlignment="1">
      <alignment horizontal="right"/>
    </xf>
    <xf numFmtId="0" fontId="4" fillId="0" borderId="0" xfId="0" applyFont="1" applyFill="1" applyProtection="1">
      <protection locked="0"/>
    </xf>
    <xf numFmtId="7" fontId="28" fillId="0" borderId="0" xfId="0" applyNumberFormat="1" applyFont="1" applyFill="1" applyProtection="1">
      <protection locked="0"/>
    </xf>
    <xf numFmtId="184" fontId="28" fillId="0" borderId="0" xfId="0" applyNumberFormat="1" applyFont="1" applyFill="1" applyProtection="1">
      <protection locked="0"/>
    </xf>
    <xf numFmtId="180" fontId="0" fillId="0" borderId="0" xfId="0" applyNumberFormat="1" applyFill="1"/>
    <xf numFmtId="7" fontId="7" fillId="0" borderId="0" xfId="0" applyNumberFormat="1" applyFont="1" applyFill="1" applyProtection="1">
      <protection locked="0"/>
    </xf>
    <xf numFmtId="11" fontId="0" fillId="0" borderId="0" xfId="0" applyNumberFormat="1" applyFill="1"/>
    <xf numFmtId="0" fontId="4" fillId="0" borderId="0" xfId="0" applyFont="1" applyFill="1"/>
    <xf numFmtId="7" fontId="4" fillId="0" borderId="0" xfId="0" applyNumberFormat="1" applyFont="1" applyFill="1" applyProtection="1">
      <protection locked="0"/>
    </xf>
    <xf numFmtId="168" fontId="4" fillId="0" borderId="0" xfId="0" applyNumberFormat="1" applyFont="1" applyFill="1" applyProtection="1"/>
    <xf numFmtId="184" fontId="6" fillId="0" borderId="0" xfId="0" applyNumberFormat="1" applyFont="1" applyFill="1" applyProtection="1">
      <protection locked="0"/>
    </xf>
    <xf numFmtId="168" fontId="4" fillId="0" borderId="0" xfId="1" applyNumberFormat="1" applyFont="1" applyFill="1" applyProtection="1"/>
    <xf numFmtId="37" fontId="4" fillId="0" borderId="12" xfId="0" applyNumberFormat="1" applyFont="1" applyFill="1" applyBorder="1" applyProtection="1"/>
    <xf numFmtId="0" fontId="0" fillId="0" borderId="0" xfId="0" applyFill="1" applyProtection="1"/>
    <xf numFmtId="5" fontId="4" fillId="0" borderId="34" xfId="0" applyNumberFormat="1" applyFont="1" applyFill="1" applyBorder="1" applyProtection="1"/>
    <xf numFmtId="37" fontId="0" fillId="0" borderId="47" xfId="0" applyNumberFormat="1" applyFont="1" applyFill="1" applyBorder="1" applyProtection="1"/>
    <xf numFmtId="5" fontId="4" fillId="0" borderId="47" xfId="0" applyNumberFormat="1" applyFont="1" applyFill="1" applyBorder="1" applyProtection="1"/>
    <xf numFmtId="185" fontId="4" fillId="0" borderId="0" xfId="0" applyNumberFormat="1" applyFont="1" applyFill="1" applyProtection="1"/>
    <xf numFmtId="166" fontId="11" fillId="0" borderId="0" xfId="13" applyNumberFormat="1" applyFont="1" applyFill="1"/>
    <xf numFmtId="199" fontId="0" fillId="0" borderId="0" xfId="0" applyNumberFormat="1" applyFill="1"/>
    <xf numFmtId="187" fontId="0" fillId="0" borderId="0" xfId="0" applyNumberFormat="1" applyFill="1"/>
    <xf numFmtId="37" fontId="4" fillId="0" borderId="34" xfId="0" applyNumberFormat="1" applyFont="1" applyFill="1" applyBorder="1" applyProtection="1"/>
    <xf numFmtId="167" fontId="11"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28" fillId="0" borderId="0" xfId="0" applyNumberFormat="1" applyFont="1" applyFill="1" applyProtection="1">
      <protection locked="0"/>
    </xf>
    <xf numFmtId="0" fontId="28" fillId="0" borderId="0" xfId="0" applyFont="1" applyFill="1" applyProtection="1">
      <protection locked="0"/>
    </xf>
    <xf numFmtId="7" fontId="7" fillId="0" borderId="0" xfId="0" applyNumberFormat="1" applyFont="1" applyFill="1" applyProtection="1"/>
    <xf numFmtId="183" fontId="28" fillId="0" borderId="0" xfId="1" applyNumberFormat="1" applyFont="1" applyFill="1" applyProtection="1">
      <protection locked="0"/>
    </xf>
    <xf numFmtId="183" fontId="28" fillId="0" borderId="0" xfId="0" applyNumberFormat="1" applyFont="1" applyFill="1" applyProtection="1">
      <protection locked="0"/>
    </xf>
    <xf numFmtId="7" fontId="0" fillId="0" borderId="0" xfId="0" applyNumberFormat="1" applyFill="1"/>
    <xf numFmtId="189" fontId="28" fillId="0" borderId="0" xfId="0" applyNumberFormat="1" applyFont="1" applyFill="1" applyProtection="1">
      <protection locked="0"/>
    </xf>
    <xf numFmtId="0" fontId="5" fillId="0" borderId="0" xfId="0" applyFont="1" applyFill="1" applyProtection="1"/>
    <xf numFmtId="171" fontId="28" fillId="0" borderId="0" xfId="0" applyNumberFormat="1" applyFont="1" applyFill="1" applyProtection="1"/>
    <xf numFmtId="183" fontId="11" fillId="0" borderId="0" xfId="1" applyNumberFormat="1" applyFont="1" applyFill="1"/>
    <xf numFmtId="7" fontId="0" fillId="0" borderId="0" xfId="0" applyNumberFormat="1" applyFont="1" applyFill="1" applyProtection="1"/>
    <xf numFmtId="182" fontId="0" fillId="0" borderId="0" xfId="0" applyNumberFormat="1" applyFont="1" applyFill="1" applyProtection="1"/>
    <xf numFmtId="39" fontId="0" fillId="0" borderId="0" xfId="0" applyNumberFormat="1" applyFont="1" applyFill="1" applyProtection="1"/>
    <xf numFmtId="7" fontId="28" fillId="0" borderId="0" xfId="0" applyNumberFormat="1" applyFont="1" applyFill="1" applyProtection="1"/>
    <xf numFmtId="192" fontId="0" fillId="0" borderId="0" xfId="0" applyNumberFormat="1" applyFill="1"/>
    <xf numFmtId="39" fontId="28"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41" fillId="0" borderId="47" xfId="0" applyNumberFormat="1" applyFont="1" applyFill="1" applyBorder="1" applyProtection="1"/>
    <xf numFmtId="5" fontId="0" fillId="0" borderId="47" xfId="0" applyNumberFormat="1" applyFont="1" applyFill="1" applyBorder="1" applyProtection="1"/>
    <xf numFmtId="0" fontId="4" fillId="0" borderId="47" xfId="0" applyFont="1" applyFill="1" applyBorder="1" applyProtection="1"/>
    <xf numFmtId="201" fontId="11" fillId="0" borderId="0" xfId="13" applyNumberFormat="1" applyFont="1" applyFill="1"/>
    <xf numFmtId="10" fontId="4" fillId="0" borderId="0" xfId="13" applyNumberFormat="1" applyFont="1" applyFill="1" applyProtection="1"/>
    <xf numFmtId="0" fontId="45"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41" fillId="0" borderId="0" xfId="0" applyNumberFormat="1" applyFont="1" applyFill="1" applyBorder="1" applyProtection="1"/>
    <xf numFmtId="7" fontId="10" fillId="0" borderId="0" xfId="0" applyNumberFormat="1" applyFont="1" applyFill="1" applyProtection="1"/>
    <xf numFmtId="37" fontId="28" fillId="0" borderId="0" xfId="0" applyNumberFormat="1" applyFont="1" applyFill="1" applyProtection="1"/>
    <xf numFmtId="7" fontId="6" fillId="0" borderId="0" xfId="0" applyNumberFormat="1" applyFont="1" applyFill="1" applyProtection="1">
      <protection locked="0"/>
    </xf>
    <xf numFmtId="7" fontId="41" fillId="0" borderId="0" xfId="0" applyNumberFormat="1" applyFont="1" applyFill="1" applyProtection="1"/>
    <xf numFmtId="183" fontId="6" fillId="0" borderId="0" xfId="1" applyNumberFormat="1" applyFont="1" applyFill="1" applyProtection="1">
      <protection locked="0"/>
    </xf>
    <xf numFmtId="177" fontId="0" fillId="0" borderId="0" xfId="0" applyNumberFormat="1" applyFont="1" applyFill="1" applyProtection="1"/>
    <xf numFmtId="173" fontId="7" fillId="0" borderId="0" xfId="0" applyNumberFormat="1" applyFont="1" applyFill="1" applyProtection="1"/>
    <xf numFmtId="0" fontId="12" fillId="0" borderId="0" xfId="0" applyFont="1" applyFill="1" applyProtection="1"/>
    <xf numFmtId="5" fontId="28" fillId="0" borderId="0" xfId="0" applyNumberFormat="1" applyFont="1" applyFill="1" applyProtection="1"/>
    <xf numFmtId="191" fontId="0" fillId="0" borderId="0" xfId="0" applyNumberFormat="1" applyFont="1" applyFill="1" applyProtection="1"/>
    <xf numFmtId="7" fontId="11" fillId="0" borderId="0" xfId="0" applyNumberFormat="1" applyFont="1" applyFill="1" applyProtection="1"/>
    <xf numFmtId="5" fontId="41" fillId="0" borderId="0" xfId="0" applyNumberFormat="1" applyFont="1" applyFill="1" applyProtection="1"/>
    <xf numFmtId="177" fontId="0" fillId="0" borderId="0" xfId="0" applyNumberFormat="1" applyFont="1" applyFill="1"/>
    <xf numFmtId="37" fontId="4" fillId="0" borderId="47" xfId="0" applyNumberFormat="1" applyFont="1" applyFill="1" applyBorder="1" applyProtection="1"/>
    <xf numFmtId="190" fontId="0" fillId="0" borderId="0" xfId="0" applyNumberFormat="1" applyFont="1" applyFill="1" applyProtection="1"/>
    <xf numFmtId="44" fontId="11" fillId="0" borderId="0" xfId="2" applyFont="1" applyFill="1"/>
    <xf numFmtId="7" fontId="11" fillId="0" borderId="0" xfId="0" applyNumberFormat="1" applyFont="1" applyFill="1" applyProtection="1">
      <protection locked="0"/>
    </xf>
    <xf numFmtId="182" fontId="28" fillId="0" borderId="0" xfId="0" applyNumberFormat="1" applyFont="1" applyFill="1" applyProtection="1">
      <protection locked="0"/>
    </xf>
    <xf numFmtId="175" fontId="0" fillId="0" borderId="0" xfId="0" applyNumberFormat="1" applyFill="1"/>
    <xf numFmtId="5" fontId="41" fillId="0" borderId="0" xfId="0" applyNumberFormat="1" applyFont="1" applyFill="1" applyProtection="1">
      <protection locked="0"/>
    </xf>
    <xf numFmtId="0" fontId="41" fillId="0" borderId="0" xfId="0" applyFont="1" applyFill="1" applyProtection="1">
      <protection locked="0"/>
    </xf>
    <xf numFmtId="184" fontId="4" fillId="0" borderId="0" xfId="0" applyNumberFormat="1" applyFont="1" applyFill="1" applyProtection="1">
      <protection locked="0"/>
    </xf>
    <xf numFmtId="189" fontId="4" fillId="0" borderId="0" xfId="0" applyNumberFormat="1" applyFont="1" applyFill="1" applyProtection="1">
      <protection locked="0"/>
    </xf>
    <xf numFmtId="4" fontId="0" fillId="0" borderId="0" xfId="0" applyNumberFormat="1" applyFill="1"/>
    <xf numFmtId="200" fontId="11" fillId="0" borderId="0" xfId="1" applyNumberFormat="1" applyFont="1" applyFill="1"/>
    <xf numFmtId="186" fontId="4" fillId="0" borderId="0" xfId="0" applyNumberFormat="1" applyFont="1" applyFill="1" applyProtection="1"/>
    <xf numFmtId="5" fontId="4" fillId="0" borderId="0" xfId="0" applyNumberFormat="1" applyFont="1" applyFill="1"/>
    <xf numFmtId="7" fontId="4" fillId="0" borderId="0" xfId="0" applyNumberFormat="1" applyFont="1" applyFill="1" applyProtection="1"/>
    <xf numFmtId="187" fontId="4" fillId="0" borderId="0" xfId="0" applyNumberFormat="1" applyFont="1" applyFill="1" applyProtection="1"/>
    <xf numFmtId="180" fontId="28" fillId="0" borderId="0" xfId="0" applyNumberFormat="1" applyFont="1" applyFill="1" applyProtection="1"/>
    <xf numFmtId="183" fontId="28" fillId="0" borderId="0" xfId="1" applyNumberFormat="1" applyFont="1" applyFill="1" applyProtection="1"/>
    <xf numFmtId="7" fontId="6" fillId="0" borderId="0" xfId="0" applyNumberFormat="1" applyFont="1" applyFill="1" applyProtection="1"/>
    <xf numFmtId="180" fontId="6" fillId="0" borderId="0" xfId="0" applyNumberFormat="1" applyFont="1" applyFill="1" applyProtection="1"/>
    <xf numFmtId="171" fontId="0" fillId="0" borderId="0" xfId="0" applyNumberFormat="1" applyFill="1" applyBorder="1" applyProtection="1"/>
    <xf numFmtId="184" fontId="6" fillId="0" borderId="0" xfId="0" applyNumberFormat="1" applyFont="1" applyFill="1" applyProtection="1"/>
    <xf numFmtId="173" fontId="6" fillId="0" borderId="0" xfId="0" applyNumberFormat="1" applyFont="1" applyFill="1" applyProtection="1"/>
    <xf numFmtId="171" fontId="6" fillId="0" borderId="0" xfId="0" applyNumberFormat="1" applyFont="1" applyFill="1" applyProtection="1"/>
    <xf numFmtId="182" fontId="6" fillId="0" borderId="0" xfId="0" applyNumberFormat="1" applyFont="1" applyFill="1" applyProtection="1"/>
    <xf numFmtId="187" fontId="0" fillId="0" borderId="0" xfId="0" applyNumberFormat="1" applyFont="1" applyFill="1" applyProtection="1"/>
    <xf numFmtId="180" fontId="0" fillId="0" borderId="0" xfId="0" applyNumberFormat="1" applyFont="1" applyFill="1"/>
    <xf numFmtId="37" fontId="4" fillId="0" borderId="46" xfId="0" applyNumberFormat="1" applyFont="1" applyFill="1" applyBorder="1" applyProtection="1"/>
    <xf numFmtId="171" fontId="0" fillId="0" borderId="0" xfId="0" applyNumberFormat="1" applyFill="1"/>
    <xf numFmtId="184" fontId="28" fillId="0" borderId="0" xfId="0" applyNumberFormat="1" applyFont="1" applyFill="1" applyProtection="1"/>
    <xf numFmtId="3" fontId="41" fillId="0" borderId="0" xfId="0" applyNumberFormat="1" applyFont="1" applyFill="1"/>
    <xf numFmtId="194" fontId="42" fillId="0" borderId="0" xfId="7" applyNumberFormat="1" applyFont="1" applyFill="1"/>
    <xf numFmtId="168" fontId="42" fillId="0" borderId="36" xfId="1" applyNumberFormat="1" applyFont="1" applyFill="1" applyBorder="1"/>
    <xf numFmtId="3" fontId="0" fillId="0" borderId="28" xfId="0" applyNumberFormat="1" applyFill="1" applyBorder="1"/>
    <xf numFmtId="44" fontId="42" fillId="0" borderId="28" xfId="7" applyNumberFormat="1" applyFont="1" applyFill="1" applyBorder="1"/>
    <xf numFmtId="7" fontId="42" fillId="0" borderId="38" xfId="7" applyNumberFormat="1" applyFont="1" applyFill="1" applyBorder="1" applyAlignment="1">
      <alignment horizontal="right"/>
    </xf>
    <xf numFmtId="168" fontId="42" fillId="0" borderId="5" xfId="1" applyNumberFormat="1" applyFont="1" applyFill="1" applyBorder="1"/>
    <xf numFmtId="44" fontId="42" fillId="0" borderId="0" xfId="7" applyNumberFormat="1" applyFont="1" applyFill="1" applyBorder="1"/>
    <xf numFmtId="7" fontId="42" fillId="0" borderId="4" xfId="7" applyNumberFormat="1" applyFont="1" applyFill="1" applyBorder="1" applyAlignment="1">
      <alignment horizontal="right"/>
    </xf>
    <xf numFmtId="5" fontId="11" fillId="0" borderId="0" xfId="2" applyNumberFormat="1" applyFont="1" applyFill="1" applyBorder="1"/>
    <xf numFmtId="7" fontId="42" fillId="0" borderId="4" xfId="7" applyNumberFormat="1" applyFont="1" applyFill="1" applyBorder="1"/>
    <xf numFmtId="7" fontId="42" fillId="0" borderId="19" xfId="7" applyNumberFormat="1" applyFont="1" applyFill="1" applyBorder="1"/>
    <xf numFmtId="44" fontId="42" fillId="0" borderId="12" xfId="7" applyNumberFormat="1" applyFont="1" applyFill="1" applyBorder="1"/>
    <xf numFmtId="0" fontId="0" fillId="0" borderId="13" xfId="0" applyFill="1" applyBorder="1"/>
    <xf numFmtId="5" fontId="42" fillId="0" borderId="0" xfId="7" applyNumberFormat="1" applyFont="1" applyFill="1" applyBorder="1" applyAlignment="1">
      <alignment horizontal="right"/>
    </xf>
    <xf numFmtId="5" fontId="42" fillId="0" borderId="0" xfId="7" applyNumberFormat="1" applyFont="1" applyFill="1" applyBorder="1"/>
    <xf numFmtId="5" fontId="6" fillId="0" borderId="0" xfId="0" applyNumberFormat="1" applyFont="1" applyFill="1" applyProtection="1"/>
    <xf numFmtId="0" fontId="28" fillId="0" borderId="0" xfId="0" applyFont="1" applyFill="1" applyProtection="1"/>
    <xf numFmtId="5" fontId="4" fillId="0" borderId="0" xfId="0" applyNumberFormat="1" applyFont="1" applyFill="1" applyAlignment="1" applyProtection="1">
      <alignment horizontal="right"/>
    </xf>
    <xf numFmtId="188" fontId="4" fillId="0" borderId="0" xfId="0" applyNumberFormat="1" applyFont="1" applyFill="1" applyProtection="1"/>
    <xf numFmtId="5" fontId="0" fillId="0" borderId="0" xfId="0" applyNumberFormat="1" applyFill="1" applyBorder="1"/>
    <xf numFmtId="184" fontId="4" fillId="0" borderId="46" xfId="0" applyNumberFormat="1" applyFont="1" applyFill="1" applyBorder="1" applyProtection="1"/>
    <xf numFmtId="0" fontId="4" fillId="0" borderId="46" xfId="0" applyFont="1" applyFill="1" applyBorder="1" applyProtection="1"/>
    <xf numFmtId="184" fontId="4" fillId="0" borderId="0" xfId="0" applyNumberFormat="1" applyFont="1" applyFill="1" applyProtection="1"/>
    <xf numFmtId="197" fontId="11" fillId="0" borderId="0" xfId="13" applyNumberFormat="1" applyFont="1" applyFill="1" applyBorder="1"/>
    <xf numFmtId="0" fontId="10" fillId="0" borderId="0" xfId="0" applyFont="1" applyFill="1" applyProtection="1"/>
    <xf numFmtId="184" fontId="4" fillId="0" borderId="0" xfId="0" applyNumberFormat="1" applyFont="1" applyFill="1" applyBorder="1" applyProtection="1"/>
    <xf numFmtId="201" fontId="11" fillId="0" borderId="0" xfId="13" applyNumberFormat="1" applyFont="1" applyFill="1" applyBorder="1"/>
    <xf numFmtId="180" fontId="10" fillId="0" borderId="0" xfId="0" applyNumberFormat="1" applyFont="1" applyFill="1" applyProtection="1"/>
    <xf numFmtId="9" fontId="11" fillId="0" borderId="0" xfId="13" applyFont="1" applyFill="1" applyBorder="1"/>
    <xf numFmtId="0" fontId="7" fillId="0" borderId="0" xfId="0" applyFont="1" applyFill="1" applyProtection="1"/>
    <xf numFmtId="0" fontId="0" fillId="0" borderId="34" xfId="0" applyFill="1" applyBorder="1" applyProtection="1"/>
    <xf numFmtId="5" fontId="4" fillId="0" borderId="34" xfId="0" applyNumberFormat="1" applyFont="1" applyFill="1" applyBorder="1" applyAlignment="1" applyProtection="1">
      <alignment horizontal="right"/>
    </xf>
    <xf numFmtId="7" fontId="0" fillId="0" borderId="0" xfId="0" applyNumberFormat="1" applyFill="1" applyBorder="1"/>
    <xf numFmtId="0" fontId="5" fillId="0" borderId="0" xfId="0" applyFont="1" applyFill="1"/>
    <xf numFmtId="43" fontId="42" fillId="0" borderId="0" xfId="1" applyNumberFormat="1" applyFont="1" applyFill="1" applyBorder="1"/>
    <xf numFmtId="0" fontId="29" fillId="0" borderId="0" xfId="0" applyFont="1" applyFill="1" applyBorder="1"/>
    <xf numFmtId="0" fontId="7" fillId="0" borderId="0" xfId="0" applyFont="1" applyFill="1"/>
    <xf numFmtId="3" fontId="0" fillId="0" borderId="5" xfId="0" applyNumberFormat="1" applyFill="1" applyBorder="1"/>
    <xf numFmtId="43" fontId="0" fillId="0" borderId="0" xfId="0" applyNumberFormat="1" applyFill="1" applyBorder="1"/>
    <xf numFmtId="7" fontId="28" fillId="0" borderId="4" xfId="0" applyNumberFormat="1" applyFont="1" applyFill="1" applyBorder="1"/>
    <xf numFmtId="10" fontId="11" fillId="0" borderId="0" xfId="13" applyNumberFormat="1" applyFont="1" applyFill="1" applyBorder="1"/>
    <xf numFmtId="5" fontId="28" fillId="0" borderId="4" xfId="0" applyNumberFormat="1" applyFont="1" applyFill="1" applyBorder="1"/>
    <xf numFmtId="7" fontId="11" fillId="0" borderId="0" xfId="2" applyNumberFormat="1" applyFont="1" applyFill="1"/>
    <xf numFmtId="44" fontId="11" fillId="0" borderId="0" xfId="2" applyFont="1" applyFill="1" applyBorder="1"/>
    <xf numFmtId="168" fontId="42" fillId="0" borderId="19" xfId="1" applyNumberFormat="1" applyFont="1" applyFill="1" applyBorder="1"/>
    <xf numFmtId="203" fontId="11" fillId="0" borderId="12" xfId="2" applyNumberFormat="1" applyFont="1" applyFill="1" applyBorder="1"/>
    <xf numFmtId="7" fontId="42" fillId="0" borderId="13" xfId="7" applyNumberFormat="1" applyFont="1" applyFill="1" applyBorder="1"/>
    <xf numFmtId="10" fontId="44" fillId="0" borderId="0" xfId="7" applyNumberFormat="1" applyFont="1" applyFill="1" applyBorder="1"/>
    <xf numFmtId="37" fontId="11" fillId="0" borderId="0" xfId="0" applyNumberFormat="1" applyFont="1" applyFill="1" applyProtection="1"/>
    <xf numFmtId="7" fontId="45" fillId="0" borderId="0" xfId="0" applyNumberFormat="1" applyFont="1" applyFill="1" applyProtection="1"/>
    <xf numFmtId="0" fontId="6" fillId="0" borderId="0" xfId="0" applyFont="1" applyFill="1" applyBorder="1" applyProtection="1"/>
    <xf numFmtId="185" fontId="6" fillId="0" borderId="0" xfId="0" applyNumberFormat="1" applyFont="1" applyFill="1" applyProtection="1"/>
    <xf numFmtId="37" fontId="6" fillId="0" borderId="48" xfId="0" applyNumberFormat="1" applyFont="1" applyFill="1" applyBorder="1" applyProtection="1"/>
    <xf numFmtId="5" fontId="7" fillId="0" borderId="48" xfId="0" applyNumberFormat="1" applyFont="1" applyFill="1" applyBorder="1" applyProtection="1"/>
    <xf numFmtId="5" fontId="6" fillId="0" borderId="48" xfId="0" applyNumberFormat="1" applyFont="1" applyFill="1" applyBorder="1" applyProtection="1"/>
    <xf numFmtId="168" fontId="10" fillId="0" borderId="0" xfId="1" applyNumberFormat="1" applyFont="1" applyFill="1" applyBorder="1"/>
    <xf numFmtId="37" fontId="4" fillId="0" borderId="28" xfId="0" applyNumberFormat="1" applyFont="1" applyFill="1" applyBorder="1" applyProtection="1"/>
    <xf numFmtId="7" fontId="28" fillId="0" borderId="28" xfId="0" applyNumberFormat="1" applyFont="1" applyFill="1" applyBorder="1" applyProtection="1"/>
    <xf numFmtId="5" fontId="4" fillId="0" borderId="28" xfId="0" applyNumberFormat="1" applyFont="1" applyFill="1" applyBorder="1" applyProtection="1"/>
    <xf numFmtId="7" fontId="10" fillId="0" borderId="28" xfId="0" applyNumberFormat="1" applyFont="1" applyFill="1" applyBorder="1" applyProtection="1"/>
    <xf numFmtId="0" fontId="4" fillId="0" borderId="28" xfId="0" applyFont="1" applyFill="1" applyBorder="1" applyProtection="1"/>
    <xf numFmtId="5" fontId="10" fillId="0" borderId="0" xfId="0" applyNumberFormat="1" applyFont="1" applyFill="1" applyBorder="1"/>
    <xf numFmtId="0" fontId="5" fillId="0" borderId="0" xfId="0" applyFont="1" applyFill="1" applyBorder="1" applyProtection="1"/>
    <xf numFmtId="185" fontId="5" fillId="0" borderId="0" xfId="0" applyNumberFormat="1" applyFont="1" applyFill="1" applyProtection="1"/>
    <xf numFmtId="37" fontId="5" fillId="0" borderId="48" xfId="0" applyNumberFormat="1" applyFont="1" applyFill="1" applyBorder="1" applyProtection="1"/>
    <xf numFmtId="168" fontId="46" fillId="0" borderId="48" xfId="1" applyNumberFormat="1" applyFont="1" applyFill="1" applyBorder="1" applyProtection="1"/>
    <xf numFmtId="5" fontId="5" fillId="0" borderId="48" xfId="0" applyNumberFormat="1" applyFont="1" applyFill="1" applyBorder="1" applyProtection="1"/>
    <xf numFmtId="167" fontId="5" fillId="0" borderId="48" xfId="2" applyNumberFormat="1" applyFont="1" applyFill="1" applyBorder="1" applyProtection="1"/>
    <xf numFmtId="7" fontId="46" fillId="0" borderId="48" xfId="0" applyNumberFormat="1" applyFont="1" applyFill="1" applyBorder="1" applyProtection="1"/>
    <xf numFmtId="167" fontId="28" fillId="0" borderId="0" xfId="0" applyNumberFormat="1" applyFont="1" applyFill="1" applyProtection="1"/>
    <xf numFmtId="37" fontId="6" fillId="0" borderId="0" xfId="0" applyNumberFormat="1" applyFont="1" applyFill="1" applyBorder="1" applyProtection="1"/>
    <xf numFmtId="195" fontId="11" fillId="0" borderId="0" xfId="2" applyNumberFormat="1" applyFont="1" applyFill="1"/>
    <xf numFmtId="0" fontId="47" fillId="0" borderId="0" xfId="0" applyFont="1" applyFill="1" applyProtection="1"/>
    <xf numFmtId="10" fontId="42" fillId="0" borderId="0" xfId="13" applyNumberFormat="1" applyFont="1" applyFill="1" applyBorder="1"/>
    <xf numFmtId="0" fontId="0" fillId="0" borderId="0" xfId="0" applyFill="1" applyBorder="1" applyAlignment="1">
      <alignment horizontal="right"/>
    </xf>
    <xf numFmtId="168" fontId="11" fillId="0" borderId="47" xfId="1" applyNumberFormat="1" applyFont="1" applyFill="1" applyBorder="1" applyProtection="1"/>
    <xf numFmtId="168" fontId="11" fillId="0" borderId="0" xfId="1" applyNumberFormat="1" applyFont="1" applyFill="1" applyBorder="1"/>
    <xf numFmtId="173" fontId="10" fillId="0" borderId="0" xfId="0" applyNumberFormat="1" applyFont="1" applyFill="1" applyProtection="1"/>
    <xf numFmtId="43" fontId="28" fillId="0" borderId="0" xfId="1" applyNumberFormat="1" applyFont="1" applyFill="1" applyProtection="1">
      <protection locked="0"/>
    </xf>
    <xf numFmtId="4" fontId="0" fillId="0" borderId="0" xfId="0" applyNumberFormat="1" applyFill="1" applyBorder="1"/>
    <xf numFmtId="168" fontId="4" fillId="0" borderId="0" xfId="1" applyNumberFormat="1" applyFont="1" applyFill="1" applyBorder="1" applyProtection="1"/>
    <xf numFmtId="43" fontId="28" fillId="0" borderId="0" xfId="1" applyNumberFormat="1" applyFont="1" applyFill="1" applyProtection="1"/>
    <xf numFmtId="5" fontId="5" fillId="0" borderId="28" xfId="0" applyNumberFormat="1" applyFont="1" applyFill="1" applyBorder="1" applyProtection="1"/>
    <xf numFmtId="0" fontId="25" fillId="0" borderId="0" xfId="10" applyFont="1" applyFill="1"/>
    <xf numFmtId="0" fontId="25" fillId="0" borderId="0" xfId="10" applyFont="1" applyFill="1" applyAlignment="1">
      <alignment horizontal="centerContinuous"/>
    </xf>
    <xf numFmtId="0" fontId="48" fillId="0" borderId="0" xfId="10" applyFont="1" applyFill="1" applyBorder="1" applyAlignment="1">
      <alignment horizontal="centerContinuous"/>
    </xf>
    <xf numFmtId="0" fontId="48" fillId="0" borderId="0" xfId="10" applyFont="1" applyFill="1" applyAlignment="1">
      <alignment horizontal="centerContinuous"/>
    </xf>
    <xf numFmtId="0" fontId="26" fillId="0" borderId="0" xfId="10" applyFont="1" applyFill="1"/>
    <xf numFmtId="0" fontId="49" fillId="0" borderId="0" xfId="10" applyFont="1" applyFill="1"/>
    <xf numFmtId="0" fontId="15" fillId="0" borderId="0" xfId="10" applyFont="1" applyFill="1"/>
    <xf numFmtId="0" fontId="15" fillId="0" borderId="0" xfId="10" quotePrefix="1" applyFont="1" applyFill="1" applyBorder="1" applyAlignment="1">
      <alignment horizontal="left"/>
    </xf>
    <xf numFmtId="0" fontId="25" fillId="0" borderId="0" xfId="10" applyFont="1" applyFill="1" applyAlignment="1" applyProtection="1">
      <alignment horizontal="centerContinuous"/>
    </xf>
    <xf numFmtId="0" fontId="48" fillId="0" borderId="0" xfId="10" applyFont="1" applyFill="1" applyBorder="1" applyAlignment="1" applyProtection="1">
      <alignment horizontal="center"/>
    </xf>
    <xf numFmtId="0" fontId="17" fillId="0" borderId="0" xfId="10" applyFont="1" applyFill="1" applyAlignment="1" applyProtection="1">
      <alignment horizontal="centerContinuous"/>
    </xf>
    <xf numFmtId="0" fontId="17" fillId="0" borderId="0" xfId="10" applyFont="1" applyFill="1" applyAlignment="1">
      <alignment horizontal="centerContinuous"/>
    </xf>
    <xf numFmtId="0" fontId="50" fillId="0" borderId="0" xfId="10" applyFont="1" applyFill="1" applyAlignment="1" applyProtection="1">
      <alignment horizontal="centerContinuous"/>
    </xf>
    <xf numFmtId="0" fontId="10" fillId="0" borderId="0" xfId="10" applyFont="1" applyFill="1" applyAlignment="1" applyProtection="1">
      <alignment horizontal="center"/>
    </xf>
    <xf numFmtId="0" fontId="10" fillId="0" borderId="0" xfId="10" applyFont="1" applyFill="1" applyProtection="1"/>
    <xf numFmtId="0" fontId="10" fillId="0" borderId="34" xfId="10" applyFont="1" applyFill="1" applyBorder="1" applyAlignment="1" applyProtection="1">
      <alignment horizontal="centerContinuous"/>
    </xf>
    <xf numFmtId="0" fontId="10" fillId="0" borderId="0" xfId="10" applyFont="1" applyFill="1" applyAlignment="1" applyProtection="1">
      <alignment horizontal="centerContinuous"/>
    </xf>
    <xf numFmtId="0" fontId="10" fillId="0" borderId="0" xfId="10" applyFont="1" applyFill="1"/>
    <xf numFmtId="0" fontId="10" fillId="0" borderId="0" xfId="10" applyFont="1" applyFill="1" applyBorder="1" applyAlignment="1" applyProtection="1">
      <alignment horizontal="center"/>
    </xf>
    <xf numFmtId="0" fontId="10" fillId="0" borderId="12" xfId="10" applyFont="1" applyFill="1" applyBorder="1" applyAlignment="1" applyProtection="1">
      <alignment horizontal="centerContinuous"/>
    </xf>
    <xf numFmtId="0" fontId="10" fillId="0" borderId="0" xfId="10" applyFont="1" applyFill="1" applyAlignment="1" applyProtection="1"/>
    <xf numFmtId="0" fontId="10" fillId="0" borderId="12" xfId="10" applyFont="1" applyFill="1" applyBorder="1" applyAlignment="1" applyProtection="1">
      <alignment horizontal="center"/>
    </xf>
    <xf numFmtId="0" fontId="8" fillId="0" borderId="0" xfId="10" applyFont="1" applyFill="1" applyProtection="1"/>
    <xf numFmtId="0" fontId="8" fillId="0" borderId="0" xfId="10" applyFont="1" applyFill="1" applyAlignment="1" applyProtection="1">
      <alignment horizontal="center"/>
    </xf>
    <xf numFmtId="0" fontId="10" fillId="0" borderId="34" xfId="10" applyFont="1" applyFill="1" applyBorder="1" applyAlignment="1" applyProtection="1">
      <alignment horizontal="center"/>
    </xf>
    <xf numFmtId="0" fontId="10" fillId="0" borderId="0" xfId="10" applyFont="1" applyFill="1" applyBorder="1" applyProtection="1"/>
    <xf numFmtId="37" fontId="10" fillId="0" borderId="0" xfId="10" applyNumberFormat="1" applyFont="1" applyFill="1" applyProtection="1"/>
    <xf numFmtId="171" fontId="10" fillId="0" borderId="0" xfId="13" applyNumberFormat="1" applyFont="1" applyFill="1" applyProtection="1"/>
    <xf numFmtId="5" fontId="10" fillId="0" borderId="0" xfId="10" applyNumberFormat="1" applyFont="1" applyFill="1" applyProtection="1"/>
    <xf numFmtId="10" fontId="10" fillId="0" borderId="0" xfId="10" applyNumberFormat="1" applyFont="1" applyFill="1" applyProtection="1"/>
    <xf numFmtId="5" fontId="10" fillId="0" borderId="0" xfId="10" applyNumberFormat="1" applyFont="1" applyFill="1"/>
    <xf numFmtId="178" fontId="10" fillId="0" borderId="0" xfId="1" applyNumberFormat="1" applyFont="1" applyFill="1" applyProtection="1"/>
    <xf numFmtId="183" fontId="10" fillId="0" borderId="0" xfId="1" applyNumberFormat="1" applyFont="1" applyFill="1" applyProtection="1"/>
    <xf numFmtId="0" fontId="10" fillId="0" borderId="0" xfId="10" applyFont="1" applyFill="1" applyBorder="1"/>
    <xf numFmtId="171" fontId="10" fillId="0" borderId="0" xfId="13" applyNumberFormat="1" applyFont="1" applyFill="1" applyBorder="1" applyProtection="1"/>
    <xf numFmtId="0" fontId="15" fillId="0" borderId="0" xfId="10" quotePrefix="1" applyFont="1" applyFill="1"/>
    <xf numFmtId="0" fontId="48" fillId="0" borderId="0" xfId="10" applyFont="1" applyFill="1" applyBorder="1" applyAlignment="1" applyProtection="1">
      <alignment horizontal="centerContinuous"/>
    </xf>
    <xf numFmtId="0" fontId="10" fillId="0" borderId="0" xfId="10" applyFont="1" applyFill="1" applyAlignment="1">
      <alignment horizontal="center"/>
    </xf>
    <xf numFmtId="0" fontId="10" fillId="0" borderId="0" xfId="10" applyFont="1" applyFill="1" applyAlignment="1" applyProtection="1">
      <alignment horizontal="left"/>
    </xf>
    <xf numFmtId="0" fontId="10" fillId="0" borderId="12" xfId="10" applyFont="1" applyFill="1" applyBorder="1" applyProtection="1"/>
    <xf numFmtId="0" fontId="10" fillId="0" borderId="12" xfId="10" applyFont="1" applyFill="1" applyBorder="1"/>
    <xf numFmtId="0" fontId="50" fillId="0" borderId="0" xfId="10" applyFont="1" applyFill="1" applyBorder="1" applyAlignment="1">
      <alignment horizontal="centerContinuous"/>
    </xf>
    <xf numFmtId="0" fontId="49" fillId="0" borderId="0" xfId="10" applyFont="1" applyFill="1" applyAlignment="1">
      <alignment horizontal="center"/>
    </xf>
    <xf numFmtId="0" fontId="49" fillId="0" borderId="0" xfId="10" applyFont="1" applyFill="1" applyBorder="1"/>
    <xf numFmtId="0" fontId="15" fillId="0" borderId="0" xfId="10" quotePrefix="1" applyFont="1" applyFill="1" applyBorder="1"/>
    <xf numFmtId="0" fontId="50" fillId="0" borderId="0" xfId="10" applyFont="1" applyFill="1" applyAlignment="1">
      <alignment horizontal="centerContinuous"/>
    </xf>
    <xf numFmtId="43" fontId="28" fillId="0" borderId="0" xfId="1" applyFont="1" applyFill="1" applyProtection="1">
      <protection locked="0"/>
    </xf>
    <xf numFmtId="183" fontId="0" fillId="0" borderId="0" xfId="1" applyNumberFormat="1" applyFont="1" applyFill="1"/>
    <xf numFmtId="43" fontId="28" fillId="0" borderId="0" xfId="1" applyFont="1" applyFill="1" applyProtection="1"/>
    <xf numFmtId="168" fontId="12" fillId="0" borderId="0" xfId="1" applyNumberFormat="1" applyFont="1" applyFill="1" applyBorder="1"/>
    <xf numFmtId="168" fontId="12" fillId="0" borderId="0" xfId="1" applyNumberFormat="1" applyFont="1" applyFill="1"/>
    <xf numFmtId="168" fontId="12" fillId="0" borderId="0" xfId="0" applyNumberFormat="1" applyFont="1" applyFill="1" applyBorder="1"/>
    <xf numFmtId="3" fontId="12" fillId="0" borderId="12" xfId="0" applyNumberFormat="1" applyFont="1" applyFill="1" applyBorder="1"/>
    <xf numFmtId="168" fontId="3" fillId="0" borderId="0" xfId="6" applyNumberFormat="1" applyFont="1" applyFill="1"/>
    <xf numFmtId="168" fontId="8" fillId="0" borderId="5" xfId="0" applyNumberFormat="1" applyFont="1" applyFill="1" applyBorder="1"/>
    <xf numFmtId="37" fontId="10" fillId="0" borderId="0" xfId="0" applyNumberFormat="1" applyFont="1" applyFill="1"/>
    <xf numFmtId="165" fontId="8" fillId="0" borderId="0" xfId="0" applyNumberFormat="1" applyFont="1" applyFill="1"/>
    <xf numFmtId="165" fontId="10" fillId="0" borderId="0" xfId="0" applyNumberFormat="1" applyFont="1" applyFill="1"/>
    <xf numFmtId="175" fontId="0" fillId="0" borderId="0" xfId="0" applyNumberFormat="1" applyFill="1" applyBorder="1"/>
    <xf numFmtId="0" fontId="10" fillId="0" borderId="0" xfId="0" applyFont="1" applyFill="1" applyAlignment="1">
      <alignment horizontal="left"/>
    </xf>
    <xf numFmtId="0" fontId="7" fillId="0" borderId="0" xfId="2" applyNumberFormat="1" applyFont="1" applyFill="1"/>
    <xf numFmtId="7" fontId="28" fillId="0" borderId="0" xfId="0" applyNumberFormat="1" applyFont="1" applyFill="1" applyBorder="1"/>
    <xf numFmtId="5" fontId="28" fillId="0" borderId="0" xfId="0" applyNumberFormat="1" applyFont="1" applyFill="1" applyBorder="1"/>
    <xf numFmtId="203" fontId="11" fillId="0" borderId="0" xfId="2" applyNumberFormat="1" applyFont="1" applyFill="1" applyBorder="1"/>
    <xf numFmtId="0" fontId="10" fillId="0" borderId="0" xfId="0" applyFont="1" applyFill="1" applyAlignment="1">
      <alignment horizontal="right"/>
    </xf>
    <xf numFmtId="43" fontId="34" fillId="0" borderId="0" xfId="1" applyNumberFormat="1" applyFont="1" applyFill="1"/>
    <xf numFmtId="0" fontId="5" fillId="0" borderId="0" xfId="0" applyFont="1" applyFill="1" applyAlignment="1" applyProtection="1">
      <alignment horizontal="center"/>
    </xf>
    <xf numFmtId="5" fontId="4" fillId="0" borderId="12" xfId="0" applyNumberFormat="1" applyFont="1" applyFill="1" applyBorder="1" applyProtection="1"/>
    <xf numFmtId="5" fontId="4" fillId="0" borderId="58" xfId="0" applyNumberFormat="1" applyFont="1" applyFill="1" applyBorder="1" applyProtection="1"/>
    <xf numFmtId="5" fontId="4" fillId="0" borderId="37" xfId="0" applyNumberFormat="1" applyFont="1" applyFill="1" applyBorder="1" applyProtection="1"/>
    <xf numFmtId="37" fontId="0" fillId="0" borderId="58" xfId="0" applyNumberFormat="1" applyFont="1" applyFill="1" applyBorder="1" applyProtection="1"/>
    <xf numFmtId="6" fontId="10" fillId="0" borderId="0" xfId="1" applyNumberFormat="1" applyFont="1" applyFill="1" applyBorder="1"/>
    <xf numFmtId="5" fontId="10" fillId="0" borderId="0" xfId="1" applyNumberFormat="1" applyFont="1" applyFill="1" applyBorder="1"/>
    <xf numFmtId="5" fontId="10" fillId="0" borderId="0" xfId="11" applyNumberFormat="1" applyFont="1" applyFill="1"/>
    <xf numFmtId="0" fontId="24" fillId="0" borderId="0" xfId="10" applyFont="1" applyFill="1"/>
    <xf numFmtId="5" fontId="24" fillId="0" borderId="0" xfId="10" applyNumberFormat="1" applyFont="1" applyFill="1" applyProtection="1"/>
    <xf numFmtId="0" fontId="42" fillId="0" borderId="36" xfId="7" applyFont="1" applyFill="1" applyBorder="1"/>
    <xf numFmtId="0" fontId="42" fillId="0" borderId="19" xfId="7" applyFont="1" applyFill="1" applyBorder="1"/>
    <xf numFmtId="0" fontId="10" fillId="0" borderId="36" xfId="0" applyFont="1" applyFill="1" applyBorder="1"/>
    <xf numFmtId="5" fontId="10" fillId="0" borderId="38" xfId="0" applyNumberFormat="1" applyFont="1" applyFill="1" applyBorder="1"/>
    <xf numFmtId="3" fontId="10" fillId="0" borderId="0" xfId="0" applyNumberFormat="1" applyFont="1" applyFill="1" applyAlignment="1">
      <alignment horizontal="center"/>
    </xf>
    <xf numFmtId="3" fontId="10" fillId="0" borderId="0" xfId="0" applyNumberFormat="1" applyFont="1" applyFill="1" applyBorder="1" applyAlignment="1">
      <alignment horizontal="center"/>
    </xf>
    <xf numFmtId="10" fontId="10" fillId="0" borderId="0" xfId="13" applyNumberFormat="1" applyFont="1" applyFill="1"/>
    <xf numFmtId="200" fontId="10" fillId="0" borderId="0" xfId="1" applyNumberFormat="1" applyFont="1" applyFill="1"/>
    <xf numFmtId="7" fontId="10" fillId="0" borderId="0" xfId="0" applyNumberFormat="1" applyFont="1" applyFill="1" applyProtection="1">
      <protection locked="0"/>
    </xf>
    <xf numFmtId="5" fontId="42" fillId="0" borderId="12" xfId="7" applyNumberFormat="1" applyFont="1" applyFill="1" applyBorder="1"/>
    <xf numFmtId="168" fontId="10" fillId="0" borderId="0" xfId="1" applyNumberFormat="1" applyFont="1" applyFill="1"/>
    <xf numFmtId="171" fontId="10" fillId="0" borderId="13" xfId="13" applyNumberFormat="1" applyFont="1" applyFill="1" applyBorder="1"/>
    <xf numFmtId="5" fontId="42" fillId="0" borderId="28" xfId="7" applyNumberFormat="1" applyFont="1" applyFill="1" applyBorder="1" applyAlignment="1">
      <alignment horizontal="right"/>
    </xf>
    <xf numFmtId="10" fontId="10" fillId="0" borderId="0" xfId="13" applyNumberFormat="1" applyFont="1" applyFill="1" applyBorder="1"/>
    <xf numFmtId="171" fontId="10" fillId="0" borderId="0" xfId="13" applyNumberFormat="1" applyFont="1" applyFill="1" applyBorder="1"/>
    <xf numFmtId="0" fontId="24" fillId="0" borderId="34" xfId="10" applyFont="1" applyFill="1" applyBorder="1" applyAlignment="1">
      <alignment horizontal="centerContinuous"/>
    </xf>
    <xf numFmtId="0" fontId="10" fillId="0" borderId="0" xfId="0" applyFont="1" applyFill="1" applyAlignment="1" applyProtection="1">
      <alignment horizontal="left"/>
    </xf>
    <xf numFmtId="0" fontId="48" fillId="0" borderId="0" xfId="0" applyFont="1" applyFill="1" applyAlignment="1" applyProtection="1">
      <alignment horizontal="centerContinuous"/>
    </xf>
    <xf numFmtId="0" fontId="10" fillId="0" borderId="0" xfId="0" applyFont="1" applyFill="1" applyAlignment="1" applyProtection="1">
      <alignment horizontal="centerContinuous"/>
    </xf>
    <xf numFmtId="0" fontId="12" fillId="0" borderId="0" xfId="0" applyFont="1" applyFill="1" applyAlignment="1" applyProtection="1">
      <alignment horizontal="centerContinuous"/>
    </xf>
    <xf numFmtId="0" fontId="10" fillId="0" borderId="0" xfId="0" applyFont="1" applyFill="1" applyAlignment="1" applyProtection="1">
      <alignment horizontal="center"/>
    </xf>
    <xf numFmtId="0" fontId="10" fillId="0" borderId="6" xfId="0" applyFont="1" applyFill="1" applyBorder="1" applyAlignment="1" applyProtection="1">
      <alignment horizontal="centerContinuous"/>
    </xf>
    <xf numFmtId="0" fontId="10" fillId="0" borderId="3" xfId="0" applyFont="1" applyFill="1" applyBorder="1" applyAlignment="1" applyProtection="1">
      <alignment horizontal="centerContinuous"/>
    </xf>
    <xf numFmtId="0" fontId="10" fillId="0" borderId="60" xfId="0" applyFont="1" applyFill="1" applyBorder="1" applyAlignment="1" applyProtection="1">
      <alignment horizontal="center"/>
    </xf>
    <xf numFmtId="0" fontId="10" fillId="0" borderId="60" xfId="0" applyFont="1" applyFill="1" applyBorder="1" applyAlignment="1" applyProtection="1">
      <alignment horizontal="centerContinuous"/>
    </xf>
    <xf numFmtId="0" fontId="10" fillId="0" borderId="6" xfId="0" applyFont="1" applyFill="1" applyBorder="1" applyAlignment="1" applyProtection="1">
      <alignment horizontal="center"/>
    </xf>
    <xf numFmtId="0" fontId="10" fillId="0" borderId="2" xfId="0" applyFont="1" applyFill="1" applyBorder="1" applyAlignment="1" applyProtection="1">
      <alignment horizontal="centerContinuous"/>
    </xf>
    <xf numFmtId="0" fontId="10" fillId="0" borderId="1" xfId="0" applyFont="1" applyFill="1" applyBorder="1" applyAlignment="1" applyProtection="1">
      <alignment horizontal="centerContinuous"/>
    </xf>
    <xf numFmtId="0" fontId="10" fillId="0" borderId="0" xfId="0" quotePrefix="1" applyFont="1" applyFill="1" applyAlignment="1" applyProtection="1">
      <alignment horizontal="center"/>
    </xf>
    <xf numFmtId="0" fontId="10" fillId="0" borderId="0" xfId="0" applyFont="1" applyFill="1" applyBorder="1" applyAlignment="1" applyProtection="1">
      <alignment horizontal="center"/>
    </xf>
    <xf numFmtId="0" fontId="10" fillId="0" borderId="35" xfId="0" applyFont="1" applyFill="1" applyBorder="1" applyAlignment="1" applyProtection="1">
      <alignment horizontal="center"/>
    </xf>
    <xf numFmtId="0" fontId="10" fillId="0" borderId="2" xfId="0" applyFont="1" applyFill="1" applyBorder="1" applyAlignment="1" applyProtection="1">
      <alignment horizontal="center"/>
    </xf>
    <xf numFmtId="0" fontId="10" fillId="0" borderId="27" xfId="0" applyFont="1" applyFill="1" applyBorder="1" applyAlignment="1" applyProtection="1">
      <alignment horizontal="center"/>
    </xf>
    <xf numFmtId="0" fontId="10" fillId="0" borderId="7" xfId="0" applyFont="1" applyFill="1" applyBorder="1" applyAlignment="1" applyProtection="1">
      <alignment horizontal="left"/>
    </xf>
    <xf numFmtId="0" fontId="10" fillId="0" borderId="8" xfId="0" applyFont="1" applyFill="1" applyBorder="1" applyProtection="1"/>
    <xf numFmtId="5" fontId="10" fillId="0" borderId="8" xfId="0" applyNumberFormat="1" applyFont="1" applyFill="1" applyBorder="1" applyProtection="1"/>
    <xf numFmtId="0" fontId="10" fillId="0" borderId="9" xfId="0" applyFont="1" applyFill="1" applyBorder="1" applyAlignment="1" applyProtection="1">
      <alignment horizontal="left"/>
    </xf>
    <xf numFmtId="0" fontId="10" fillId="0" borderId="10" xfId="0" applyFont="1" applyFill="1" applyBorder="1" applyProtection="1"/>
    <xf numFmtId="0" fontId="10" fillId="0" borderId="11" xfId="0" applyFont="1" applyFill="1" applyBorder="1" applyAlignment="1" applyProtection="1">
      <alignment horizontal="left"/>
    </xf>
    <xf numFmtId="0" fontId="10" fillId="0" borderId="1" xfId="0" applyFont="1" applyFill="1" applyBorder="1" applyProtection="1"/>
    <xf numFmtId="5" fontId="10" fillId="0" borderId="3" xfId="0" applyNumberFormat="1" applyFont="1" applyFill="1" applyBorder="1" applyProtection="1"/>
    <xf numFmtId="0" fontId="10" fillId="0" borderId="32" xfId="0" applyFont="1" applyFill="1" applyBorder="1" applyAlignment="1" applyProtection="1">
      <alignment horizontal="left"/>
    </xf>
    <xf numFmtId="0" fontId="10" fillId="0" borderId="33" xfId="0" applyFont="1" applyFill="1" applyBorder="1" applyProtection="1"/>
    <xf numFmtId="5" fontId="10" fillId="0" borderId="33" xfId="0" applyNumberFormat="1" applyFont="1" applyFill="1" applyBorder="1" applyProtection="1"/>
    <xf numFmtId="0" fontId="10" fillId="0" borderId="30" xfId="0" applyFont="1" applyFill="1" applyBorder="1" applyAlignment="1" applyProtection="1">
      <alignment horizontal="left"/>
    </xf>
    <xf numFmtId="0" fontId="10" fillId="0" borderId="31" xfId="0" applyFont="1" applyFill="1" applyBorder="1" applyProtection="1"/>
    <xf numFmtId="5" fontId="10" fillId="0" borderId="21" xfId="0" applyNumberFormat="1" applyFont="1" applyFill="1" applyBorder="1" applyProtection="1"/>
    <xf numFmtId="0" fontId="10" fillId="0" borderId="22" xfId="0" applyFont="1" applyFill="1" applyBorder="1" applyAlignment="1" applyProtection="1">
      <alignment horizontal="left"/>
    </xf>
    <xf numFmtId="0" fontId="10" fillId="0" borderId="23" xfId="0" applyFont="1" applyFill="1" applyBorder="1" applyProtection="1"/>
    <xf numFmtId="5" fontId="10" fillId="0" borderId="23" xfId="0" applyNumberFormat="1" applyFont="1" applyFill="1" applyBorder="1" applyProtection="1"/>
    <xf numFmtId="5" fontId="10" fillId="0" borderId="0" xfId="0" applyNumberFormat="1" applyFont="1" applyFill="1" applyProtection="1"/>
    <xf numFmtId="0" fontId="10" fillId="0" borderId="1" xfId="0" quotePrefix="1" applyFont="1" applyFill="1" applyBorder="1" applyAlignment="1" applyProtection="1">
      <alignment horizontal="center"/>
    </xf>
    <xf numFmtId="10" fontId="10" fillId="0" borderId="0" xfId="13" applyNumberFormat="1" applyFont="1" applyFill="1" applyProtection="1"/>
    <xf numFmtId="0" fontId="54" fillId="0" borderId="0" xfId="0" applyFont="1" applyFill="1" applyAlignment="1"/>
    <xf numFmtId="164" fontId="10" fillId="0" borderId="0" xfId="0" applyNumberFormat="1" applyFont="1" applyFill="1" applyProtection="1"/>
    <xf numFmtId="167" fontId="10" fillId="0" borderId="0" xfId="0" applyNumberFormat="1" applyFont="1" applyFill="1"/>
    <xf numFmtId="5" fontId="10" fillId="0" borderId="0" xfId="0" applyNumberFormat="1" applyFont="1" applyFill="1"/>
    <xf numFmtId="0" fontId="16" fillId="0" borderId="0" xfId="0" applyFont="1" applyFill="1" applyAlignment="1" applyProtection="1">
      <alignment horizontal="centerContinuous"/>
    </xf>
    <xf numFmtId="0" fontId="55" fillId="0" borderId="0" xfId="0" applyFont="1" applyFill="1" applyAlignment="1" applyProtection="1">
      <alignment horizontal="centerContinuous"/>
    </xf>
    <xf numFmtId="0" fontId="10" fillId="0" borderId="0" xfId="0" applyFont="1" applyFill="1" applyAlignment="1">
      <alignment horizontal="centerContinuous"/>
    </xf>
    <xf numFmtId="0" fontId="10" fillId="0" borderId="3" xfId="0" applyFont="1" applyFill="1" applyBorder="1" applyAlignment="1" applyProtection="1">
      <alignment horizontal="center"/>
    </xf>
    <xf numFmtId="0" fontId="10" fillId="0" borderId="21" xfId="0" applyFont="1" applyFill="1" applyBorder="1" applyAlignment="1" applyProtection="1">
      <alignment horizontal="center"/>
    </xf>
    <xf numFmtId="37" fontId="10" fillId="0" borderId="8" xfId="0" applyNumberFormat="1" applyFont="1" applyFill="1" applyBorder="1" applyProtection="1"/>
    <xf numFmtId="37" fontId="10" fillId="0" borderId="20" xfId="0" applyNumberFormat="1" applyFont="1" applyFill="1" applyBorder="1" applyProtection="1"/>
    <xf numFmtId="37" fontId="10" fillId="0" borderId="10" xfId="0" applyNumberFormat="1" applyFont="1" applyFill="1" applyBorder="1" applyProtection="1"/>
    <xf numFmtId="0" fontId="10" fillId="0" borderId="61" xfId="0" applyFont="1" applyFill="1" applyBorder="1" applyAlignment="1" applyProtection="1">
      <alignment horizontal="left"/>
    </xf>
    <xf numFmtId="0" fontId="10" fillId="0" borderId="62" xfId="0" applyFont="1" applyFill="1" applyBorder="1" applyProtection="1"/>
    <xf numFmtId="37" fontId="10" fillId="0" borderId="62" xfId="0" applyNumberFormat="1" applyFont="1" applyFill="1" applyBorder="1" applyProtection="1"/>
    <xf numFmtId="37" fontId="10" fillId="0" borderId="63" xfId="0" applyNumberFormat="1" applyFont="1" applyFill="1" applyBorder="1" applyProtection="1"/>
    <xf numFmtId="37" fontId="10" fillId="0" borderId="23" xfId="0" applyNumberFormat="1" applyFont="1" applyFill="1" applyBorder="1" applyProtection="1"/>
    <xf numFmtId="37" fontId="10" fillId="0" borderId="27" xfId="0" applyNumberFormat="1" applyFont="1" applyFill="1" applyBorder="1" applyProtection="1"/>
    <xf numFmtId="0" fontId="10" fillId="0" borderId="24" xfId="0" applyFont="1" applyFill="1" applyBorder="1" applyAlignment="1" applyProtection="1">
      <alignment horizontal="left"/>
    </xf>
    <xf numFmtId="0" fontId="10" fillId="0" borderId="25" xfId="0" applyFont="1" applyFill="1" applyBorder="1" applyProtection="1"/>
    <xf numFmtId="37" fontId="10" fillId="0" borderId="25" xfId="0" applyNumberFormat="1" applyFont="1" applyFill="1" applyBorder="1" applyProtection="1"/>
    <xf numFmtId="37" fontId="10" fillId="0" borderId="26" xfId="0" applyNumberFormat="1" applyFont="1" applyFill="1" applyBorder="1" applyProtection="1"/>
    <xf numFmtId="0" fontId="10" fillId="0" borderId="0" xfId="0" applyFont="1" applyFill="1" applyAlignment="1">
      <alignment horizontal="left" indent="1"/>
    </xf>
    <xf numFmtId="0" fontId="14" fillId="0" borderId="0" xfId="0" applyFont="1" applyFill="1" applyAlignment="1" applyProtection="1">
      <alignment horizontal="left"/>
    </xf>
    <xf numFmtId="0" fontId="10" fillId="0" borderId="0" xfId="0" applyFont="1" applyFill="1" applyAlignment="1">
      <alignment horizontal="center"/>
    </xf>
    <xf numFmtId="0" fontId="12" fillId="0" borderId="0" xfId="0" applyFont="1" applyFill="1" applyAlignment="1" applyProtection="1">
      <alignment horizontal="left"/>
    </xf>
    <xf numFmtId="0" fontId="48" fillId="0" borderId="0" xfId="0" applyFont="1" applyFill="1" applyAlignment="1" applyProtection="1">
      <alignment horizontal="center"/>
    </xf>
    <xf numFmtId="0" fontId="10" fillId="0" borderId="4" xfId="0" applyFont="1" applyFill="1" applyBorder="1" applyAlignment="1" applyProtection="1">
      <alignment horizontal="center"/>
    </xf>
    <xf numFmtId="3" fontId="10" fillId="0" borderId="0" xfId="5" applyNumberFormat="1" applyFont="1" applyFill="1" applyBorder="1"/>
    <xf numFmtId="49" fontId="10" fillId="0" borderId="0" xfId="24" applyNumberFormat="1" applyFont="1" applyFill="1"/>
    <xf numFmtId="0" fontId="10" fillId="0" borderId="4" xfId="0" applyFont="1" applyFill="1" applyBorder="1" applyAlignment="1">
      <alignment horizontal="center"/>
    </xf>
    <xf numFmtId="0" fontId="10" fillId="0" borderId="5" xfId="0" applyFont="1" applyFill="1" applyBorder="1" applyAlignment="1" applyProtection="1">
      <alignment horizontal="centerContinuous"/>
    </xf>
    <xf numFmtId="0" fontId="10" fillId="0" borderId="19" xfId="0" applyFont="1" applyFill="1" applyBorder="1" applyAlignment="1" applyProtection="1">
      <alignment horizontal="centerContinuous"/>
    </xf>
    <xf numFmtId="0" fontId="10" fillId="0" borderId="12" xfId="0" applyFont="1" applyFill="1" applyBorder="1" applyAlignment="1" applyProtection="1">
      <alignment horizontal="centerContinuous"/>
    </xf>
    <xf numFmtId="0" fontId="10" fillId="0" borderId="13" xfId="0" applyFont="1" applyFill="1" applyBorder="1" applyAlignment="1" applyProtection="1">
      <alignment horizontal="centerContinuous"/>
    </xf>
    <xf numFmtId="0" fontId="10" fillId="0" borderId="19" xfId="0" applyFont="1" applyFill="1" applyBorder="1" applyAlignment="1" applyProtection="1">
      <alignment horizontal="center"/>
    </xf>
    <xf numFmtId="165" fontId="10" fillId="0" borderId="12" xfId="0" applyNumberFormat="1" applyFont="1" applyFill="1" applyBorder="1" applyAlignment="1" applyProtection="1">
      <alignment horizontal="center"/>
    </xf>
    <xf numFmtId="0" fontId="10" fillId="0" borderId="28" xfId="0" applyFont="1" applyFill="1" applyBorder="1" applyAlignment="1">
      <alignment horizontal="center"/>
    </xf>
    <xf numFmtId="0" fontId="10" fillId="0" borderId="28" xfId="0" applyFont="1" applyFill="1" applyBorder="1" applyAlignment="1" applyProtection="1">
      <alignment horizontal="center"/>
    </xf>
    <xf numFmtId="165" fontId="10" fillId="0" borderId="5" xfId="0" applyNumberFormat="1" applyFont="1" applyFill="1" applyBorder="1" applyAlignment="1">
      <alignment horizontal="center"/>
    </xf>
    <xf numFmtId="15" fontId="10" fillId="0" borderId="0" xfId="0" applyNumberFormat="1" applyFont="1" applyFill="1" applyBorder="1" applyAlignment="1" applyProtection="1">
      <alignment horizontal="center"/>
    </xf>
    <xf numFmtId="0" fontId="10" fillId="0" borderId="5" xfId="0" applyFont="1" applyFill="1" applyBorder="1" applyAlignment="1" applyProtection="1">
      <alignment horizontal="center"/>
    </xf>
    <xf numFmtId="0" fontId="10" fillId="0" borderId="19" xfId="0" applyFont="1" applyFill="1" applyBorder="1" applyAlignment="1">
      <alignment horizontal="center"/>
    </xf>
    <xf numFmtId="165" fontId="10" fillId="0" borderId="4" xfId="0" applyNumberFormat="1" applyFont="1" applyFill="1" applyBorder="1" applyAlignment="1"/>
    <xf numFmtId="0" fontId="10" fillId="0" borderId="5" xfId="0" applyFont="1" applyFill="1" applyBorder="1" applyAlignment="1"/>
    <xf numFmtId="14" fontId="15" fillId="0" borderId="0" xfId="0" applyNumberFormat="1" applyFont="1" applyFill="1"/>
    <xf numFmtId="14" fontId="10" fillId="0" borderId="0" xfId="0" applyNumberFormat="1" applyFont="1" applyFill="1"/>
    <xf numFmtId="10" fontId="10" fillId="0" borderId="0" xfId="0" applyNumberFormat="1" applyFont="1" applyFill="1" applyBorder="1"/>
    <xf numFmtId="10" fontId="8" fillId="0" borderId="0" xfId="0" applyNumberFormat="1" applyFont="1" applyFill="1" applyBorder="1"/>
    <xf numFmtId="16" fontId="10" fillId="0" borderId="0" xfId="0" applyNumberFormat="1" applyFont="1" applyFill="1"/>
    <xf numFmtId="10" fontId="8" fillId="0" borderId="0" xfId="13" applyNumberFormat="1" applyFont="1" applyFill="1" applyBorder="1"/>
    <xf numFmtId="0" fontId="10" fillId="0" borderId="5" xfId="0" applyFont="1" applyFill="1" applyBorder="1"/>
    <xf numFmtId="0" fontId="8" fillId="0" borderId="4" xfId="0" applyFont="1" applyFill="1" applyBorder="1"/>
    <xf numFmtId="166" fontId="10" fillId="0" borderId="0" xfId="13" applyNumberFormat="1" applyFont="1" applyFill="1" applyBorder="1"/>
    <xf numFmtId="10" fontId="10" fillId="0" borderId="5" xfId="0" applyNumberFormat="1" applyFont="1" applyFill="1" applyBorder="1" applyProtection="1">
      <protection hidden="1"/>
    </xf>
    <xf numFmtId="10" fontId="9" fillId="0" borderId="0" xfId="0" applyNumberFormat="1" applyFont="1" applyFill="1" applyBorder="1"/>
    <xf numFmtId="0" fontId="8" fillId="0" borderId="5" xfId="0" applyFont="1" applyFill="1" applyBorder="1"/>
    <xf numFmtId="168" fontId="10" fillId="0" borderId="0" xfId="0" quotePrefix="1" applyNumberFormat="1" applyFont="1" applyFill="1"/>
    <xf numFmtId="165" fontId="10" fillId="0" borderId="37" xfId="0" applyNumberFormat="1" applyFont="1" applyFill="1" applyBorder="1"/>
    <xf numFmtId="168" fontId="10" fillId="0" borderId="64" xfId="0" applyNumberFormat="1" applyFont="1" applyFill="1" applyBorder="1"/>
    <xf numFmtId="165" fontId="10" fillId="0" borderId="18" xfId="0" applyNumberFormat="1" applyFont="1" applyFill="1" applyBorder="1"/>
    <xf numFmtId="168" fontId="10" fillId="0" borderId="0" xfId="13" applyNumberFormat="1" applyFont="1" applyFill="1" applyAlignment="1"/>
    <xf numFmtId="166" fontId="10" fillId="0" borderId="0" xfId="0" applyNumberFormat="1" applyFont="1" applyFill="1"/>
    <xf numFmtId="0" fontId="22" fillId="0" borderId="36" xfId="0" applyFont="1" applyFill="1" applyBorder="1" applyAlignment="1">
      <alignment horizontal="left"/>
    </xf>
    <xf numFmtId="1" fontId="10" fillId="0" borderId="0" xfId="0" applyNumberFormat="1" applyFont="1" applyFill="1" applyBorder="1" applyAlignment="1">
      <alignment horizontal="right"/>
    </xf>
    <xf numFmtId="193" fontId="56" fillId="0" borderId="0" xfId="0" applyNumberFormat="1" applyFont="1" applyFill="1" applyBorder="1" applyAlignment="1" applyProtection="1">
      <alignment horizontal="right" vertical="top"/>
      <protection locked="0"/>
    </xf>
    <xf numFmtId="1" fontId="10" fillId="0" borderId="0" xfId="1" applyNumberFormat="1" applyFont="1" applyFill="1" applyBorder="1" applyAlignment="1">
      <alignment horizontal="right"/>
    </xf>
    <xf numFmtId="193" fontId="12" fillId="0" borderId="0" xfId="0" applyNumberFormat="1" applyFont="1" applyFill="1"/>
    <xf numFmtId="205" fontId="12" fillId="0" borderId="0" xfId="0" applyNumberFormat="1" applyFont="1" applyFill="1"/>
    <xf numFmtId="0" fontId="10" fillId="0" borderId="0" xfId="0" applyFont="1" applyFill="1" applyBorder="1" applyAlignment="1">
      <alignment horizontal="right"/>
    </xf>
    <xf numFmtId="205" fontId="10" fillId="0" borderId="0" xfId="0" applyNumberFormat="1" applyFont="1" applyFill="1" applyBorder="1"/>
    <xf numFmtId="6" fontId="12" fillId="0" borderId="0" xfId="0" applyNumberFormat="1" applyFont="1" applyFill="1" applyBorder="1"/>
    <xf numFmtId="8" fontId="42" fillId="0" borderId="0" xfId="0" applyNumberFormat="1" applyFont="1" applyFill="1" applyBorder="1"/>
    <xf numFmtId="0" fontId="42" fillId="0" borderId="0" xfId="0" applyFont="1" applyFill="1" applyBorder="1"/>
    <xf numFmtId="193" fontId="12" fillId="0" borderId="0" xfId="0" applyNumberFormat="1" applyFont="1" applyFill="1" applyBorder="1"/>
    <xf numFmtId="0" fontId="10" fillId="0" borderId="19" xfId="0" applyFont="1" applyFill="1" applyBorder="1"/>
    <xf numFmtId="6" fontId="10" fillId="0" borderId="12" xfId="0" applyNumberFormat="1" applyFont="1" applyFill="1" applyBorder="1"/>
    <xf numFmtId="165" fontId="10" fillId="0" borderId="12" xfId="0" applyNumberFormat="1" applyFont="1" applyFill="1" applyBorder="1"/>
    <xf numFmtId="165" fontId="12" fillId="0" borderId="0" xfId="0" applyNumberFormat="1" applyFont="1" applyFill="1"/>
    <xf numFmtId="6" fontId="10" fillId="0" borderId="0" xfId="0" applyNumberFormat="1" applyFont="1" applyFill="1"/>
    <xf numFmtId="167" fontId="56" fillId="0" borderId="0" xfId="2" applyNumberFormat="1" applyFont="1" applyFill="1" applyBorder="1" applyAlignment="1" applyProtection="1">
      <alignment horizontal="right" vertical="top"/>
      <protection locked="0"/>
    </xf>
    <xf numFmtId="205" fontId="57" fillId="0" borderId="0" xfId="0" applyNumberFormat="1" applyFont="1" applyFill="1" applyBorder="1" applyAlignment="1" applyProtection="1">
      <alignment horizontal="right" vertical="top"/>
      <protection locked="0"/>
    </xf>
    <xf numFmtId="172" fontId="10" fillId="0" borderId="0" xfId="0" applyNumberFormat="1" applyFont="1" applyFill="1"/>
    <xf numFmtId="167" fontId="10" fillId="0" borderId="0" xfId="2" applyNumberFormat="1" applyFont="1" applyFill="1" applyBorder="1" applyProtection="1"/>
    <xf numFmtId="167" fontId="10" fillId="0" borderId="0" xfId="2" applyNumberFormat="1" applyFont="1" applyFill="1" applyProtection="1"/>
    <xf numFmtId="0" fontId="8" fillId="0" borderId="0" xfId="0" applyFont="1" applyFill="1" applyBorder="1"/>
    <xf numFmtId="0" fontId="10" fillId="0" borderId="28" xfId="0" applyFont="1" applyFill="1" applyBorder="1" applyAlignment="1"/>
    <xf numFmtId="0" fontId="3" fillId="0" borderId="0" xfId="6" applyFont="1" applyFill="1"/>
    <xf numFmtId="5" fontId="6" fillId="0" borderId="0" xfId="0" applyNumberFormat="1" applyFont="1" applyFill="1" applyProtection="1">
      <protection locked="0"/>
    </xf>
    <xf numFmtId="165" fontId="10" fillId="0" borderId="5" xfId="0" applyNumberFormat="1" applyFont="1" applyFill="1" applyBorder="1"/>
    <xf numFmtId="165" fontId="10" fillId="0" borderId="64" xfId="0" applyNumberFormat="1" applyFont="1" applyFill="1" applyBorder="1"/>
    <xf numFmtId="0" fontId="0" fillId="0" borderId="0" xfId="0" applyFill="1" applyBorder="1" applyProtection="1"/>
    <xf numFmtId="0" fontId="48" fillId="0" borderId="0" xfId="27" applyFont="1" applyFill="1" applyAlignment="1" applyProtection="1">
      <alignment horizontal="left"/>
    </xf>
    <xf numFmtId="0" fontId="10" fillId="0" borderId="0" xfId="27" applyFont="1" applyFill="1" applyAlignment="1" applyProtection="1">
      <alignment horizontal="left"/>
    </xf>
    <xf numFmtId="0" fontId="10" fillId="0" borderId="0" xfId="27" applyFont="1" applyFill="1" applyAlignment="1">
      <alignment horizontal="left"/>
    </xf>
    <xf numFmtId="0" fontId="10" fillId="0" borderId="0" xfId="27" applyFont="1" applyFill="1"/>
    <xf numFmtId="0" fontId="10" fillId="0" borderId="0" xfId="27" applyFont="1" applyFill="1" applyAlignment="1" applyProtection="1">
      <alignment horizontal="center"/>
    </xf>
    <xf numFmtId="0" fontId="10" fillId="0" borderId="11" xfId="27" applyFont="1" applyFill="1" applyBorder="1" applyAlignment="1" applyProtection="1">
      <alignment horizontal="center"/>
    </xf>
    <xf numFmtId="0" fontId="10" fillId="0" borderId="0" xfId="27" applyFont="1" applyFill="1" applyAlignment="1" applyProtection="1">
      <alignment horizontal="centerContinuous"/>
    </xf>
    <xf numFmtId="0" fontId="10" fillId="0" borderId="0" xfId="27" applyFont="1" applyFill="1" applyProtection="1"/>
    <xf numFmtId="0" fontId="10" fillId="0" borderId="0" xfId="27" applyFont="1" applyFill="1" applyBorder="1" applyAlignment="1" applyProtection="1">
      <alignment horizontal="centerContinuous"/>
    </xf>
    <xf numFmtId="0" fontId="10" fillId="0" borderId="0" xfId="27" applyFont="1" applyFill="1" applyBorder="1" applyProtection="1"/>
    <xf numFmtId="0" fontId="10" fillId="0" borderId="0" xfId="27" applyFont="1" applyFill="1" applyBorder="1" applyAlignment="1" applyProtection="1">
      <alignment horizontal="center"/>
    </xf>
    <xf numFmtId="0" fontId="10" fillId="0" borderId="34" xfId="27" applyFont="1" applyFill="1" applyBorder="1" applyAlignment="1" applyProtection="1">
      <alignment horizontal="center"/>
    </xf>
    <xf numFmtId="0" fontId="10" fillId="0" borderId="9" xfId="27" applyFont="1" applyFill="1" applyBorder="1" applyAlignment="1" applyProtection="1">
      <alignment horizontal="center"/>
    </xf>
    <xf numFmtId="6" fontId="10" fillId="0" borderId="9" xfId="27" quotePrefix="1" applyNumberFormat="1" applyFont="1" applyFill="1" applyBorder="1" applyAlignment="1" applyProtection="1">
      <alignment horizontal="center"/>
    </xf>
    <xf numFmtId="17" fontId="10" fillId="0" borderId="0" xfId="27" applyNumberFormat="1" applyFont="1" applyFill="1" applyAlignment="1" applyProtection="1">
      <alignment horizontal="left"/>
    </xf>
    <xf numFmtId="37" fontId="10" fillId="0" borderId="0" xfId="27" applyNumberFormat="1" applyFont="1" applyFill="1" applyBorder="1" applyProtection="1"/>
    <xf numFmtId="37" fontId="10" fillId="0" borderId="11" xfId="27" applyNumberFormat="1" applyFont="1" applyFill="1" applyBorder="1" applyProtection="1"/>
    <xf numFmtId="42" fontId="10" fillId="0" borderId="11" xfId="27" applyNumberFormat="1" applyFont="1" applyFill="1" applyBorder="1" applyProtection="1"/>
    <xf numFmtId="17" fontId="10" fillId="0" borderId="0" xfId="27" applyNumberFormat="1" applyFont="1" applyFill="1"/>
    <xf numFmtId="37" fontId="10" fillId="0" borderId="0" xfId="27" applyNumberFormat="1" applyFont="1" applyFill="1" applyProtection="1"/>
    <xf numFmtId="37" fontId="10" fillId="0" borderId="12" xfId="27" applyNumberFormat="1" applyFont="1" applyFill="1" applyBorder="1" applyProtection="1"/>
    <xf numFmtId="17" fontId="10" fillId="0" borderId="0" xfId="27" applyNumberFormat="1" applyFont="1" applyFill="1" applyBorder="1" applyAlignment="1" applyProtection="1">
      <alignment horizontal="left"/>
    </xf>
    <xf numFmtId="17" fontId="10" fillId="0" borderId="0" xfId="27" applyNumberFormat="1" applyFont="1" applyFill="1" applyBorder="1"/>
    <xf numFmtId="42" fontId="10" fillId="0" borderId="5" xfId="27" applyNumberFormat="1" applyFont="1" applyFill="1" applyBorder="1" applyProtection="1"/>
    <xf numFmtId="37" fontId="10" fillId="0" borderId="34" xfId="27" applyNumberFormat="1" applyFont="1" applyFill="1" applyBorder="1" applyProtection="1"/>
    <xf numFmtId="37" fontId="10" fillId="0" borderId="9" xfId="27" applyNumberFormat="1" applyFont="1" applyFill="1" applyBorder="1" applyProtection="1"/>
    <xf numFmtId="42" fontId="10" fillId="0" borderId="30" xfId="27" applyNumberFormat="1" applyFont="1" applyFill="1" applyBorder="1" applyProtection="1"/>
    <xf numFmtId="0" fontId="10" fillId="0" borderId="11" xfId="27" applyFont="1" applyFill="1" applyBorder="1"/>
    <xf numFmtId="42" fontId="10" fillId="0" borderId="11" xfId="27" applyNumberFormat="1" applyFont="1" applyFill="1" applyBorder="1"/>
    <xf numFmtId="42" fontId="10" fillId="0" borderId="0" xfId="27" applyNumberFormat="1" applyFont="1" applyFill="1" applyBorder="1" applyProtection="1"/>
    <xf numFmtId="5" fontId="10" fillId="0" borderId="0" xfId="27" applyNumberFormat="1" applyFont="1" applyFill="1" applyBorder="1" applyProtection="1"/>
    <xf numFmtId="5" fontId="10" fillId="0" borderId="0" xfId="27" applyNumberFormat="1" applyFont="1" applyFill="1" applyProtection="1"/>
    <xf numFmtId="42" fontId="10" fillId="0" borderId="0" xfId="27" applyNumberFormat="1" applyFont="1" applyFill="1"/>
    <xf numFmtId="37" fontId="10" fillId="0" borderId="10" xfId="27" applyNumberFormat="1" applyFont="1" applyFill="1" applyBorder="1" applyProtection="1"/>
    <xf numFmtId="42" fontId="10" fillId="0" borderId="9" xfId="27" applyNumberFormat="1" applyFont="1" applyFill="1" applyBorder="1" applyProtection="1"/>
    <xf numFmtId="0" fontId="10" fillId="0" borderId="5" xfId="27" applyFont="1" applyFill="1" applyBorder="1" applyAlignment="1" applyProtection="1">
      <alignment horizontal="center"/>
    </xf>
    <xf numFmtId="0" fontId="10" fillId="0" borderId="12" xfId="27" applyFont="1" applyFill="1" applyBorder="1" applyAlignment="1" applyProtection="1">
      <alignment horizontal="center"/>
    </xf>
    <xf numFmtId="0" fontId="10" fillId="0" borderId="19" xfId="27" applyFont="1" applyFill="1" applyBorder="1" applyAlignment="1" applyProtection="1">
      <alignment horizontal="center"/>
    </xf>
    <xf numFmtId="37" fontId="10" fillId="0" borderId="5" xfId="27" applyNumberFormat="1" applyFont="1" applyFill="1" applyBorder="1" applyProtection="1"/>
    <xf numFmtId="37" fontId="10" fillId="0" borderId="13" xfId="27" applyNumberFormat="1" applyFont="1" applyFill="1" applyBorder="1" applyProtection="1"/>
    <xf numFmtId="37" fontId="10" fillId="0" borderId="19" xfId="27" applyNumberFormat="1" applyFont="1" applyFill="1" applyBorder="1" applyProtection="1"/>
    <xf numFmtId="37" fontId="10" fillId="0" borderId="31" xfId="27" applyNumberFormat="1" applyFont="1" applyFill="1" applyBorder="1" applyProtection="1"/>
    <xf numFmtId="42" fontId="10" fillId="0" borderId="19" xfId="27" applyNumberFormat="1" applyFont="1" applyFill="1" applyBorder="1" applyProtection="1"/>
    <xf numFmtId="174" fontId="10" fillId="0" borderId="5" xfId="27" applyNumberFormat="1" applyFont="1" applyFill="1" applyBorder="1" applyProtection="1"/>
    <xf numFmtId="174" fontId="10" fillId="0" borderId="0" xfId="27" applyNumberFormat="1" applyFont="1" applyFill="1" applyProtection="1"/>
    <xf numFmtId="42" fontId="10" fillId="0" borderId="5" xfId="27" applyNumberFormat="1" applyFont="1" applyFill="1" applyBorder="1"/>
    <xf numFmtId="37" fontId="10" fillId="0" borderId="0" xfId="27" applyNumberFormat="1" applyFont="1" applyFill="1"/>
    <xf numFmtId="14" fontId="10" fillId="0" borderId="0" xfId="27" applyNumberFormat="1" applyFont="1" applyFill="1"/>
    <xf numFmtId="1" fontId="10" fillId="0" borderId="0" xfId="27" applyNumberFormat="1" applyFont="1" applyFill="1"/>
    <xf numFmtId="170" fontId="10" fillId="0" borderId="0" xfId="27" applyNumberFormat="1" applyFont="1" applyFill="1" applyBorder="1" applyProtection="1"/>
    <xf numFmtId="0" fontId="10" fillId="0" borderId="0" xfId="27" applyFont="1" applyFill="1" applyBorder="1"/>
    <xf numFmtId="167" fontId="10" fillId="0" borderId="0" xfId="27" applyNumberFormat="1" applyFont="1" applyFill="1" applyProtection="1"/>
    <xf numFmtId="37" fontId="12" fillId="0" borderId="0" xfId="0" applyNumberFormat="1" applyFont="1" applyFill="1"/>
    <xf numFmtId="0" fontId="24" fillId="0" borderId="0" xfId="10" applyFont="1" applyFill="1" applyAlignment="1">
      <alignment horizontal="centerContinuous"/>
    </xf>
    <xf numFmtId="0" fontId="10" fillId="0" borderId="0" xfId="11" applyFont="1" applyFill="1"/>
    <xf numFmtId="0" fontId="10" fillId="0" borderId="0" xfId="11" applyFont="1" applyFill="1" applyBorder="1" applyAlignment="1">
      <alignment horizontal="center"/>
    </xf>
    <xf numFmtId="0" fontId="10" fillId="0" borderId="0" xfId="11" quotePrefix="1" applyFont="1" applyFill="1" applyAlignment="1">
      <alignment horizontal="center"/>
    </xf>
    <xf numFmtId="0" fontId="24" fillId="0" borderId="0" xfId="10" applyFont="1" applyFill="1" applyBorder="1" applyAlignment="1">
      <alignment horizontal="center"/>
    </xf>
    <xf numFmtId="0" fontId="24" fillId="0" borderId="0" xfId="10" applyFont="1" applyFill="1" applyBorder="1" applyAlignment="1">
      <alignment horizontal="centerContinuous"/>
    </xf>
    <xf numFmtId="0" fontId="48" fillId="0" borderId="0" xfId="11" applyFont="1" applyFill="1"/>
    <xf numFmtId="193" fontId="10" fillId="0" borderId="0" xfId="0" applyNumberFormat="1" applyFont="1" applyFill="1"/>
    <xf numFmtId="43" fontId="10" fillId="0" borderId="0" xfId="0" applyNumberFormat="1" applyFont="1" applyFill="1" applyProtection="1"/>
    <xf numFmtId="165" fontId="13" fillId="0" borderId="0" xfId="0" applyNumberFormat="1" applyFont="1" applyFill="1"/>
    <xf numFmtId="0" fontId="10" fillId="0" borderId="0" xfId="27" applyFill="1"/>
    <xf numFmtId="0" fontId="10" fillId="0" borderId="0" xfId="27" applyFill="1" applyBorder="1"/>
    <xf numFmtId="37" fontId="10" fillId="0" borderId="0" xfId="27" applyNumberFormat="1" applyFill="1"/>
    <xf numFmtId="5" fontId="4" fillId="0" borderId="0" xfId="27" applyNumberFormat="1" applyFont="1" applyFill="1" applyProtection="1"/>
    <xf numFmtId="5" fontId="10" fillId="0" borderId="0" xfId="27" applyNumberFormat="1" applyFill="1"/>
    <xf numFmtId="43" fontId="10" fillId="0" borderId="0" xfId="27" applyNumberFormat="1" applyFill="1"/>
    <xf numFmtId="198" fontId="10" fillId="0" borderId="0" xfId="13" applyNumberFormat="1" applyFont="1" applyFill="1" applyBorder="1"/>
    <xf numFmtId="3" fontId="10" fillId="0" borderId="0" xfId="27" applyNumberFormat="1" applyFont="1" applyFill="1" applyBorder="1"/>
    <xf numFmtId="0" fontId="12" fillId="0" borderId="0" xfId="9" applyFont="1" applyFill="1" applyAlignment="1"/>
    <xf numFmtId="0" fontId="12" fillId="0" borderId="0" xfId="9" applyFont="1" applyFill="1" applyAlignment="1">
      <alignment horizontal="centerContinuous"/>
    </xf>
    <xf numFmtId="0" fontId="12" fillId="0" borderId="0" xfId="9" quotePrefix="1" applyFont="1" applyFill="1" applyAlignment="1">
      <alignment horizontal="centerContinuous"/>
    </xf>
    <xf numFmtId="0" fontId="24" fillId="0" borderId="0" xfId="9" applyFont="1" applyFill="1" applyAlignment="1">
      <alignment horizontal="centerContinuous"/>
    </xf>
    <xf numFmtId="0" fontId="24" fillId="0" borderId="35" xfId="9" applyFont="1" applyFill="1" applyBorder="1" applyAlignment="1">
      <alignment horizontal="centerContinuous"/>
    </xf>
    <xf numFmtId="0" fontId="25" fillId="0" borderId="0" xfId="9" applyFont="1" applyFill="1" applyBorder="1" applyAlignment="1">
      <alignment horizontal="center"/>
    </xf>
    <xf numFmtId="0" fontId="24" fillId="0" borderId="35" xfId="9" applyFont="1" applyFill="1" applyBorder="1"/>
    <xf numFmtId="0" fontId="25" fillId="0" borderId="0" xfId="9" applyFont="1" applyFill="1" applyBorder="1" applyAlignment="1">
      <alignment horizontal="centerContinuous"/>
    </xf>
    <xf numFmtId="0" fontId="24" fillId="0" borderId="0" xfId="9" applyFont="1" applyFill="1" applyBorder="1" applyAlignment="1">
      <alignment horizontal="center"/>
    </xf>
    <xf numFmtId="0" fontId="25" fillId="0" borderId="0" xfId="9" applyFont="1" applyFill="1" applyAlignment="1">
      <alignment horizontal="centerContinuous"/>
    </xf>
    <xf numFmtId="0" fontId="25" fillId="0" borderId="0" xfId="9" applyFont="1" applyFill="1" applyAlignment="1">
      <alignment horizontal="center"/>
    </xf>
    <xf numFmtId="0" fontId="24" fillId="0" borderId="0" xfId="9" applyFont="1" applyFill="1" applyBorder="1" applyAlignment="1">
      <alignment horizontal="centerContinuous"/>
    </xf>
    <xf numFmtId="0" fontId="25" fillId="0" borderId="35" xfId="9" applyFont="1" applyFill="1" applyBorder="1" applyAlignment="1">
      <alignment horizontal="center"/>
    </xf>
    <xf numFmtId="0" fontId="24" fillId="0" borderId="0" xfId="9" applyFont="1" applyFill="1" applyBorder="1"/>
    <xf numFmtId="0" fontId="25" fillId="0" borderId="34" xfId="9" applyFont="1" applyFill="1" applyBorder="1" applyAlignment="1">
      <alignment horizontal="center"/>
    </xf>
    <xf numFmtId="0" fontId="25" fillId="0" borderId="34" xfId="9" quotePrefix="1" applyFont="1" applyFill="1" applyBorder="1" applyAlignment="1">
      <alignment horizontal="center"/>
    </xf>
    <xf numFmtId="0" fontId="25" fillId="0" borderId="34" xfId="9" quotePrefix="1" applyFont="1" applyFill="1" applyBorder="1" applyAlignment="1">
      <alignment horizontal="centerContinuous"/>
    </xf>
    <xf numFmtId="0" fontId="25" fillId="0" borderId="12" xfId="9" applyFont="1" applyFill="1" applyBorder="1" applyAlignment="1">
      <alignment horizontal="center"/>
    </xf>
    <xf numFmtId="206" fontId="24" fillId="0" borderId="0" xfId="9" applyNumberFormat="1" applyFont="1" applyFill="1" applyAlignment="1">
      <alignment horizontal="center"/>
    </xf>
    <xf numFmtId="206" fontId="24" fillId="0" borderId="0" xfId="9" applyNumberFormat="1" applyFont="1" applyFill="1" applyAlignment="1">
      <alignment horizontal="centerContinuous"/>
    </xf>
    <xf numFmtId="0" fontId="24" fillId="0" borderId="0" xfId="9" quotePrefix="1" applyFont="1" applyFill="1" applyAlignment="1">
      <alignment horizontal="centerContinuous"/>
    </xf>
    <xf numFmtId="0" fontId="63" fillId="0" borderId="0" xfId="9" applyFont="1" applyFill="1"/>
    <xf numFmtId="0" fontId="24" fillId="0" borderId="0" xfId="9" applyFont="1" applyFill="1" applyAlignment="1">
      <alignment horizontal="left"/>
    </xf>
    <xf numFmtId="0" fontId="24" fillId="0" borderId="0" xfId="9" quotePrefix="1" applyFont="1" applyFill="1" applyAlignment="1">
      <alignment horizontal="center"/>
    </xf>
    <xf numFmtId="37" fontId="24" fillId="0" borderId="0" xfId="9" applyNumberFormat="1" applyFont="1" applyFill="1" applyAlignment="1" applyProtection="1">
      <alignment horizontal="right"/>
    </xf>
    <xf numFmtId="37" fontId="24" fillId="0" borderId="0" xfId="9" applyNumberFormat="1" applyFont="1" applyFill="1" applyProtection="1"/>
    <xf numFmtId="5" fontId="24" fillId="0" borderId="0" xfId="9" applyNumberFormat="1" applyFont="1" applyFill="1" applyProtection="1"/>
    <xf numFmtId="5" fontId="24" fillId="0" borderId="35" xfId="9" applyNumberFormat="1" applyFont="1" applyFill="1" applyBorder="1" applyProtection="1"/>
    <xf numFmtId="207" fontId="24" fillId="0" borderId="0" xfId="1" applyNumberFormat="1" applyFont="1" applyFill="1"/>
    <xf numFmtId="5" fontId="24" fillId="0" borderId="0" xfId="9" applyNumberFormat="1" applyFont="1" applyFill="1" applyBorder="1" applyProtection="1"/>
    <xf numFmtId="207" fontId="24" fillId="0" borderId="0" xfId="9" applyNumberFormat="1" applyFont="1" applyFill="1"/>
    <xf numFmtId="37" fontId="24" fillId="0" borderId="28" xfId="9" applyNumberFormat="1" applyFont="1" applyFill="1" applyBorder="1" applyProtection="1"/>
    <xf numFmtId="5" fontId="24" fillId="0" borderId="28" xfId="9" applyNumberFormat="1" applyFont="1" applyFill="1" applyBorder="1" applyProtection="1"/>
    <xf numFmtId="207" fontId="24" fillId="0" borderId="28" xfId="1" applyNumberFormat="1" applyFont="1" applyFill="1" applyBorder="1"/>
    <xf numFmtId="37" fontId="24" fillId="0" borderId="12" xfId="9" applyNumberFormat="1" applyFont="1" applyFill="1" applyBorder="1" applyAlignment="1" applyProtection="1">
      <alignment horizontal="right"/>
    </xf>
    <xf numFmtId="37" fontId="24" fillId="0" borderId="12" xfId="9" applyNumberFormat="1" applyFont="1" applyFill="1" applyBorder="1" applyProtection="1"/>
    <xf numFmtId="5" fontId="24" fillId="0" borderId="12" xfId="9" applyNumberFormat="1" applyFont="1" applyFill="1" applyBorder="1" applyProtection="1"/>
    <xf numFmtId="5" fontId="24" fillId="0" borderId="13" xfId="9" applyNumberFormat="1" applyFont="1" applyFill="1" applyBorder="1" applyProtection="1"/>
    <xf numFmtId="207" fontId="24" fillId="0" borderId="12" xfId="1" applyNumberFormat="1" applyFont="1" applyFill="1" applyBorder="1"/>
    <xf numFmtId="207" fontId="24" fillId="0" borderId="12" xfId="9" applyNumberFormat="1" applyFont="1" applyFill="1" applyBorder="1"/>
    <xf numFmtId="5" fontId="24" fillId="0" borderId="0" xfId="9" applyNumberFormat="1" applyFont="1" applyFill="1" applyAlignment="1" applyProtection="1">
      <alignment horizontal="right"/>
    </xf>
    <xf numFmtId="5" fontId="24" fillId="0" borderId="35" xfId="9" applyNumberFormat="1" applyFont="1" applyFill="1" applyBorder="1" applyAlignment="1" applyProtection="1">
      <alignment horizontal="right"/>
    </xf>
    <xf numFmtId="207" fontId="24" fillId="0" borderId="0" xfId="9" applyNumberFormat="1" applyFont="1" applyFill="1" applyBorder="1"/>
    <xf numFmtId="37" fontId="24" fillId="0" borderId="43" xfId="9" applyNumberFormat="1" applyFont="1" applyFill="1" applyBorder="1" applyProtection="1"/>
    <xf numFmtId="5" fontId="24" fillId="0" borderId="43" xfId="9" applyNumberFormat="1" applyFont="1" applyFill="1" applyBorder="1" applyProtection="1"/>
    <xf numFmtId="207" fontId="24" fillId="0" borderId="18" xfId="1" applyNumberFormat="1" applyFont="1" applyFill="1" applyBorder="1"/>
    <xf numFmtId="5" fontId="24" fillId="0" borderId="18" xfId="9" applyNumberFormat="1" applyFont="1" applyFill="1" applyBorder="1" applyProtection="1"/>
    <xf numFmtId="0" fontId="27" fillId="0" borderId="0" xfId="9" quotePrefix="1" applyFont="1" applyFill="1"/>
    <xf numFmtId="0" fontId="26" fillId="0" borderId="0" xfId="9" quotePrefix="1" applyFont="1" applyFill="1"/>
    <xf numFmtId="37" fontId="24" fillId="0" borderId="0" xfId="9" applyNumberFormat="1" applyFont="1" applyFill="1"/>
    <xf numFmtId="5" fontId="10" fillId="0" borderId="26" xfId="0" applyNumberFormat="1" applyFont="1" applyFill="1" applyBorder="1" applyProtection="1"/>
    <xf numFmtId="5" fontId="10" fillId="0" borderId="65" xfId="0" applyNumberFormat="1" applyFont="1" applyFill="1" applyBorder="1" applyProtection="1"/>
    <xf numFmtId="0" fontId="3" fillId="0" borderId="0" xfId="38" applyFont="1" applyFill="1" applyBorder="1"/>
    <xf numFmtId="171" fontId="3" fillId="0" borderId="0" xfId="40" applyNumberFormat="1" applyFont="1" applyFill="1" applyBorder="1"/>
    <xf numFmtId="0" fontId="34" fillId="0" borderId="0" xfId="38" applyFont="1" applyFill="1"/>
    <xf numFmtId="0" fontId="3" fillId="0" borderId="0" xfId="38" applyFont="1" applyFill="1"/>
    <xf numFmtId="175" fontId="10" fillId="0" borderId="0" xfId="0" applyNumberFormat="1" applyFont="1" applyFill="1"/>
    <xf numFmtId="5" fontId="10" fillId="0" borderId="12" xfId="27" applyNumberFormat="1" applyFont="1" applyFill="1" applyBorder="1" applyProtection="1"/>
    <xf numFmtId="10" fontId="42" fillId="0" borderId="0" xfId="7" applyNumberFormat="1" applyFont="1" applyFill="1" applyBorder="1"/>
    <xf numFmtId="168" fontId="10" fillId="0" borderId="0" xfId="1" quotePrefix="1" applyNumberFormat="1" applyFont="1" applyFill="1"/>
    <xf numFmtId="10" fontId="24" fillId="0" borderId="0" xfId="10" applyNumberFormat="1" applyFont="1" applyFill="1" applyProtection="1"/>
    <xf numFmtId="189" fontId="24" fillId="0" borderId="0" xfId="10" applyNumberFormat="1" applyFont="1" applyFill="1" applyProtection="1"/>
    <xf numFmtId="7" fontId="24" fillId="0" borderId="0" xfId="10" applyNumberFormat="1" applyFont="1" applyFill="1" applyProtection="1"/>
    <xf numFmtId="0" fontId="24" fillId="0" borderId="0" xfId="10" applyFont="1" applyFill="1" applyAlignment="1">
      <alignment horizontal="right"/>
    </xf>
    <xf numFmtId="5" fontId="24" fillId="0" borderId="0" xfId="10" applyNumberFormat="1" applyFont="1" applyFill="1"/>
    <xf numFmtId="0" fontId="24" fillId="0" borderId="15" xfId="10" applyFont="1" applyFill="1" applyBorder="1" applyAlignment="1">
      <alignment horizontal="center"/>
    </xf>
    <xf numFmtId="0" fontId="10" fillId="0" borderId="0" xfId="11" applyFont="1" applyFill="1" applyBorder="1" applyAlignment="1"/>
    <xf numFmtId="5" fontId="10" fillId="0" borderId="0" xfId="0" applyNumberFormat="1" applyFont="1" applyFill="1" applyBorder="1" applyProtection="1"/>
    <xf numFmtId="0" fontId="42" fillId="0" borderId="5" xfId="7" applyFont="1" applyFill="1" applyBorder="1"/>
    <xf numFmtId="0" fontId="24" fillId="0" borderId="12" xfId="10" applyFont="1" applyFill="1" applyBorder="1" applyAlignment="1" applyProtection="1">
      <alignment horizontal="center"/>
    </xf>
    <xf numFmtId="0" fontId="24" fillId="0" borderId="51" xfId="10" applyFont="1" applyFill="1" applyBorder="1"/>
    <xf numFmtId="5" fontId="10" fillId="0" borderId="0" xfId="11" applyNumberFormat="1" applyFont="1" applyFill="1" applyBorder="1"/>
    <xf numFmtId="0" fontId="10" fillId="0" borderId="0" xfId="0" quotePrefix="1" applyFont="1" applyFill="1"/>
    <xf numFmtId="5" fontId="24" fillId="0" borderId="0" xfId="10" applyNumberFormat="1" applyFont="1" applyFill="1" applyAlignment="1">
      <alignment horizontal="right"/>
    </xf>
    <xf numFmtId="0" fontId="24" fillId="0" borderId="34" xfId="10" applyFont="1" applyFill="1" applyBorder="1" applyAlignment="1">
      <alignment horizontal="center"/>
    </xf>
    <xf numFmtId="43" fontId="34" fillId="0" borderId="0" xfId="1" applyNumberFormat="1" applyFont="1" applyFill="1" applyAlignment="1">
      <alignment horizontal="center"/>
    </xf>
    <xf numFmtId="42" fontId="10" fillId="0" borderId="12" xfId="27" applyNumberFormat="1" applyFont="1" applyFill="1" applyBorder="1" applyProtection="1"/>
    <xf numFmtId="5" fontId="24" fillId="0" borderId="0" xfId="9" applyNumberFormat="1" applyFont="1" applyFill="1"/>
    <xf numFmtId="187" fontId="24" fillId="0" borderId="28" xfId="9" applyNumberFormat="1" applyFont="1" applyFill="1" applyBorder="1" applyProtection="1"/>
    <xf numFmtId="0" fontId="64" fillId="0" borderId="0" xfId="0" applyFont="1" applyFill="1" applyProtection="1"/>
    <xf numFmtId="0" fontId="0" fillId="0" borderId="12" xfId="0" applyFill="1" applyBorder="1" applyProtection="1"/>
    <xf numFmtId="165" fontId="4" fillId="0" borderId="12" xfId="2" applyNumberFormat="1" applyFont="1" applyFill="1" applyBorder="1" applyProtection="1"/>
    <xf numFmtId="165" fontId="4" fillId="0" borderId="0" xfId="2" applyNumberFormat="1" applyFont="1" applyFill="1" applyBorder="1" applyProtection="1"/>
    <xf numFmtId="0" fontId="64" fillId="0" borderId="0" xfId="0" applyFont="1" applyFill="1" applyAlignment="1" applyProtection="1">
      <alignment horizontal="right"/>
    </xf>
    <xf numFmtId="0" fontId="4" fillId="0" borderId="0" xfId="0" applyFont="1" applyFill="1" applyAlignment="1" applyProtection="1">
      <alignment horizontal="right"/>
    </xf>
    <xf numFmtId="0" fontId="5" fillId="0" borderId="0" xfId="0" applyFont="1" applyFill="1" applyAlignment="1" applyProtection="1">
      <alignment horizontal="right"/>
    </xf>
    <xf numFmtId="168" fontId="4" fillId="0" borderId="0" xfId="1" applyNumberFormat="1" applyFont="1" applyFill="1" applyAlignment="1" applyProtection="1">
      <alignment horizontal="right"/>
    </xf>
    <xf numFmtId="168" fontId="12" fillId="0" borderId="0" xfId="0" applyNumberFormat="1" applyFont="1" applyFill="1"/>
    <xf numFmtId="0" fontId="0" fillId="0" borderId="56" xfId="0" applyFill="1" applyBorder="1"/>
    <xf numFmtId="0" fontId="10" fillId="0" borderId="56" xfId="0" applyFont="1" applyFill="1" applyBorder="1" applyAlignment="1">
      <alignment horizontal="center"/>
    </xf>
    <xf numFmtId="0" fontId="4" fillId="0" borderId="0" xfId="0" quotePrefix="1" applyFont="1" applyFill="1" applyAlignment="1" applyProtection="1">
      <alignment horizontal="right"/>
    </xf>
    <xf numFmtId="168" fontId="5" fillId="0" borderId="0" xfId="1" applyNumberFormat="1" applyFont="1" applyFill="1" applyAlignment="1" applyProtection="1">
      <alignment horizontal="right"/>
    </xf>
    <xf numFmtId="3" fontId="64" fillId="0" borderId="0" xfId="0" applyNumberFormat="1" applyFont="1" applyFill="1"/>
    <xf numFmtId="0" fontId="65" fillId="0" borderId="0" xfId="0" applyFont="1" applyFill="1" applyAlignment="1" applyProtection="1">
      <alignment horizontal="right"/>
    </xf>
    <xf numFmtId="0" fontId="36" fillId="0" borderId="0" xfId="11" applyFont="1" applyFill="1" applyBorder="1" applyAlignment="1"/>
    <xf numFmtId="0" fontId="37" fillId="0" borderId="0" xfId="11" quotePrefix="1" applyFont="1" applyFill="1" applyBorder="1" applyAlignment="1">
      <alignment horizontal="center"/>
    </xf>
    <xf numFmtId="0" fontId="38" fillId="0" borderId="0" xfId="0" applyFont="1" applyFill="1" applyAlignment="1"/>
    <xf numFmtId="0" fontId="39" fillId="0" borderId="0" xfId="0" quotePrefix="1" applyNumberFormat="1" applyFont="1" applyFill="1" applyAlignment="1"/>
    <xf numFmtId="0" fontId="25" fillId="0" borderId="0" xfId="0" quotePrefix="1" applyFont="1" applyFill="1" applyAlignment="1" applyProtection="1"/>
    <xf numFmtId="175" fontId="10" fillId="0" borderId="0" xfId="0" applyNumberFormat="1" applyFont="1" applyFill="1" applyBorder="1"/>
    <xf numFmtId="0" fontId="10" fillId="0" borderId="0" xfId="11" applyFont="1" applyFill="1" applyBorder="1"/>
    <xf numFmtId="0" fontId="10" fillId="0" borderId="68" xfId="0" applyFont="1" applyFill="1" applyBorder="1"/>
    <xf numFmtId="0" fontId="10" fillId="0" borderId="59" xfId="0" applyFont="1" applyFill="1" applyBorder="1"/>
    <xf numFmtId="0" fontId="10" fillId="0" borderId="44" xfId="0" applyFont="1" applyFill="1" applyBorder="1"/>
    <xf numFmtId="0" fontId="10" fillId="0" borderId="38" xfId="0" applyFont="1" applyFill="1" applyBorder="1" applyAlignment="1" applyProtection="1">
      <alignment horizontal="center"/>
    </xf>
    <xf numFmtId="0" fontId="3" fillId="0" borderId="0" xfId="6" applyFont="1" applyFill="1" applyAlignment="1">
      <alignment horizontal="center"/>
    </xf>
    <xf numFmtId="0" fontId="36" fillId="0" borderId="0" xfId="11" quotePrefix="1" applyFont="1" applyFill="1" applyBorder="1" applyAlignment="1">
      <alignment horizontal="center"/>
    </xf>
    <xf numFmtId="212" fontId="10" fillId="0" borderId="36" xfId="27" applyNumberFormat="1" applyFont="1" applyFill="1" applyBorder="1"/>
    <xf numFmtId="212" fontId="10" fillId="0" borderId="38" xfId="27" applyNumberFormat="1" applyFont="1" applyFill="1" applyBorder="1"/>
    <xf numFmtId="212" fontId="10" fillId="0" borderId="5" xfId="27" applyNumberFormat="1" applyFont="1" applyFill="1" applyBorder="1"/>
    <xf numFmtId="212" fontId="10" fillId="0" borderId="4" xfId="27" applyNumberFormat="1" applyFont="1" applyFill="1" applyBorder="1"/>
    <xf numFmtId="212" fontId="10" fillId="0" borderId="19" xfId="27" applyNumberFormat="1" applyFont="1" applyFill="1" applyBorder="1"/>
    <xf numFmtId="212" fontId="10" fillId="0" borderId="13" xfId="27" applyNumberFormat="1" applyFont="1" applyFill="1" applyBorder="1"/>
    <xf numFmtId="212" fontId="10" fillId="0" borderId="11" xfId="27" applyNumberFormat="1" applyFont="1" applyFill="1" applyBorder="1"/>
    <xf numFmtId="212" fontId="10" fillId="0" borderId="0" xfId="27" applyNumberFormat="1" applyFont="1" applyFill="1" applyBorder="1"/>
    <xf numFmtId="212" fontId="10" fillId="0" borderId="30" xfId="27" applyNumberFormat="1" applyFont="1" applyFill="1" applyBorder="1"/>
    <xf numFmtId="212" fontId="10" fillId="0" borderId="12" xfId="27" applyNumberFormat="1" applyFont="1" applyFill="1" applyBorder="1"/>
    <xf numFmtId="212" fontId="10" fillId="0" borderId="21" xfId="27" applyNumberFormat="1" applyFont="1" applyFill="1" applyBorder="1"/>
    <xf numFmtId="212" fontId="10" fillId="0" borderId="0" xfId="27" applyNumberFormat="1" applyFont="1" applyFill="1"/>
    <xf numFmtId="212" fontId="10" fillId="0" borderId="31" xfId="27" applyNumberFormat="1" applyFont="1" applyFill="1" applyBorder="1"/>
    <xf numFmtId="0" fontId="10" fillId="0" borderId="12" xfId="27" applyFont="1" applyFill="1" applyBorder="1" applyAlignment="1" applyProtection="1">
      <alignment horizontal="centerContinuous"/>
    </xf>
    <xf numFmtId="17" fontId="10" fillId="0" borderId="0" xfId="27" applyNumberFormat="1" applyFont="1" applyFill="1" applyBorder="1" applyAlignment="1" applyProtection="1">
      <alignment horizontal="right"/>
    </xf>
    <xf numFmtId="37" fontId="10" fillId="0" borderId="28" xfId="27" applyNumberFormat="1" applyFont="1" applyFill="1" applyBorder="1" applyProtection="1"/>
    <xf numFmtId="17" fontId="10" fillId="0" borderId="12" xfId="27" applyNumberFormat="1" applyFont="1" applyFill="1" applyBorder="1" applyAlignment="1" applyProtection="1">
      <alignment horizontal="right"/>
    </xf>
    <xf numFmtId="0" fontId="10" fillId="0" borderId="12" xfId="27" applyFont="1" applyFill="1" applyBorder="1" applyAlignment="1">
      <alignment horizontal="right"/>
    </xf>
    <xf numFmtId="16" fontId="10" fillId="0" borderId="12" xfId="27" applyNumberFormat="1" applyFont="1" applyFill="1" applyBorder="1" applyAlignment="1" applyProtection="1">
      <alignment horizontal="centerContinuous"/>
    </xf>
    <xf numFmtId="0" fontId="10" fillId="0" borderId="12" xfId="27" applyFont="1" applyFill="1" applyBorder="1" applyAlignment="1" applyProtection="1">
      <alignment horizontal="left"/>
    </xf>
    <xf numFmtId="210" fontId="10" fillId="0" borderId="11" xfId="27" applyNumberFormat="1" applyFont="1" applyFill="1" applyBorder="1"/>
    <xf numFmtId="0" fontId="10" fillId="0" borderId="0" xfId="0" applyFont="1" applyFill="1" applyAlignment="1">
      <alignment horizontal="left" wrapText="1"/>
    </xf>
    <xf numFmtId="37" fontId="8" fillId="0" borderId="0" xfId="27" applyNumberFormat="1" applyFont="1" applyFill="1" applyBorder="1" applyProtection="1"/>
    <xf numFmtId="0" fontId="10" fillId="0" borderId="12" xfId="0" applyFont="1" applyFill="1" applyBorder="1" applyAlignment="1" applyProtection="1">
      <alignment horizontal="center"/>
    </xf>
    <xf numFmtId="0" fontId="10" fillId="0" borderId="13" xfId="0" applyFont="1" applyFill="1" applyBorder="1" applyAlignment="1" applyProtection="1">
      <alignment horizontal="center"/>
    </xf>
    <xf numFmtId="0" fontId="36" fillId="0" borderId="0" xfId="11" quotePrefix="1" applyFont="1" applyFill="1" applyAlignment="1">
      <alignment horizontal="center"/>
    </xf>
    <xf numFmtId="0" fontId="36" fillId="0" borderId="0" xfId="11" applyFont="1" applyFill="1" applyAlignment="1">
      <alignment horizontal="center"/>
    </xf>
    <xf numFmtId="0" fontId="24" fillId="0" borderId="12" xfId="10" applyFont="1" applyFill="1" applyBorder="1" applyAlignment="1">
      <alignment horizontal="center"/>
    </xf>
    <xf numFmtId="0" fontId="33" fillId="0" borderId="0" xfId="6" applyFont="1" applyFill="1" applyAlignment="1">
      <alignment horizontal="left"/>
    </xf>
    <xf numFmtId="0" fontId="34" fillId="0" borderId="0" xfId="6" applyFont="1" applyFill="1"/>
    <xf numFmtId="43" fontId="34" fillId="0" borderId="0" xfId="1" applyFont="1" applyFill="1"/>
    <xf numFmtId="0" fontId="33" fillId="0" borderId="0" xfId="6" applyFont="1" applyFill="1" applyAlignment="1">
      <alignment horizontal="center"/>
    </xf>
    <xf numFmtId="43" fontId="3" fillId="0" borderId="0" xfId="1" applyFont="1" applyFill="1" applyAlignment="1">
      <alignment horizontal="center"/>
    </xf>
    <xf numFmtId="166" fontId="3" fillId="0" borderId="0" xfId="13" applyNumberFormat="1" applyFont="1" applyFill="1" applyAlignment="1">
      <alignment horizontal="center"/>
    </xf>
    <xf numFmtId="172" fontId="3" fillId="0" borderId="0" xfId="2" applyNumberFormat="1" applyFont="1" applyFill="1"/>
    <xf numFmtId="172" fontId="3" fillId="0" borderId="0" xfId="2" applyNumberFormat="1" applyFont="1" applyFill="1" applyAlignment="1">
      <alignment horizontal="center"/>
    </xf>
    <xf numFmtId="43" fontId="3" fillId="0" borderId="0" xfId="1" applyNumberFormat="1" applyFont="1" applyFill="1" applyAlignment="1">
      <alignment horizontal="center"/>
    </xf>
    <xf numFmtId="0" fontId="3" fillId="0" borderId="0" xfId="1" applyNumberFormat="1" applyFont="1" applyFill="1" applyAlignment="1">
      <alignment horizontal="center"/>
    </xf>
    <xf numFmtId="180" fontId="3" fillId="0" borderId="0" xfId="6" applyNumberFormat="1" applyFont="1" applyFill="1" applyAlignment="1">
      <alignment horizontal="center"/>
    </xf>
    <xf numFmtId="172" fontId="3" fillId="0" borderId="0" xfId="6" applyNumberFormat="1" applyFont="1" applyFill="1"/>
    <xf numFmtId="165" fontId="3" fillId="0" borderId="0" xfId="1" applyNumberFormat="1" applyFont="1" applyFill="1"/>
    <xf numFmtId="183" fontId="3" fillId="0" borderId="0" xfId="6" applyNumberFormat="1" applyFont="1" applyFill="1"/>
    <xf numFmtId="43" fontId="3" fillId="0" borderId="0" xfId="6" applyNumberFormat="1" applyFont="1" applyFill="1"/>
    <xf numFmtId="6" fontId="3" fillId="0" borderId="0" xfId="6" applyNumberFormat="1" applyFont="1" applyFill="1"/>
    <xf numFmtId="44" fontId="3" fillId="0" borderId="0" xfId="2" applyFont="1" applyFill="1"/>
    <xf numFmtId="43" fontId="3" fillId="0" borderId="0" xfId="6" applyNumberFormat="1" applyFont="1" applyFill="1" applyAlignment="1">
      <alignment horizontal="center"/>
    </xf>
    <xf numFmtId="5" fontId="3" fillId="0" borderId="0" xfId="6" applyNumberFormat="1" applyFont="1" applyFill="1"/>
    <xf numFmtId="6" fontId="3" fillId="0" borderId="0" xfId="6" quotePrefix="1" applyNumberFormat="1" applyFont="1" applyFill="1"/>
    <xf numFmtId="165" fontId="3" fillId="0" borderId="0" xfId="6" applyNumberFormat="1" applyFont="1" applyFill="1"/>
    <xf numFmtId="0" fontId="33" fillId="0" borderId="0" xfId="6" applyFont="1" applyFill="1"/>
    <xf numFmtId="0" fontId="3" fillId="0" borderId="0" xfId="1" applyNumberFormat="1" applyFont="1" applyFill="1" applyAlignment="1">
      <alignment horizontal="left"/>
    </xf>
    <xf numFmtId="168" fontId="3" fillId="0" borderId="0" xfId="6" applyNumberFormat="1" applyFont="1" applyFill="1" applyAlignment="1">
      <alignment horizontal="center"/>
    </xf>
    <xf numFmtId="168" fontId="3" fillId="0" borderId="0" xfId="1" applyNumberFormat="1" applyFont="1" applyFill="1" applyAlignment="1">
      <alignment horizontal="left"/>
    </xf>
    <xf numFmtId="9" fontId="3" fillId="0" borderId="0" xfId="13" applyFont="1" applyFill="1"/>
    <xf numFmtId="0" fontId="34" fillId="0" borderId="0" xfId="38" applyFont="1" applyFill="1" applyBorder="1"/>
    <xf numFmtId="168" fontId="34" fillId="0" borderId="0" xfId="26" applyNumberFormat="1" applyFont="1" applyFill="1" applyBorder="1"/>
    <xf numFmtId="0" fontId="34" fillId="0" borderId="36" xfId="38" applyFont="1" applyFill="1" applyBorder="1"/>
    <xf numFmtId="0" fontId="34" fillId="0" borderId="28" xfId="38" applyFont="1" applyFill="1" applyBorder="1"/>
    <xf numFmtId="0" fontId="34" fillId="0" borderId="38" xfId="38" applyFont="1" applyFill="1" applyBorder="1"/>
    <xf numFmtId="0" fontId="34" fillId="0" borderId="59" xfId="38" applyFont="1" applyFill="1" applyBorder="1"/>
    <xf numFmtId="0" fontId="34" fillId="0" borderId="19" xfId="38" applyFont="1" applyFill="1" applyBorder="1"/>
    <xf numFmtId="0" fontId="34" fillId="0" borderId="12" xfId="38" applyFont="1" applyFill="1" applyBorder="1"/>
    <xf numFmtId="0" fontId="34" fillId="0" borderId="13" xfId="38" applyFont="1" applyFill="1" applyBorder="1"/>
    <xf numFmtId="0" fontId="34" fillId="0" borderId="44" xfId="38" applyFont="1" applyFill="1" applyBorder="1"/>
    <xf numFmtId="0" fontId="3" fillId="0" borderId="5" xfId="38" applyFont="1" applyFill="1" applyBorder="1"/>
    <xf numFmtId="0" fontId="3" fillId="0" borderId="4" xfId="38" applyFont="1" applyFill="1" applyBorder="1"/>
    <xf numFmtId="168" fontId="3" fillId="0" borderId="5" xfId="26" applyNumberFormat="1" applyFont="1" applyFill="1" applyBorder="1"/>
    <xf numFmtId="168" fontId="3" fillId="0" borderId="0" xfId="26" applyNumberFormat="1" applyFont="1" applyFill="1" applyBorder="1"/>
    <xf numFmtId="168" fontId="3" fillId="0" borderId="4" xfId="26" applyNumberFormat="1" applyFont="1" applyFill="1" applyBorder="1"/>
    <xf numFmtId="0" fontId="3" fillId="0" borderId="13" xfId="38" applyFont="1" applyFill="1" applyBorder="1"/>
    <xf numFmtId="168" fontId="3" fillId="0" borderId="19" xfId="26" applyNumberFormat="1" applyFont="1" applyFill="1" applyBorder="1"/>
    <xf numFmtId="168" fontId="3" fillId="0" borderId="12" xfId="26" applyNumberFormat="1" applyFont="1" applyFill="1" applyBorder="1"/>
    <xf numFmtId="168" fontId="3" fillId="0" borderId="13" xfId="26" applyNumberFormat="1" applyFont="1" applyFill="1" applyBorder="1"/>
    <xf numFmtId="4" fontId="3" fillId="0" borderId="0" xfId="38" applyNumberFormat="1" applyFont="1" applyFill="1"/>
    <xf numFmtId="0" fontId="10" fillId="0" borderId="12" xfId="0" applyFont="1" applyFill="1" applyBorder="1" applyAlignment="1" applyProtection="1">
      <alignment horizontal="center"/>
    </xf>
    <xf numFmtId="0" fontId="10" fillId="0" borderId="13" xfId="0" applyFont="1" applyFill="1" applyBorder="1" applyAlignment="1" applyProtection="1">
      <alignment horizontal="center"/>
    </xf>
    <xf numFmtId="17" fontId="10" fillId="0" borderId="0" xfId="27" quotePrefix="1" applyNumberFormat="1" applyFont="1" applyFill="1" applyBorder="1" applyAlignment="1" applyProtection="1">
      <alignment horizontal="center"/>
    </xf>
    <xf numFmtId="0" fontId="36" fillId="0" borderId="0" xfId="11" quotePrefix="1" applyFont="1" applyFill="1" applyAlignment="1">
      <alignment horizontal="center"/>
    </xf>
    <xf numFmtId="0" fontId="36" fillId="0" borderId="0" xfId="11" applyFont="1" applyFill="1" applyAlignment="1">
      <alignment horizontal="center"/>
    </xf>
    <xf numFmtId="0" fontId="38" fillId="0" borderId="0" xfId="0" applyFont="1" applyFill="1" applyAlignment="1">
      <alignment horizontal="center"/>
    </xf>
    <xf numFmtId="0" fontId="39" fillId="0" borderId="0" xfId="0" quotePrefix="1" applyNumberFormat="1" applyFont="1" applyFill="1" applyAlignment="1">
      <alignment horizontal="center"/>
    </xf>
    <xf numFmtId="0" fontId="25" fillId="0" borderId="0" xfId="0" quotePrefix="1" applyFont="1" applyFill="1" applyAlignment="1" applyProtection="1">
      <alignment horizontal="center"/>
    </xf>
    <xf numFmtId="0" fontId="24" fillId="0" borderId="12" xfId="10" applyFont="1" applyFill="1" applyBorder="1" applyAlignment="1">
      <alignment horizontal="center"/>
    </xf>
    <xf numFmtId="0" fontId="48" fillId="0" borderId="0" xfId="10" applyFont="1" applyFill="1" applyAlignment="1">
      <alignment horizontal="center"/>
    </xf>
    <xf numFmtId="0" fontId="37" fillId="0" borderId="12" xfId="11" applyFont="1" applyFill="1" applyBorder="1" applyAlignment="1">
      <alignment horizontal="center"/>
    </xf>
    <xf numFmtId="0" fontId="38" fillId="0" borderId="0" xfId="0" quotePrefix="1" applyFont="1" applyFill="1" applyAlignment="1">
      <alignment horizontal="center"/>
    </xf>
    <xf numFmtId="168" fontId="22" fillId="0" borderId="0" xfId="1" applyNumberFormat="1" applyFont="1" applyFill="1"/>
    <xf numFmtId="0" fontId="25" fillId="0" borderId="14" xfId="0" applyFont="1" applyFill="1" applyBorder="1" applyAlignment="1" applyProtection="1">
      <alignment horizontal="center"/>
    </xf>
    <xf numFmtId="0" fontId="25" fillId="0" borderId="15" xfId="0" applyFont="1" applyFill="1" applyBorder="1" applyAlignment="1" applyProtection="1">
      <alignment horizontal="center"/>
    </xf>
    <xf numFmtId="0" fontId="25" fillId="0" borderId="42" xfId="0" applyFont="1" applyFill="1" applyBorder="1" applyAlignment="1" applyProtection="1">
      <alignment horizontal="center"/>
    </xf>
    <xf numFmtId="213" fontId="10" fillId="0" borderId="0" xfId="1" applyNumberFormat="1" applyFont="1" applyFill="1" applyBorder="1"/>
    <xf numFmtId="43" fontId="10" fillId="0" borderId="0" xfId="1" applyNumberFormat="1" applyFont="1" applyFill="1" applyBorder="1"/>
    <xf numFmtId="209" fontId="10" fillId="0" borderId="0" xfId="1" applyNumberFormat="1" applyFont="1" applyFill="1" applyBorder="1"/>
    <xf numFmtId="49" fontId="10" fillId="0" borderId="0" xfId="8" applyNumberFormat="1" applyFont="1" applyFill="1"/>
    <xf numFmtId="3" fontId="66" fillId="0" borderId="0" xfId="0" applyNumberFormat="1" applyFont="1" applyFill="1" applyBorder="1"/>
    <xf numFmtId="49" fontId="10" fillId="0" borderId="0" xfId="8" applyNumberFormat="1" applyFont="1" applyFill="1" applyBorder="1"/>
    <xf numFmtId="6" fontId="10" fillId="0" borderId="0" xfId="0" applyNumberFormat="1" applyFont="1" applyFill="1" applyBorder="1"/>
    <xf numFmtId="3" fontId="66" fillId="0" borderId="12" xfId="0" applyNumberFormat="1" applyFont="1" applyFill="1" applyBorder="1"/>
    <xf numFmtId="49" fontId="10" fillId="0" borderId="15" xfId="8" applyNumberFormat="1" applyFont="1" applyFill="1" applyBorder="1"/>
    <xf numFmtId="6" fontId="10" fillId="0" borderId="15" xfId="0" applyNumberFormat="1" applyFont="1" applyFill="1" applyBorder="1"/>
    <xf numFmtId="42" fontId="10" fillId="0" borderId="0" xfId="0" applyNumberFormat="1" applyFont="1" applyFill="1" applyBorder="1"/>
    <xf numFmtId="204" fontId="10" fillId="0" borderId="0" xfId="1" applyNumberFormat="1" applyFont="1" applyFill="1" applyBorder="1"/>
    <xf numFmtId="37" fontId="10" fillId="0" borderId="0" xfId="1" applyNumberFormat="1" applyFont="1" applyFill="1" applyBorder="1"/>
    <xf numFmtId="0" fontId="10" fillId="0" borderId="0" xfId="1" applyNumberFormat="1" applyFont="1" applyFill="1" applyBorder="1"/>
    <xf numFmtId="38" fontId="10" fillId="0" borderId="0" xfId="0" applyNumberFormat="1" applyFont="1" applyFill="1" applyBorder="1"/>
    <xf numFmtId="43" fontId="10" fillId="0" borderId="0" xfId="0" applyNumberFormat="1" applyFont="1" applyFill="1" applyBorder="1"/>
    <xf numFmtId="49" fontId="10" fillId="0" borderId="0" xfId="24" applyNumberFormat="1" applyFont="1" applyFill="1" applyBorder="1"/>
    <xf numFmtId="10" fontId="10" fillId="0" borderId="0" xfId="0" applyNumberFormat="1" applyFont="1" applyFill="1"/>
    <xf numFmtId="0" fontId="10" fillId="0" borderId="0" xfId="11" applyFont="1" applyFill="1" applyAlignment="1">
      <alignment horizontal="center"/>
    </xf>
    <xf numFmtId="0" fontId="10" fillId="0" borderId="0" xfId="11" applyFont="1" applyFill="1" applyBorder="1" applyAlignment="1">
      <alignment horizontal="left"/>
    </xf>
    <xf numFmtId="0" fontId="10" fillId="0" borderId="0" xfId="11" quotePrefix="1" applyFont="1" applyFill="1" applyBorder="1" applyAlignment="1">
      <alignment horizontal="center"/>
    </xf>
    <xf numFmtId="0" fontId="10" fillId="0" borderId="28" xfId="11" applyFont="1" applyFill="1" applyBorder="1" applyAlignment="1">
      <alignment horizontal="center"/>
    </xf>
    <xf numFmtId="0" fontId="10" fillId="0" borderId="34" xfId="11" applyFont="1" applyFill="1" applyBorder="1" applyAlignment="1">
      <alignment horizontal="center"/>
    </xf>
    <xf numFmtId="0" fontId="10" fillId="0" borderId="12" xfId="11" applyFont="1" applyFill="1" applyBorder="1" applyAlignment="1">
      <alignment horizontal="center"/>
    </xf>
    <xf numFmtId="6" fontId="10" fillId="0" borderId="34" xfId="11" quotePrefix="1" applyNumberFormat="1" applyFont="1" applyFill="1" applyBorder="1" applyAlignment="1">
      <alignment horizontal="center"/>
    </xf>
    <xf numFmtId="6" fontId="10" fillId="0" borderId="0" xfId="11" quotePrefix="1" applyNumberFormat="1" applyFont="1" applyFill="1" applyBorder="1" applyAlignment="1">
      <alignment horizontal="center"/>
    </xf>
    <xf numFmtId="0" fontId="10" fillId="0" borderId="12" xfId="11" quotePrefix="1" applyFont="1" applyFill="1" applyBorder="1" applyAlignment="1">
      <alignment horizontal="center"/>
    </xf>
    <xf numFmtId="0" fontId="10" fillId="0" borderId="0" xfId="11" quotePrefix="1" applyFont="1" applyFill="1"/>
    <xf numFmtId="0" fontId="36" fillId="0" borderId="0" xfId="11" applyFont="1" applyFill="1"/>
    <xf numFmtId="37" fontId="10" fillId="0" borderId="0" xfId="11" applyNumberFormat="1" applyFont="1" applyFill="1" applyProtection="1"/>
    <xf numFmtId="5" fontId="10" fillId="0" borderId="0" xfId="11" applyNumberFormat="1" applyFont="1" applyFill="1" applyProtection="1">
      <protection locked="0"/>
    </xf>
    <xf numFmtId="10" fontId="10" fillId="0" borderId="0" xfId="13" applyNumberFormat="1" applyFont="1" applyFill="1" applyProtection="1">
      <protection locked="0"/>
    </xf>
    <xf numFmtId="5" fontId="10" fillId="0" borderId="0" xfId="13" applyNumberFormat="1" applyFont="1" applyFill="1" applyProtection="1">
      <protection locked="0"/>
    </xf>
    <xf numFmtId="10" fontId="10" fillId="0" borderId="0" xfId="13" applyNumberFormat="1" applyFont="1" applyFill="1" applyBorder="1" applyProtection="1">
      <protection locked="0"/>
    </xf>
    <xf numFmtId="2" fontId="10" fillId="0" borderId="0" xfId="11" applyNumberFormat="1" applyFont="1" applyFill="1"/>
    <xf numFmtId="0" fontId="10" fillId="0" borderId="34" xfId="11" applyFont="1" applyFill="1" applyBorder="1"/>
    <xf numFmtId="0" fontId="10" fillId="0" borderId="12" xfId="11" applyFont="1" applyFill="1" applyBorder="1"/>
    <xf numFmtId="10" fontId="10" fillId="0" borderId="12" xfId="13" applyNumberFormat="1" applyFont="1" applyFill="1" applyBorder="1"/>
    <xf numFmtId="184" fontId="10" fillId="0" borderId="12" xfId="11" applyNumberFormat="1" applyFont="1" applyFill="1" applyBorder="1"/>
    <xf numFmtId="10" fontId="10" fillId="0" borderId="0" xfId="11" applyNumberFormat="1" applyFont="1" applyFill="1"/>
    <xf numFmtId="184" fontId="10" fillId="0" borderId="0" xfId="11" applyNumberFormat="1" applyFont="1" applyFill="1"/>
    <xf numFmtId="5" fontId="10" fillId="0" borderId="0" xfId="11" applyNumberFormat="1" applyFont="1" applyFill="1" applyProtection="1"/>
    <xf numFmtId="37" fontId="10" fillId="0" borderId="0" xfId="11" applyNumberFormat="1" applyFont="1" applyFill="1"/>
    <xf numFmtId="208" fontId="10" fillId="0" borderId="0" xfId="13" applyNumberFormat="1" applyFont="1" applyFill="1" applyProtection="1">
      <protection locked="0"/>
    </xf>
    <xf numFmtId="10" fontId="10" fillId="0" borderId="12" xfId="11" applyNumberFormat="1" applyFont="1" applyFill="1" applyBorder="1"/>
    <xf numFmtId="10" fontId="10" fillId="0" borderId="0" xfId="11" applyNumberFormat="1" applyFont="1" applyFill="1" applyBorder="1"/>
    <xf numFmtId="37" fontId="10" fillId="0" borderId="34" xfId="11" applyNumberFormat="1" applyFont="1" applyFill="1" applyBorder="1" applyProtection="1"/>
    <xf numFmtId="5" fontId="10" fillId="0" borderId="34" xfId="11" applyNumberFormat="1" applyFont="1" applyFill="1" applyBorder="1" applyProtection="1"/>
    <xf numFmtId="5" fontId="10" fillId="0" borderId="0" xfId="11" applyNumberFormat="1" applyFont="1" applyFill="1" applyBorder="1" applyProtection="1"/>
    <xf numFmtId="10" fontId="10" fillId="0" borderId="12" xfId="13" applyNumberFormat="1" applyFont="1" applyFill="1" applyBorder="1" applyProtection="1">
      <protection locked="0"/>
    </xf>
    <xf numFmtId="184" fontId="10" fillId="0" borderId="12" xfId="0" applyNumberFormat="1" applyFont="1" applyFill="1" applyBorder="1" applyProtection="1"/>
    <xf numFmtId="37" fontId="10" fillId="0" borderId="0" xfId="11" applyNumberFormat="1" applyFont="1" applyFill="1" applyBorder="1" applyProtection="1"/>
    <xf numFmtId="10" fontId="10" fillId="0" borderId="0" xfId="11" applyNumberFormat="1" applyFont="1" applyFill="1" applyBorder="1" applyProtection="1"/>
    <xf numFmtId="184" fontId="10" fillId="0" borderId="0" xfId="11" applyNumberFormat="1" applyFont="1" applyFill="1" applyBorder="1" applyProtection="1"/>
    <xf numFmtId="0" fontId="12" fillId="0" borderId="0" xfId="11" applyFont="1" applyFill="1"/>
    <xf numFmtId="37" fontId="10" fillId="0" borderId="37" xfId="11" applyNumberFormat="1" applyFont="1" applyFill="1" applyBorder="1"/>
    <xf numFmtId="5" fontId="10" fillId="0" borderId="37" xfId="11" applyNumberFormat="1" applyFont="1" applyFill="1" applyBorder="1"/>
    <xf numFmtId="10" fontId="10" fillId="0" borderId="37" xfId="13" applyNumberFormat="1" applyFont="1" applyFill="1" applyBorder="1" applyProtection="1">
      <protection locked="0"/>
    </xf>
    <xf numFmtId="184" fontId="10" fillId="0" borderId="37" xfId="0" applyNumberFormat="1" applyFont="1" applyFill="1" applyBorder="1" applyProtection="1"/>
    <xf numFmtId="0" fontId="10" fillId="0" borderId="0" xfId="11" applyFont="1" applyFill="1" applyAlignment="1">
      <alignment horizontal="left"/>
    </xf>
    <xf numFmtId="0" fontId="10" fillId="0" borderId="0" xfId="11" quotePrefix="1" applyFont="1" applyFill="1" applyAlignment="1">
      <alignment horizontal="left"/>
    </xf>
    <xf numFmtId="37" fontId="10" fillId="0" borderId="0" xfId="11" applyNumberFormat="1" applyFont="1" applyFill="1" applyBorder="1"/>
    <xf numFmtId="171" fontId="10" fillId="0" borderId="0" xfId="11" applyNumberFormat="1" applyFont="1" applyFill="1"/>
    <xf numFmtId="10" fontId="10" fillId="0" borderId="0" xfId="13" quotePrefix="1" applyNumberFormat="1" applyFont="1" applyFill="1" applyBorder="1" applyProtection="1">
      <protection locked="0"/>
    </xf>
    <xf numFmtId="171" fontId="10" fillId="0" borderId="0" xfId="13" applyNumberFormat="1" applyFont="1" applyFill="1" applyProtection="1">
      <protection locked="0"/>
    </xf>
    <xf numFmtId="37" fontId="10" fillId="0" borderId="37" xfId="11" applyNumberFormat="1" applyFont="1" applyFill="1" applyBorder="1" applyProtection="1"/>
    <xf numFmtId="5" fontId="10" fillId="0" borderId="37" xfId="13" applyNumberFormat="1" applyFont="1" applyFill="1" applyBorder="1" applyProtection="1">
      <protection locked="0"/>
    </xf>
    <xf numFmtId="0" fontId="10" fillId="0" borderId="0" xfId="11" applyFont="1" applyFill="1" applyAlignment="1">
      <alignment horizontal="right"/>
    </xf>
    <xf numFmtId="167" fontId="10" fillId="0" borderId="0" xfId="2" applyNumberFormat="1" applyFont="1" applyFill="1"/>
    <xf numFmtId="171" fontId="10" fillId="0" borderId="0" xfId="13" applyNumberFormat="1" applyFont="1" applyFill="1" applyBorder="1" applyProtection="1">
      <protection locked="0"/>
    </xf>
    <xf numFmtId="1" fontId="10" fillId="0" borderId="0" xfId="11" applyNumberFormat="1" applyFont="1" applyFill="1"/>
    <xf numFmtId="202" fontId="10" fillId="0" borderId="0" xfId="11" applyNumberFormat="1" applyFont="1" applyFill="1"/>
    <xf numFmtId="10" fontId="24" fillId="0" borderId="0" xfId="13" applyNumberFormat="1" applyFont="1" applyFill="1"/>
    <xf numFmtId="0" fontId="24" fillId="0" borderId="0" xfId="10" applyFont="1" applyFill="1" applyAlignment="1" applyProtection="1">
      <alignment horizontal="center"/>
    </xf>
    <xf numFmtId="0" fontId="24" fillId="0" borderId="0" xfId="10" applyFont="1" applyFill="1" applyBorder="1" applyAlignment="1" applyProtection="1">
      <alignment horizontal="center"/>
    </xf>
    <xf numFmtId="0" fontId="24" fillId="0" borderId="0" xfId="10" applyFont="1" applyFill="1" applyAlignment="1">
      <alignment horizontal="center"/>
    </xf>
    <xf numFmtId="0" fontId="24" fillId="0" borderId="12" xfId="10" applyFont="1" applyFill="1" applyBorder="1" applyAlignment="1">
      <alignment horizontal="centerContinuous"/>
    </xf>
    <xf numFmtId="0" fontId="24" fillId="0" borderId="49" xfId="10" applyFont="1" applyFill="1" applyBorder="1" applyAlignment="1">
      <alignment horizontal="centerContinuous"/>
    </xf>
    <xf numFmtId="0" fontId="24" fillId="0" borderId="55" xfId="10" applyFont="1" applyFill="1" applyBorder="1" applyAlignment="1">
      <alignment horizontal="centerContinuous"/>
    </xf>
    <xf numFmtId="0" fontId="24" fillId="0" borderId="50" xfId="10" applyFont="1" applyFill="1" applyBorder="1" applyAlignment="1">
      <alignment horizontal="centerContinuous"/>
    </xf>
    <xf numFmtId="0" fontId="24" fillId="0" borderId="55" xfId="10" applyFont="1" applyFill="1" applyBorder="1"/>
    <xf numFmtId="0" fontId="24" fillId="0" borderId="0" xfId="10" applyFont="1" applyFill="1" applyBorder="1"/>
    <xf numFmtId="0" fontId="24" fillId="0" borderId="52" xfId="10" applyFont="1" applyFill="1" applyBorder="1"/>
    <xf numFmtId="37" fontId="24" fillId="0" borderId="0" xfId="10" applyNumberFormat="1" applyFont="1" applyFill="1" applyProtection="1"/>
    <xf numFmtId="7" fontId="24" fillId="0" borderId="0" xfId="10" applyNumberFormat="1" applyFont="1" applyFill="1" applyBorder="1"/>
    <xf numFmtId="7" fontId="24" fillId="0" borderId="52" xfId="10" applyNumberFormat="1" applyFont="1" applyFill="1" applyBorder="1"/>
    <xf numFmtId="171" fontId="24" fillId="0" borderId="0" xfId="13" applyNumberFormat="1" applyFont="1" applyFill="1"/>
    <xf numFmtId="183" fontId="24" fillId="0" borderId="0" xfId="1" applyNumberFormat="1" applyFont="1" applyFill="1" applyBorder="1"/>
    <xf numFmtId="0" fontId="24" fillId="0" borderId="53" xfId="10" applyFont="1" applyFill="1" applyBorder="1"/>
    <xf numFmtId="183" fontId="24" fillId="0" borderId="56" xfId="1" applyNumberFormat="1" applyFont="1" applyFill="1" applyBorder="1"/>
    <xf numFmtId="0" fontId="24" fillId="0" borderId="54" xfId="10" applyFont="1" applyFill="1" applyBorder="1"/>
    <xf numFmtId="0" fontId="24" fillId="0" borderId="56" xfId="10" applyFont="1" applyFill="1" applyBorder="1"/>
    <xf numFmtId="180" fontId="24" fillId="0" borderId="0" xfId="10" applyNumberFormat="1" applyFont="1" applyFill="1"/>
    <xf numFmtId="171" fontId="24" fillId="0" borderId="0" xfId="10" applyNumberFormat="1" applyFont="1" applyFill="1"/>
    <xf numFmtId="7" fontId="24" fillId="0" borderId="0" xfId="2" applyNumberFormat="1" applyFont="1" applyFill="1"/>
    <xf numFmtId="44" fontId="24" fillId="0" borderId="0" xfId="2" applyFont="1" applyFill="1"/>
    <xf numFmtId="0" fontId="24" fillId="0" borderId="12" xfId="10" applyFont="1" applyFill="1" applyBorder="1"/>
    <xf numFmtId="0" fontId="24" fillId="0" borderId="49" xfId="10" applyFont="1" applyFill="1" applyBorder="1" applyAlignment="1">
      <alignment horizontal="center"/>
    </xf>
    <xf numFmtId="0" fontId="24" fillId="0" borderId="50" xfId="10" applyFont="1" applyFill="1" applyBorder="1"/>
    <xf numFmtId="180" fontId="24" fillId="0" borderId="52" xfId="10" applyNumberFormat="1" applyFont="1" applyFill="1" applyBorder="1"/>
    <xf numFmtId="0" fontId="24" fillId="0" borderId="36" xfId="10" applyFont="1" applyFill="1" applyBorder="1"/>
    <xf numFmtId="0" fontId="24" fillId="0" borderId="28" xfId="10" applyFont="1" applyFill="1" applyBorder="1"/>
    <xf numFmtId="0" fontId="24" fillId="0" borderId="38" xfId="10" applyFont="1" applyFill="1" applyBorder="1"/>
    <xf numFmtId="0" fontId="24" fillId="0" borderId="5" xfId="10" applyFont="1" applyFill="1" applyBorder="1"/>
    <xf numFmtId="7" fontId="24" fillId="0" borderId="4" xfId="10" applyNumberFormat="1" applyFont="1" applyFill="1" applyBorder="1"/>
    <xf numFmtId="5" fontId="24" fillId="0" borderId="0" xfId="10" applyNumberFormat="1" applyFont="1" applyFill="1" applyBorder="1"/>
    <xf numFmtId="5" fontId="24" fillId="0" borderId="4" xfId="10" applyNumberFormat="1" applyFont="1" applyFill="1" applyBorder="1"/>
    <xf numFmtId="0" fontId="24" fillId="0" borderId="19" xfId="10" applyFont="1" applyFill="1" applyBorder="1"/>
    <xf numFmtId="5" fontId="24" fillId="0" borderId="12" xfId="10" applyNumberFormat="1" applyFont="1" applyFill="1" applyBorder="1"/>
    <xf numFmtId="5" fontId="24" fillId="0" borderId="13" xfId="10" applyNumberFormat="1" applyFont="1" applyFill="1" applyBorder="1"/>
    <xf numFmtId="0" fontId="24" fillId="0" borderId="0" xfId="10" applyFont="1" applyFill="1" applyAlignment="1" applyProtection="1">
      <alignment horizontal="left"/>
    </xf>
    <xf numFmtId="0" fontId="24" fillId="0" borderId="0" xfId="10" applyFont="1" applyFill="1" applyProtection="1"/>
    <xf numFmtId="0" fontId="24" fillId="0" borderId="0" xfId="10" applyFont="1" applyFill="1" applyAlignment="1" applyProtection="1"/>
    <xf numFmtId="0" fontId="24" fillId="0" borderId="0" xfId="10" applyFont="1" applyFill="1" applyAlignment="1" applyProtection="1">
      <alignment horizontal="centerContinuous"/>
    </xf>
    <xf numFmtId="0" fontId="24" fillId="0" borderId="57" xfId="10" applyFont="1" applyFill="1" applyBorder="1" applyAlignment="1">
      <alignment horizontal="left"/>
    </xf>
    <xf numFmtId="0" fontId="24" fillId="0" borderId="52" xfId="10" applyFont="1" applyFill="1" applyBorder="1" applyAlignment="1">
      <alignment horizontal="center"/>
    </xf>
    <xf numFmtId="180" fontId="24" fillId="0" borderId="0" xfId="10" applyNumberFormat="1" applyFont="1" applyFill="1" applyBorder="1"/>
    <xf numFmtId="0" fontId="24" fillId="0" borderId="49" xfId="10" applyFont="1" applyFill="1" applyBorder="1"/>
    <xf numFmtId="7" fontId="24" fillId="0" borderId="0" xfId="10" applyNumberFormat="1" applyFont="1" applyFill="1"/>
    <xf numFmtId="0" fontId="24" fillId="0" borderId="51" xfId="10" applyFont="1" applyFill="1" applyBorder="1" applyAlignment="1">
      <alignment horizontal="right"/>
    </xf>
    <xf numFmtId="168" fontId="24" fillId="0" borderId="0" xfId="1" applyNumberFormat="1" applyFont="1" applyFill="1" applyBorder="1" applyAlignment="1">
      <alignment horizontal="right"/>
    </xf>
    <xf numFmtId="0" fontId="24" fillId="0" borderId="0" xfId="10" applyFont="1" applyFill="1" applyBorder="1" applyAlignment="1">
      <alignment horizontal="right"/>
    </xf>
    <xf numFmtId="183" fontId="24" fillId="0" borderId="52" xfId="1" applyNumberFormat="1" applyFont="1" applyFill="1" applyBorder="1"/>
    <xf numFmtId="43" fontId="24" fillId="0" borderId="0" xfId="10" applyNumberFormat="1" applyFont="1" applyFill="1"/>
    <xf numFmtId="10" fontId="24" fillId="0" borderId="0" xfId="13" applyNumberFormat="1" applyFont="1" applyFill="1" applyAlignment="1">
      <alignment horizontal="right"/>
    </xf>
    <xf numFmtId="183" fontId="24" fillId="0" borderId="52" xfId="1" applyNumberFormat="1" applyFont="1" applyFill="1" applyBorder="1" applyAlignment="1">
      <alignment horizontal="right"/>
    </xf>
    <xf numFmtId="180" fontId="24" fillId="0" borderId="54" xfId="10" applyNumberFormat="1" applyFont="1" applyFill="1" applyBorder="1"/>
    <xf numFmtId="37" fontId="24" fillId="0" borderId="12" xfId="10" applyNumberFormat="1" applyFont="1" applyFill="1" applyBorder="1" applyProtection="1"/>
    <xf numFmtId="7" fontId="24" fillId="0" borderId="12" xfId="10" applyNumberFormat="1" applyFont="1" applyFill="1" applyBorder="1" applyProtection="1"/>
    <xf numFmtId="189" fontId="24" fillId="0" borderId="12" xfId="10" applyNumberFormat="1" applyFont="1" applyFill="1" applyBorder="1" applyProtection="1"/>
    <xf numFmtId="7" fontId="10" fillId="0" borderId="0" xfId="2" applyNumberFormat="1" applyFont="1" applyFill="1"/>
    <xf numFmtId="43" fontId="10" fillId="0" borderId="0" xfId="0" applyNumberFormat="1" applyFont="1" applyFill="1"/>
    <xf numFmtId="7" fontId="10" fillId="0" borderId="0" xfId="0" applyNumberFormat="1" applyFont="1" applyFill="1"/>
    <xf numFmtId="0" fontId="10" fillId="0" borderId="0" xfId="2" applyNumberFormat="1" applyFont="1" applyFill="1"/>
    <xf numFmtId="184" fontId="10" fillId="0" borderId="0" xfId="27" applyNumberFormat="1" applyFont="1" applyFill="1" applyProtection="1">
      <protection locked="0"/>
    </xf>
    <xf numFmtId="5" fontId="10" fillId="0" borderId="0" xfId="27" applyNumberFormat="1" applyFont="1" applyFill="1"/>
    <xf numFmtId="43" fontId="10" fillId="0" borderId="0" xfId="27" applyNumberFormat="1" applyFont="1" applyFill="1"/>
    <xf numFmtId="7" fontId="10" fillId="0" borderId="0" xfId="2" applyNumberFormat="1" applyFont="1" applyFill="1" applyBorder="1"/>
    <xf numFmtId="37" fontId="10" fillId="0" borderId="0" xfId="0" applyNumberFormat="1" applyFont="1" applyFill="1" applyBorder="1"/>
    <xf numFmtId="179" fontId="10" fillId="0" borderId="0" xfId="1" applyNumberFormat="1" applyFont="1" applyFill="1"/>
    <xf numFmtId="5" fontId="10" fillId="0" borderId="34" xfId="0" applyNumberFormat="1" applyFont="1" applyFill="1" applyBorder="1" applyProtection="1"/>
    <xf numFmtId="37" fontId="10" fillId="0" borderId="46" xfId="0" applyNumberFormat="1" applyFont="1" applyFill="1" applyBorder="1" applyProtection="1"/>
    <xf numFmtId="5" fontId="10" fillId="0" borderId="47" xfId="0" applyNumberFormat="1" applyFont="1" applyFill="1" applyBorder="1" applyProtection="1"/>
    <xf numFmtId="5" fontId="10" fillId="0" borderId="46" xfId="0" applyNumberFormat="1" applyFont="1" applyFill="1" applyBorder="1" applyProtection="1"/>
    <xf numFmtId="5" fontId="10" fillId="0" borderId="28" xfId="0" applyNumberFormat="1" applyFont="1" applyFill="1" applyBorder="1"/>
    <xf numFmtId="10" fontId="10" fillId="0" borderId="38" xfId="13" applyNumberFormat="1" applyFont="1" applyFill="1" applyBorder="1"/>
    <xf numFmtId="37" fontId="10" fillId="0" borderId="0" xfId="0" applyNumberFormat="1" applyFont="1" applyFill="1" applyBorder="1" applyProtection="1"/>
    <xf numFmtId="171" fontId="10" fillId="0" borderId="4" xfId="13" applyNumberFormat="1" applyFont="1" applyFill="1" applyBorder="1"/>
    <xf numFmtId="5" fontId="10" fillId="0" borderId="12" xfId="0" applyNumberFormat="1" applyFont="1" applyFill="1" applyBorder="1"/>
    <xf numFmtId="0" fontId="10" fillId="0" borderId="13" xfId="0" applyFont="1" applyFill="1" applyBorder="1"/>
    <xf numFmtId="198" fontId="10" fillId="0" borderId="0" xfId="13" applyNumberFormat="1" applyFont="1" applyFill="1"/>
    <xf numFmtId="0" fontId="10" fillId="0" borderId="0" xfId="0" applyFont="1" applyFill="1" applyProtection="1">
      <protection locked="0"/>
    </xf>
    <xf numFmtId="9" fontId="10" fillId="0" borderId="0" xfId="13" applyFont="1" applyFill="1"/>
    <xf numFmtId="184" fontId="10" fillId="0" borderId="0" xfId="0" applyNumberFormat="1" applyFont="1" applyFill="1" applyProtection="1">
      <protection locked="0"/>
    </xf>
    <xf numFmtId="180" fontId="10" fillId="0" borderId="0" xfId="0" applyNumberFormat="1" applyFont="1" applyFill="1"/>
    <xf numFmtId="168" fontId="10" fillId="0" borderId="0" xfId="0" applyNumberFormat="1" applyFont="1" applyFill="1" applyProtection="1"/>
    <xf numFmtId="5" fontId="10" fillId="0" borderId="0" xfId="0" applyNumberFormat="1" applyFont="1" applyFill="1" applyProtection="1">
      <protection locked="0"/>
    </xf>
    <xf numFmtId="168" fontId="10" fillId="0" borderId="0" xfId="1" applyNumberFormat="1" applyFont="1" applyFill="1" applyProtection="1"/>
    <xf numFmtId="37" fontId="10" fillId="0" borderId="12" xfId="0" applyNumberFormat="1" applyFont="1" applyFill="1" applyBorder="1" applyProtection="1"/>
    <xf numFmtId="37" fontId="10" fillId="0" borderId="47" xfId="0" applyNumberFormat="1" applyFont="1" applyFill="1" applyBorder="1" applyProtection="1"/>
    <xf numFmtId="37" fontId="10" fillId="0" borderId="28" xfId="0" applyNumberFormat="1" applyFont="1" applyFill="1" applyBorder="1"/>
    <xf numFmtId="10" fontId="10" fillId="0" borderId="28" xfId="0" applyNumberFormat="1" applyFont="1" applyFill="1" applyBorder="1"/>
    <xf numFmtId="171" fontId="10" fillId="0" borderId="28" xfId="13" applyNumberFormat="1" applyFont="1" applyFill="1" applyBorder="1"/>
    <xf numFmtId="185" fontId="10" fillId="0" borderId="0" xfId="0" applyNumberFormat="1" applyFont="1" applyFill="1" applyProtection="1"/>
    <xf numFmtId="37" fontId="10" fillId="0" borderId="34" xfId="0" applyNumberFormat="1" applyFont="1" applyFill="1" applyBorder="1" applyProtection="1"/>
    <xf numFmtId="9" fontId="10" fillId="0" borderId="0" xfId="13" applyNumberFormat="1" applyFont="1" applyFill="1"/>
    <xf numFmtId="9" fontId="10" fillId="0" borderId="0" xfId="0" applyNumberFormat="1" applyFont="1" applyFill="1"/>
    <xf numFmtId="43" fontId="10" fillId="0" borderId="0" xfId="1" applyFont="1" applyFill="1"/>
    <xf numFmtId="189" fontId="10" fillId="0" borderId="0" xfId="0" applyNumberFormat="1" applyFont="1" applyFill="1" applyProtection="1">
      <protection locked="0"/>
    </xf>
    <xf numFmtId="184" fontId="10" fillId="0" borderId="0" xfId="2" applyNumberFormat="1" applyFont="1" applyFill="1" applyBorder="1"/>
    <xf numFmtId="171" fontId="10" fillId="0" borderId="0" xfId="0" applyNumberFormat="1" applyFont="1" applyFill="1" applyProtection="1"/>
    <xf numFmtId="183" fontId="10" fillId="0" borderId="0" xfId="1" applyNumberFormat="1" applyFont="1" applyFill="1"/>
    <xf numFmtId="182" fontId="10" fillId="0" borderId="0" xfId="0" applyNumberFormat="1" applyFont="1" applyFill="1" applyProtection="1"/>
    <xf numFmtId="39" fontId="10" fillId="0" borderId="0" xfId="0" applyNumberFormat="1" applyFont="1" applyFill="1" applyProtection="1"/>
    <xf numFmtId="39" fontId="10" fillId="0" borderId="0" xfId="0" applyNumberFormat="1" applyFont="1" applyFill="1" applyProtection="1">
      <protection locked="0"/>
    </xf>
    <xf numFmtId="196" fontId="10" fillId="0" borderId="0" xfId="13" applyNumberFormat="1" applyFont="1" applyFill="1"/>
    <xf numFmtId="168" fontId="10" fillId="0" borderId="47" xfId="0" applyNumberFormat="1" applyFont="1" applyFill="1" applyBorder="1" applyProtection="1"/>
    <xf numFmtId="0" fontId="10" fillId="0" borderId="47" xfId="0" applyFont="1" applyFill="1" applyBorder="1" applyProtection="1"/>
    <xf numFmtId="168" fontId="10" fillId="0" borderId="47" xfId="1" applyNumberFormat="1" applyFont="1" applyFill="1" applyBorder="1" applyProtection="1"/>
    <xf numFmtId="168" fontId="10" fillId="0" borderId="0" xfId="0" applyNumberFormat="1" applyFont="1" applyFill="1" applyBorder="1" applyProtection="1"/>
    <xf numFmtId="0" fontId="10" fillId="0" borderId="0" xfId="0" applyFont="1" applyFill="1" applyBorder="1" applyProtection="1"/>
    <xf numFmtId="168" fontId="10" fillId="0" borderId="0" xfId="1" applyNumberFormat="1" applyFont="1" applyFill="1" applyBorder="1" applyProtection="1"/>
    <xf numFmtId="201" fontId="10" fillId="0" borderId="0" xfId="13" applyNumberFormat="1" applyFont="1" applyFill="1"/>
    <xf numFmtId="171" fontId="10" fillId="0" borderId="47" xfId="0" applyNumberFormat="1" applyFont="1" applyFill="1" applyBorder="1" applyProtection="1"/>
    <xf numFmtId="171" fontId="10" fillId="0" borderId="0" xfId="0" applyNumberFormat="1" applyFont="1" applyFill="1" applyBorder="1" applyProtection="1"/>
    <xf numFmtId="191" fontId="10" fillId="0" borderId="0" xfId="0" applyNumberFormat="1" applyFont="1" applyFill="1" applyProtection="1"/>
    <xf numFmtId="43" fontId="10" fillId="0" borderId="0" xfId="1" applyFont="1" applyFill="1" applyProtection="1">
      <protection locked="0"/>
    </xf>
    <xf numFmtId="189" fontId="10" fillId="0" borderId="0" xfId="0" applyNumberFormat="1" applyFont="1" applyFill="1" applyProtection="1"/>
    <xf numFmtId="190" fontId="10" fillId="0" borderId="0" xfId="0" applyNumberFormat="1" applyFont="1" applyFill="1" applyProtection="1"/>
    <xf numFmtId="183" fontId="10" fillId="0" borderId="0" xfId="1" applyNumberFormat="1" applyFont="1" applyFill="1" applyProtection="1">
      <protection locked="0"/>
    </xf>
    <xf numFmtId="167" fontId="10" fillId="0" borderId="0" xfId="0" applyNumberFormat="1" applyFont="1" applyFill="1" applyProtection="1"/>
    <xf numFmtId="10" fontId="42" fillId="0" borderId="0" xfId="7" applyNumberFormat="1" applyFont="1" applyFill="1"/>
    <xf numFmtId="198" fontId="10" fillId="0" borderId="13" xfId="13" applyNumberFormat="1" applyFont="1" applyFill="1" applyBorder="1"/>
    <xf numFmtId="183" fontId="10" fillId="0" borderId="0" xfId="0" applyNumberFormat="1" applyFont="1" applyFill="1" applyProtection="1">
      <protection locked="0"/>
    </xf>
    <xf numFmtId="43" fontId="10" fillId="0" borderId="0" xfId="0" applyNumberFormat="1" applyFont="1" applyFill="1" applyProtection="1">
      <protection locked="0"/>
    </xf>
    <xf numFmtId="43" fontId="10" fillId="0" borderId="0" xfId="1" applyNumberFormat="1" applyFont="1" applyFill="1" applyProtection="1">
      <protection locked="0"/>
    </xf>
    <xf numFmtId="3" fontId="10" fillId="0" borderId="0" xfId="27" applyNumberFormat="1" applyFont="1" applyFill="1"/>
    <xf numFmtId="5" fontId="10" fillId="0" borderId="0" xfId="27" applyNumberFormat="1" applyFont="1" applyFill="1" applyBorder="1"/>
    <xf numFmtId="186" fontId="10" fillId="0" borderId="0" xfId="0" applyNumberFormat="1" applyFont="1" applyFill="1" applyProtection="1"/>
    <xf numFmtId="187" fontId="10" fillId="0" borderId="0" xfId="0" applyNumberFormat="1" applyFont="1" applyFill="1" applyProtection="1"/>
    <xf numFmtId="4" fontId="10" fillId="0" borderId="0" xfId="0" applyNumberFormat="1" applyFont="1" applyFill="1"/>
    <xf numFmtId="192" fontId="10" fillId="0" borderId="0" xfId="0" applyNumberFormat="1" applyFont="1" applyFill="1"/>
    <xf numFmtId="43" fontId="10" fillId="0" borderId="0" xfId="1" applyFont="1" applyFill="1" applyProtection="1"/>
    <xf numFmtId="43" fontId="10" fillId="0" borderId="0" xfId="1" applyNumberFormat="1" applyFont="1" applyFill="1" applyProtection="1"/>
    <xf numFmtId="166" fontId="10" fillId="0" borderId="13" xfId="13" applyNumberFormat="1" applyFont="1" applyFill="1" applyBorder="1"/>
    <xf numFmtId="180" fontId="10" fillId="0" borderId="0" xfId="27" applyNumberFormat="1" applyFont="1" applyFill="1" applyProtection="1"/>
    <xf numFmtId="184" fontId="10" fillId="0" borderId="0" xfId="0" applyNumberFormat="1" applyFont="1" applyFill="1" applyProtection="1"/>
    <xf numFmtId="184" fontId="10" fillId="0" borderId="0" xfId="27" applyNumberFormat="1" applyFont="1" applyFill="1" applyProtection="1"/>
    <xf numFmtId="5" fontId="10" fillId="0" borderId="12" xfId="0" applyNumberFormat="1" applyFont="1" applyFill="1" applyBorder="1" applyProtection="1"/>
    <xf numFmtId="184" fontId="10" fillId="0" borderId="0" xfId="1" applyNumberFormat="1" applyFont="1" applyFill="1" applyProtection="1"/>
    <xf numFmtId="37" fontId="10" fillId="0" borderId="58" xfId="0" applyNumberFormat="1" applyFont="1" applyFill="1" applyBorder="1" applyProtection="1"/>
    <xf numFmtId="5" fontId="10" fillId="0" borderId="58" xfId="0" applyNumberFormat="1" applyFont="1" applyFill="1" applyBorder="1" applyProtection="1"/>
    <xf numFmtId="167" fontId="10" fillId="0" borderId="0" xfId="0" applyNumberFormat="1" applyFont="1" applyFill="1" applyBorder="1"/>
    <xf numFmtId="37" fontId="10" fillId="0" borderId="37" xfId="0" applyNumberFormat="1" applyFont="1" applyFill="1" applyBorder="1" applyProtection="1"/>
    <xf numFmtId="5" fontId="10" fillId="0" borderId="37" xfId="0" applyNumberFormat="1" applyFont="1" applyFill="1" applyBorder="1" applyProtection="1"/>
    <xf numFmtId="10" fontId="10" fillId="0" borderId="19" xfId="13" applyNumberFormat="1" applyFont="1" applyFill="1" applyBorder="1"/>
    <xf numFmtId="3" fontId="10" fillId="0" borderId="13" xfId="0" applyNumberFormat="1" applyFont="1" applyFill="1" applyBorder="1"/>
    <xf numFmtId="171" fontId="10" fillId="0" borderId="0" xfId="0" applyNumberFormat="1" applyFont="1" applyFill="1" applyBorder="1"/>
    <xf numFmtId="10" fontId="10" fillId="0" borderId="0" xfId="0" applyNumberFormat="1" applyFont="1" applyFill="1" applyProtection="1"/>
    <xf numFmtId="0" fontId="10" fillId="0" borderId="0" xfId="13" applyNumberFormat="1" applyFont="1" applyFill="1"/>
    <xf numFmtId="171" fontId="10" fillId="0" borderId="0" xfId="0" applyNumberFormat="1" applyFont="1" applyFill="1"/>
    <xf numFmtId="8" fontId="10" fillId="0" borderId="0" xfId="2" applyNumberFormat="1" applyFont="1" applyFill="1"/>
    <xf numFmtId="5" fontId="10" fillId="0" borderId="0" xfId="2" applyNumberFormat="1" applyFont="1" applyFill="1" applyBorder="1"/>
    <xf numFmtId="5" fontId="10" fillId="0" borderId="0" xfId="0" applyNumberFormat="1" applyFont="1" applyFill="1" applyAlignment="1" applyProtection="1">
      <alignment horizontal="right"/>
    </xf>
    <xf numFmtId="188" fontId="10" fillId="0" borderId="0" xfId="0" applyNumberFormat="1" applyFont="1" applyFill="1" applyProtection="1"/>
    <xf numFmtId="184" fontId="10" fillId="0" borderId="47" xfId="0" applyNumberFormat="1" applyFont="1" applyFill="1" applyBorder="1" applyProtection="1"/>
    <xf numFmtId="0" fontId="10" fillId="0" borderId="0" xfId="0" quotePrefix="1" applyFont="1" applyFill="1" applyProtection="1"/>
    <xf numFmtId="8" fontId="10" fillId="0" borderId="0" xfId="0" applyNumberFormat="1" applyFont="1" applyFill="1" applyProtection="1">
      <protection locked="0"/>
    </xf>
    <xf numFmtId="9" fontId="10" fillId="0" borderId="0" xfId="13" applyFont="1" applyFill="1" applyBorder="1"/>
    <xf numFmtId="5" fontId="10" fillId="0" borderId="34" xfId="0" applyNumberFormat="1" applyFont="1" applyFill="1" applyBorder="1" applyAlignment="1" applyProtection="1">
      <alignment horizontal="right"/>
    </xf>
    <xf numFmtId="5" fontId="10" fillId="0" borderId="0" xfId="0" applyNumberFormat="1" applyFont="1" applyFill="1" applyBorder="1" applyAlignment="1" applyProtection="1">
      <alignment horizontal="right"/>
    </xf>
    <xf numFmtId="7" fontId="10" fillId="0" borderId="0" xfId="0" applyNumberFormat="1" applyFont="1" applyFill="1" applyBorder="1"/>
    <xf numFmtId="44" fontId="10" fillId="0" borderId="0" xfId="2" applyFont="1" applyFill="1" applyBorder="1"/>
    <xf numFmtId="203" fontId="10" fillId="0" borderId="0" xfId="2" applyNumberFormat="1" applyFont="1" applyFill="1" applyBorder="1"/>
    <xf numFmtId="37" fontId="10" fillId="0" borderId="43" xfId="0" applyNumberFormat="1" applyFont="1" applyFill="1" applyBorder="1" applyProtection="1"/>
    <xf numFmtId="37" fontId="10" fillId="0" borderId="48" xfId="0" applyNumberFormat="1" applyFont="1" applyFill="1" applyBorder="1" applyProtection="1"/>
    <xf numFmtId="5" fontId="10" fillId="0" borderId="48" xfId="0" applyNumberFormat="1" applyFont="1" applyFill="1" applyBorder="1" applyProtection="1"/>
    <xf numFmtId="5" fontId="10" fillId="0" borderId="66" xfId="0" applyNumberFormat="1" applyFont="1" applyFill="1" applyBorder="1" applyProtection="1"/>
    <xf numFmtId="5" fontId="10" fillId="0" borderId="13" xfId="0" applyNumberFormat="1" applyFont="1" applyFill="1" applyBorder="1"/>
    <xf numFmtId="166" fontId="10" fillId="0" borderId="0" xfId="13" applyNumberFormat="1" applyFont="1" applyFill="1"/>
    <xf numFmtId="37" fontId="10" fillId="0" borderId="28" xfId="0" applyNumberFormat="1" applyFont="1" applyFill="1" applyBorder="1" applyProtection="1"/>
    <xf numFmtId="0" fontId="10" fillId="0" borderId="28" xfId="0" applyFont="1" applyFill="1" applyBorder="1" applyProtection="1"/>
    <xf numFmtId="5" fontId="10" fillId="0" borderId="15" xfId="0" applyNumberFormat="1" applyFont="1" applyFill="1" applyBorder="1" applyProtection="1"/>
    <xf numFmtId="5" fontId="10" fillId="0" borderId="28" xfId="0" applyNumberFormat="1" applyFont="1" applyFill="1" applyBorder="1" applyProtection="1"/>
    <xf numFmtId="0" fontId="12" fillId="0" borderId="0" xfId="0" applyFont="1" applyFill="1" applyBorder="1" applyProtection="1"/>
    <xf numFmtId="185" fontId="12" fillId="0" borderId="0" xfId="0" applyNumberFormat="1" applyFont="1" applyFill="1" applyProtection="1"/>
    <xf numFmtId="37" fontId="12" fillId="0" borderId="48" xfId="0" applyNumberFormat="1" applyFont="1" applyFill="1" applyBorder="1" applyProtection="1"/>
    <xf numFmtId="7" fontId="12" fillId="0" borderId="48" xfId="1" applyNumberFormat="1" applyFont="1" applyFill="1" applyBorder="1" applyProtection="1"/>
    <xf numFmtId="5" fontId="12" fillId="0" borderId="48" xfId="0" applyNumberFormat="1" applyFont="1" applyFill="1" applyBorder="1" applyProtection="1"/>
    <xf numFmtId="167" fontId="12" fillId="0" borderId="48" xfId="2" applyNumberFormat="1" applyFont="1" applyFill="1" applyBorder="1" applyProtection="1"/>
    <xf numFmtId="7" fontId="12" fillId="0" borderId="48" xfId="0" applyNumberFormat="1" applyFont="1" applyFill="1" applyBorder="1" applyProtection="1"/>
    <xf numFmtId="167" fontId="12" fillId="0" borderId="0" xfId="2" applyNumberFormat="1" applyFont="1" applyFill="1" applyBorder="1" applyProtection="1"/>
    <xf numFmtId="195" fontId="10" fillId="0" borderId="0" xfId="2" applyNumberFormat="1" applyFont="1" applyFill="1"/>
    <xf numFmtId="0" fontId="15" fillId="0" borderId="0" xfId="0" applyFont="1" applyFill="1" applyProtection="1"/>
    <xf numFmtId="5" fontId="10" fillId="0" borderId="0" xfId="23" applyNumberFormat="1" applyFont="1" applyFill="1" applyBorder="1" applyAlignment="1">
      <alignment horizontal="center"/>
    </xf>
    <xf numFmtId="5" fontId="10" fillId="0" borderId="12" xfId="23" quotePrefix="1" applyNumberFormat="1" applyFont="1" applyFill="1" applyBorder="1" applyAlignment="1">
      <alignment horizontal="center"/>
    </xf>
    <xf numFmtId="182" fontId="10" fillId="0" borderId="0" xfId="11" applyNumberFormat="1" applyFont="1" applyFill="1" applyProtection="1"/>
    <xf numFmtId="182" fontId="10" fillId="0" borderId="12" xfId="11" applyNumberFormat="1" applyFont="1" applyFill="1" applyBorder="1" applyProtection="1"/>
    <xf numFmtId="49" fontId="67" fillId="0" borderId="67" xfId="0" applyNumberFormat="1" applyFont="1" applyFill="1" applyBorder="1" applyAlignment="1">
      <alignment horizontal="left"/>
    </xf>
    <xf numFmtId="3" fontId="67" fillId="0" borderId="67" xfId="0" applyNumberFormat="1" applyFont="1" applyFill="1" applyBorder="1" applyAlignment="1">
      <alignment horizontal="right"/>
    </xf>
    <xf numFmtId="211" fontId="67" fillId="0" borderId="67" xfId="0" applyNumberFormat="1" applyFont="1" applyFill="1" applyBorder="1" applyAlignment="1">
      <alignment horizontal="right"/>
    </xf>
    <xf numFmtId="193" fontId="67" fillId="0" borderId="67" xfId="0" applyNumberFormat="1" applyFont="1" applyFill="1" applyBorder="1" applyAlignment="1">
      <alignment horizontal="right"/>
    </xf>
    <xf numFmtId="193" fontId="67" fillId="0" borderId="69" xfId="0" applyNumberFormat="1" applyFont="1" applyFill="1" applyBorder="1" applyAlignment="1">
      <alignment horizontal="right"/>
    </xf>
  </cellXfs>
  <cellStyles count="45">
    <cellStyle name="Comma" xfId="1" builtinId="3"/>
    <cellStyle name="Comma 2" xfId="17"/>
    <cellStyle name="Comma 2 2" xfId="20"/>
    <cellStyle name="Comma 3" xfId="26"/>
    <cellStyle name="Comma 4" xfId="30"/>
    <cellStyle name="Currency" xfId="2" builtinId="4"/>
    <cellStyle name="Currency 2" xfId="34"/>
    <cellStyle name="Currency 3" xfId="36"/>
    <cellStyle name="General" xfId="3"/>
    <cellStyle name="Marathon" xfId="4"/>
    <cellStyle name="nONE" xfId="5"/>
    <cellStyle name="Normal" xfId="0" builtinId="0"/>
    <cellStyle name="Normal 10" xfId="35"/>
    <cellStyle name="Normal 11" xfId="37"/>
    <cellStyle name="Normal 12" xfId="38"/>
    <cellStyle name="Normal 13" xfId="39"/>
    <cellStyle name="Normal 14" xfId="41"/>
    <cellStyle name="Normal 15" xfId="42"/>
    <cellStyle name="Normal 16" xfId="43"/>
    <cellStyle name="Normal 17" xfId="44"/>
    <cellStyle name="Normal 2" xfId="15"/>
    <cellStyle name="Normal 2 2" xfId="33"/>
    <cellStyle name="Normal 3" xfId="16"/>
    <cellStyle name="Normal 3 2" xfId="25"/>
    <cellStyle name="Normal 4" xfId="18"/>
    <cellStyle name="Normal 4 2" xfId="28"/>
    <cellStyle name="Normal 5" xfId="19"/>
    <cellStyle name="Normal 6" xfId="22"/>
    <cellStyle name="Normal 7" xfId="27"/>
    <cellStyle name="Normal 8" xfId="29"/>
    <cellStyle name="Normal 9" xfId="31"/>
    <cellStyle name="Normal_305 versus Cognos" xfId="6"/>
    <cellStyle name="Normal_EAST Blocking 901 2" xfId="23"/>
    <cellStyle name="Normal_East for 38.6M" xfId="7"/>
    <cellStyle name="Normal_OR 1999 SAS VS 305" xfId="8"/>
    <cellStyle name="Normal_OR 1999 SAS VS 305 2" xfId="24"/>
    <cellStyle name="Normal_OR Blocking 04" xfId="9"/>
    <cellStyle name="Normal_OR Blocking 98 No Forecast" xfId="10"/>
    <cellStyle name="Normal_WA98" xfId="11"/>
    <cellStyle name="Normal_WAMar06 Blocking" xfId="12"/>
    <cellStyle name="Percent" xfId="13" builtinId="5"/>
    <cellStyle name="Percent 2" xfId="21"/>
    <cellStyle name="Percent 3" xfId="32"/>
    <cellStyle name="Percent 3 2" xfId="40"/>
    <cellStyle name="TRANSMISSION RELIABILITY PORTION OF PROJECT" xfId="14"/>
  </cellStyles>
  <dxfs count="1">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63" Type="http://schemas.openxmlformats.org/officeDocument/2006/relationships/externalLink" Target="externalLinks/externalLink36.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2.xml"/><Relationship Id="rId34" Type="http://schemas.openxmlformats.org/officeDocument/2006/relationships/externalLink" Target="externalLinks/externalLink7.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GULATN/PA&amp;D/DSMRecov/2001/RECO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M46"/>
  <sheetViews>
    <sheetView tabSelected="1" workbookViewId="0"/>
  </sheetViews>
  <sheetFormatPr defaultColWidth="9.625" defaultRowHeight="15.75"/>
  <cols>
    <col min="1" max="1" width="14.5" style="4" customWidth="1"/>
    <col min="2" max="2" width="16.25" style="4" customWidth="1"/>
    <col min="3" max="3" width="14.625" style="4" customWidth="1"/>
    <col min="4" max="4" width="13.75" style="4" bestFit="1" customWidth="1"/>
    <col min="5" max="5" width="13.5" style="4" bestFit="1" customWidth="1"/>
    <col min="6" max="6" width="13.5" style="4" customWidth="1"/>
    <col min="7" max="7" width="14.125" style="4" bestFit="1" customWidth="1"/>
    <col min="8" max="9" width="13.625" style="4" customWidth="1"/>
    <col min="10" max="10" width="15.625" style="4" customWidth="1"/>
    <col min="11" max="11" width="13.5" style="4" bestFit="1" customWidth="1"/>
    <col min="12" max="14" width="9.625" style="4"/>
    <col min="15" max="15" width="9.75" style="4" bestFit="1" customWidth="1"/>
    <col min="16" max="16384" width="9.625" style="4"/>
  </cols>
  <sheetData>
    <row r="1" spans="1:11">
      <c r="A1" s="305"/>
      <c r="B1" s="305"/>
      <c r="C1" s="305"/>
      <c r="D1" s="305"/>
      <c r="E1" s="305"/>
      <c r="F1" s="305"/>
      <c r="G1" s="305"/>
      <c r="J1" s="456" t="s">
        <v>0</v>
      </c>
      <c r="K1" s="305"/>
    </row>
    <row r="2" spans="1:11">
      <c r="A2" s="305"/>
      <c r="B2" s="305"/>
      <c r="C2" s="305"/>
      <c r="D2" s="305"/>
      <c r="E2" s="305"/>
      <c r="F2" s="305"/>
      <c r="G2" s="305"/>
      <c r="J2" s="456" t="s">
        <v>1</v>
      </c>
      <c r="K2" s="305"/>
    </row>
    <row r="3" spans="1:11" ht="18.75">
      <c r="A3" s="457" t="s">
        <v>717</v>
      </c>
      <c r="B3" s="458"/>
      <c r="C3" s="458"/>
      <c r="D3" s="458"/>
      <c r="E3" s="458"/>
      <c r="F3" s="458"/>
      <c r="G3" s="458"/>
      <c r="H3" s="458"/>
      <c r="I3" s="458"/>
      <c r="J3" s="458"/>
      <c r="K3" s="305"/>
    </row>
    <row r="4" spans="1:11" ht="18.75">
      <c r="A4" s="457" t="s">
        <v>47</v>
      </c>
      <c r="B4" s="458"/>
      <c r="C4" s="458"/>
      <c r="D4" s="458"/>
      <c r="E4" s="458"/>
      <c r="F4" s="458"/>
      <c r="G4" s="458"/>
      <c r="H4" s="458"/>
      <c r="I4" s="458"/>
      <c r="J4" s="458"/>
      <c r="K4" s="305"/>
    </row>
    <row r="5" spans="1:11" ht="18.75">
      <c r="A5" s="457" t="s">
        <v>2</v>
      </c>
      <c r="B5" s="458"/>
      <c r="C5" s="458"/>
      <c r="D5" s="458"/>
      <c r="E5" s="458"/>
      <c r="F5" s="458"/>
      <c r="G5" s="458"/>
      <c r="H5" s="458"/>
      <c r="I5" s="458"/>
      <c r="J5" s="458"/>
      <c r="K5" s="305"/>
    </row>
    <row r="6" spans="1:11" ht="18.75">
      <c r="A6" s="457" t="str">
        <f>'305 Inputs'!B4</f>
        <v>12 Months Ended June 2019</v>
      </c>
      <c r="B6" s="458"/>
      <c r="C6" s="458"/>
      <c r="D6" s="458"/>
      <c r="E6" s="458"/>
      <c r="F6" s="458"/>
      <c r="G6" s="458"/>
      <c r="H6" s="459"/>
      <c r="I6" s="459"/>
      <c r="J6" s="458"/>
      <c r="K6" s="305"/>
    </row>
    <row r="8" spans="1:11" ht="20.25">
      <c r="F8" s="42"/>
    </row>
    <row r="10" spans="1:11">
      <c r="A10" s="305"/>
      <c r="B10" s="305"/>
      <c r="C10" s="460" t="s">
        <v>3</v>
      </c>
      <c r="D10" s="460" t="s">
        <v>4</v>
      </c>
      <c r="E10" s="460" t="s">
        <v>5</v>
      </c>
      <c r="F10" s="460" t="s">
        <v>6</v>
      </c>
      <c r="G10" s="460" t="s">
        <v>7</v>
      </c>
      <c r="H10" s="460" t="s">
        <v>8</v>
      </c>
      <c r="I10" s="460" t="s">
        <v>659</v>
      </c>
      <c r="J10" s="460" t="s">
        <v>660</v>
      </c>
    </row>
    <row r="11" spans="1:11">
      <c r="A11" s="305"/>
      <c r="B11" s="305"/>
      <c r="C11" s="458"/>
      <c r="D11" s="458"/>
      <c r="E11" s="458"/>
      <c r="F11" s="458"/>
      <c r="G11" s="458"/>
      <c r="H11" s="458"/>
      <c r="I11" s="458"/>
      <c r="J11" s="458"/>
    </row>
    <row r="12" spans="1:11">
      <c r="A12" s="305"/>
      <c r="B12" s="305"/>
      <c r="C12" s="461"/>
      <c r="D12" s="462"/>
      <c r="E12" s="462"/>
      <c r="F12" s="462" t="s">
        <v>9</v>
      </c>
      <c r="G12" s="463" t="s">
        <v>654</v>
      </c>
      <c r="H12" s="464"/>
      <c r="I12" s="465" t="s">
        <v>9</v>
      </c>
      <c r="J12" s="462" t="s">
        <v>9</v>
      </c>
      <c r="K12" s="305"/>
    </row>
    <row r="13" spans="1:11">
      <c r="A13" s="305"/>
      <c r="B13" s="305"/>
      <c r="C13" s="466" t="s">
        <v>9</v>
      </c>
      <c r="D13" s="467" t="s">
        <v>11</v>
      </c>
      <c r="E13" s="72" t="s">
        <v>12</v>
      </c>
      <c r="F13" s="72" t="s">
        <v>654</v>
      </c>
      <c r="G13" s="467" t="s">
        <v>14</v>
      </c>
      <c r="H13" s="467" t="s">
        <v>13</v>
      </c>
      <c r="I13" s="72" t="s">
        <v>45</v>
      </c>
      <c r="J13" s="467" t="s">
        <v>76</v>
      </c>
      <c r="K13" s="468"/>
    </row>
    <row r="14" spans="1:11" ht="18.75">
      <c r="A14" s="305"/>
      <c r="B14" s="305"/>
      <c r="C14" s="466" t="s">
        <v>1</v>
      </c>
      <c r="D14" s="467" t="s">
        <v>169</v>
      </c>
      <c r="E14" s="72" t="s">
        <v>16</v>
      </c>
      <c r="F14" s="469" t="s">
        <v>15</v>
      </c>
      <c r="G14" s="470" t="s">
        <v>1</v>
      </c>
      <c r="H14" s="471" t="s">
        <v>164</v>
      </c>
      <c r="I14" s="72" t="s">
        <v>15</v>
      </c>
      <c r="J14" s="467" t="s">
        <v>1</v>
      </c>
      <c r="K14" s="460"/>
    </row>
    <row r="15" spans="1:11">
      <c r="A15" s="305"/>
      <c r="B15" s="305"/>
      <c r="C15" s="471"/>
      <c r="D15" s="472"/>
      <c r="E15" s="471"/>
      <c r="F15" s="471"/>
      <c r="H15" s="471"/>
      <c r="I15" s="72"/>
      <c r="J15" s="471"/>
      <c r="K15" s="460"/>
    </row>
    <row r="16" spans="1:11" ht="34.9" customHeight="1">
      <c r="A16" s="473" t="s">
        <v>17</v>
      </c>
      <c r="B16" s="474"/>
      <c r="C16" s="475">
        <f>'Table 2'!M38</f>
        <v>137110174.65000001</v>
      </c>
      <c r="D16" s="475">
        <f ca="1">'Table 2'!N38-E16</f>
        <v>19312889.386880837</v>
      </c>
      <c r="E16" s="475">
        <f>'Table 3'!H38</f>
        <v>-5364939.7200000007</v>
      </c>
      <c r="F16" s="475">
        <f ca="1">SUM(D16:E16)</f>
        <v>13947949.666880837</v>
      </c>
      <c r="G16" s="475">
        <f ca="1">C16+F16</f>
        <v>151058124.31688085</v>
      </c>
      <c r="H16" s="475">
        <f>'Table 3'!L38</f>
        <v>0.26863548636174528</v>
      </c>
      <c r="I16" s="475">
        <f t="shared" ref="I16:I20" si="0">SUM(H16:H16)</f>
        <v>0.26863548636174528</v>
      </c>
      <c r="J16" s="475">
        <f ca="1">G16+I16</f>
        <v>151058124.58551633</v>
      </c>
      <c r="K16" s="358"/>
    </row>
    <row r="17" spans="1:11" ht="34.9" customHeight="1">
      <c r="A17" s="476" t="s">
        <v>18</v>
      </c>
      <c r="B17" s="477"/>
      <c r="C17" s="475">
        <f>'Table 2'!M69</f>
        <v>124009834.28000003</v>
      </c>
      <c r="D17" s="475">
        <f>'Table 2'!N69-E17</f>
        <v>8215563.9371163202</v>
      </c>
      <c r="E17" s="475">
        <f>'Table 3'!H69</f>
        <v>-928263.79</v>
      </c>
      <c r="F17" s="475">
        <f t="shared" ref="F17:F20" si="1">SUM(D17:E17)</f>
        <v>7287300.1471163202</v>
      </c>
      <c r="G17" s="475">
        <f t="shared" ref="G17:G20" si="2">C17+F17</f>
        <v>131297134.42711635</v>
      </c>
      <c r="H17" s="475">
        <f>'Table 3'!L69</f>
        <v>1.1667557155305985E-2</v>
      </c>
      <c r="I17" s="475">
        <f t="shared" si="0"/>
        <v>1.1667557155305985E-2</v>
      </c>
      <c r="J17" s="475">
        <f t="shared" ref="J17:J21" si="3">G17+I17</f>
        <v>131297134.43878391</v>
      </c>
      <c r="K17" s="358"/>
    </row>
    <row r="18" spans="1:11" ht="34.9" customHeight="1">
      <c r="A18" s="476" t="s">
        <v>30</v>
      </c>
      <c r="B18" s="477"/>
      <c r="C18" s="475">
        <f ca="1">'Table 2'!M100</f>
        <v>46327302.749999993</v>
      </c>
      <c r="D18" s="475">
        <f ca="1">'Table 2'!N100-E18</f>
        <v>4036193.6255743047</v>
      </c>
      <c r="E18" s="475">
        <f>'Table 3'!H100</f>
        <v>0</v>
      </c>
      <c r="F18" s="475">
        <f ca="1">SUM(D18:E18)</f>
        <v>4036193.6255743047</v>
      </c>
      <c r="G18" s="475">
        <f ca="1">C18+F18</f>
        <v>50363496.375574298</v>
      </c>
      <c r="H18" s="475">
        <f ca="1">'Table 3'!L100</f>
        <v>0</v>
      </c>
      <c r="I18" s="475">
        <f t="shared" ca="1" si="0"/>
        <v>0</v>
      </c>
      <c r="J18" s="475">
        <f t="shared" ca="1" si="3"/>
        <v>50363496.375574298</v>
      </c>
      <c r="K18" s="358"/>
    </row>
    <row r="19" spans="1:11" ht="34.9" customHeight="1">
      <c r="A19" s="476" t="s">
        <v>197</v>
      </c>
      <c r="B19" s="477"/>
      <c r="C19" s="475">
        <f>'Table 2'!M122</f>
        <v>14276013.060000002</v>
      </c>
      <c r="D19" s="475">
        <f>'Table 2'!N122-E19</f>
        <v>1270596.034960394</v>
      </c>
      <c r="E19" s="475">
        <f>'Table 3'!H122</f>
        <v>-170791.43</v>
      </c>
      <c r="F19" s="475">
        <f>SUM(D19:E19)</f>
        <v>1099804.6049603941</v>
      </c>
      <c r="G19" s="475">
        <f t="shared" si="2"/>
        <v>15375817.664960396</v>
      </c>
      <c r="H19" s="475">
        <f>'Table 3'!L122</f>
        <v>5.0396059523336589E-3</v>
      </c>
      <c r="I19" s="475">
        <f t="shared" si="0"/>
        <v>5.0396059523336589E-3</v>
      </c>
      <c r="J19" s="475">
        <f t="shared" si="3"/>
        <v>15375817.670000002</v>
      </c>
      <c r="K19" s="358"/>
    </row>
    <row r="20" spans="1:11" ht="34.9" customHeight="1" thickBot="1">
      <c r="A20" s="478" t="s">
        <v>19</v>
      </c>
      <c r="B20" s="479"/>
      <c r="C20" s="480">
        <f>'Table 2'!M142</f>
        <v>1265386.29</v>
      </c>
      <c r="D20" s="480">
        <f ca="1">'Table 2'!N142-E20</f>
        <v>46644.586241517616</v>
      </c>
      <c r="E20" s="480">
        <f>'Table 3'!H142</f>
        <v>0</v>
      </c>
      <c r="F20" s="480">
        <f t="shared" ca="1" si="1"/>
        <v>46644.586241517616</v>
      </c>
      <c r="G20" s="480">
        <f t="shared" ca="1" si="2"/>
        <v>1312030.8762415177</v>
      </c>
      <c r="H20" s="475">
        <f ca="1">'Table 3'!L142</f>
        <v>0</v>
      </c>
      <c r="I20" s="475">
        <f t="shared" ca="1" si="0"/>
        <v>0</v>
      </c>
      <c r="J20" s="706">
        <f t="shared" ca="1" si="3"/>
        <v>1312030.8762415177</v>
      </c>
      <c r="K20" s="358"/>
    </row>
    <row r="21" spans="1:11" ht="34.9" customHeight="1" thickTop="1" thickBot="1">
      <c r="A21" s="481" t="s">
        <v>77</v>
      </c>
      <c r="B21" s="482"/>
      <c r="C21" s="483">
        <f t="shared" ref="C21:I21" ca="1" si="4">SUM(C16:C20)</f>
        <v>322988711.03000003</v>
      </c>
      <c r="D21" s="483">
        <f t="shared" ca="1" si="4"/>
        <v>32881887.570773374</v>
      </c>
      <c r="E21" s="483">
        <f t="shared" si="4"/>
        <v>-6463994.9400000004</v>
      </c>
      <c r="F21" s="483">
        <f t="shared" ca="1" si="4"/>
        <v>26417892.630773373</v>
      </c>
      <c r="G21" s="483">
        <f t="shared" ca="1" si="4"/>
        <v>349406603.6607734</v>
      </c>
      <c r="H21" s="483">
        <f t="shared" ca="1" si="4"/>
        <v>0.28534264946938492</v>
      </c>
      <c r="I21" s="483">
        <f t="shared" ca="1" si="4"/>
        <v>0.28534264946938492</v>
      </c>
      <c r="J21" s="707">
        <f t="shared" ca="1" si="3"/>
        <v>349406603.94611603</v>
      </c>
      <c r="K21" s="358"/>
    </row>
    <row r="22" spans="1:11" ht="20.25" hidden="1" customHeight="1" thickTop="1">
      <c r="A22" s="484" t="s">
        <v>92</v>
      </c>
      <c r="B22" s="485"/>
      <c r="C22" s="486"/>
      <c r="D22" s="486"/>
      <c r="E22" s="486"/>
      <c r="F22" s="486"/>
      <c r="G22" s="486"/>
      <c r="H22" s="486"/>
      <c r="I22" s="486"/>
      <c r="J22" s="486"/>
      <c r="K22" s="305"/>
    </row>
    <row r="23" spans="1:11" ht="34.9" hidden="1" customHeight="1">
      <c r="A23" s="478" t="s">
        <v>89</v>
      </c>
      <c r="B23" s="479"/>
      <c r="C23" s="475">
        <v>0</v>
      </c>
      <c r="D23" s="475">
        <v>0</v>
      </c>
      <c r="E23" s="475">
        <v>0</v>
      </c>
      <c r="F23" s="475">
        <v>0</v>
      </c>
      <c r="G23" s="475">
        <v>0</v>
      </c>
      <c r="H23" s="475"/>
      <c r="I23" s="475"/>
      <c r="J23" s="475">
        <v>0</v>
      </c>
      <c r="K23" s="305"/>
    </row>
    <row r="24" spans="1:11" ht="34.9" hidden="1" customHeight="1">
      <c r="A24" s="478" t="s">
        <v>90</v>
      </c>
      <c r="B24" s="479"/>
      <c r="C24" s="475">
        <v>0</v>
      </c>
      <c r="D24" s="475">
        <v>0</v>
      </c>
      <c r="E24" s="475">
        <v>0</v>
      </c>
      <c r="F24" s="475">
        <v>0</v>
      </c>
      <c r="G24" s="475">
        <v>0</v>
      </c>
      <c r="H24" s="475"/>
      <c r="I24" s="475"/>
      <c r="J24" s="475">
        <v>0</v>
      </c>
      <c r="K24" s="305"/>
    </row>
    <row r="25" spans="1:11" ht="34.9" hidden="1" customHeight="1" thickBot="1">
      <c r="A25" s="487" t="s">
        <v>91</v>
      </c>
      <c r="B25" s="488"/>
      <c r="C25" s="489">
        <f ca="1">+C21+C23+C24</f>
        <v>322988711.03000003</v>
      </c>
      <c r="D25" s="489">
        <f ca="1">+D21+D23+D24</f>
        <v>32881887.570773374</v>
      </c>
      <c r="E25" s="489">
        <f>+E21+E23+E24</f>
        <v>-6463994.9400000004</v>
      </c>
      <c r="F25" s="489">
        <f ca="1">+F21+F23+F24</f>
        <v>26417892.630773373</v>
      </c>
      <c r="G25" s="489">
        <f ca="1">+G21+G23+G24</f>
        <v>349406603.6607734</v>
      </c>
      <c r="H25" s="489"/>
      <c r="I25" s="489"/>
      <c r="J25" s="489">
        <f ca="1">+J21+J23+J24</f>
        <v>349406603.94611603</v>
      </c>
      <c r="K25" s="305"/>
    </row>
    <row r="26" spans="1:11" ht="16.5" thickTop="1">
      <c r="A26" s="478"/>
      <c r="B26" s="479"/>
      <c r="C26" s="73"/>
      <c r="D26" s="72"/>
      <c r="E26" s="72"/>
      <c r="F26" s="72"/>
      <c r="G26" s="72"/>
      <c r="H26" s="72"/>
      <c r="I26" s="72"/>
      <c r="J26" s="72"/>
      <c r="K26" s="305"/>
    </row>
    <row r="27" spans="1:11">
      <c r="A27" s="478"/>
      <c r="B27" s="479"/>
      <c r="C27" s="73"/>
      <c r="D27" s="73"/>
      <c r="E27" s="72" t="s">
        <v>20</v>
      </c>
      <c r="F27" s="72"/>
      <c r="G27" s="72"/>
      <c r="H27" s="72"/>
      <c r="I27" s="72"/>
      <c r="J27" s="72"/>
      <c r="K27" s="490"/>
    </row>
    <row r="28" spans="1:11">
      <c r="A28" s="478" t="s">
        <v>21</v>
      </c>
      <c r="B28" s="479"/>
      <c r="C28" s="73" t="s">
        <v>163</v>
      </c>
      <c r="D28" s="72" t="s">
        <v>98</v>
      </c>
      <c r="E28" s="72" t="s">
        <v>22</v>
      </c>
      <c r="F28" s="72" t="s">
        <v>43</v>
      </c>
      <c r="G28" s="72" t="s">
        <v>42</v>
      </c>
      <c r="H28" s="72" t="s">
        <v>29</v>
      </c>
      <c r="I28" s="491" t="s">
        <v>748</v>
      </c>
      <c r="J28" s="491" t="s">
        <v>661</v>
      </c>
      <c r="K28" s="492"/>
    </row>
    <row r="29" spans="1:11" ht="15" customHeight="1">
      <c r="A29" s="478"/>
      <c r="B29" s="479"/>
      <c r="C29" s="73"/>
      <c r="D29" s="72"/>
      <c r="E29" s="72" t="s">
        <v>29</v>
      </c>
      <c r="F29" s="72"/>
      <c r="G29" s="72"/>
      <c r="H29" s="72"/>
      <c r="I29" s="72"/>
      <c r="J29" s="72"/>
      <c r="K29" s="305"/>
    </row>
    <row r="30" spans="1:11" ht="16.5" customHeight="1">
      <c r="A30" s="476"/>
      <c r="B30" s="477"/>
      <c r="C30" s="74"/>
      <c r="D30" s="74"/>
      <c r="E30" s="74"/>
      <c r="F30" s="74"/>
      <c r="G30" s="74"/>
      <c r="H30" s="74"/>
      <c r="I30" s="74"/>
      <c r="J30" s="74"/>
      <c r="K30" s="305"/>
    </row>
    <row r="31" spans="1:11">
      <c r="A31" s="423"/>
    </row>
    <row r="32" spans="1:11">
      <c r="A32" s="423"/>
    </row>
    <row r="33" spans="1:13" ht="18" customHeight="1">
      <c r="A33" s="423" t="s">
        <v>915</v>
      </c>
      <c r="B33" s="423"/>
      <c r="C33" s="784"/>
      <c r="D33" s="784"/>
      <c r="E33" s="784"/>
      <c r="F33" s="784"/>
      <c r="G33" s="784"/>
      <c r="H33" s="784"/>
      <c r="I33" s="784"/>
      <c r="J33" s="784"/>
      <c r="K33" s="784"/>
      <c r="M33" s="421"/>
    </row>
    <row r="34" spans="1:13" ht="15.75" customHeight="1">
      <c r="A34" s="423" t="s">
        <v>913</v>
      </c>
      <c r="B34" s="423"/>
      <c r="C34" s="784"/>
      <c r="D34" s="784"/>
      <c r="E34" s="784"/>
      <c r="F34" s="784"/>
      <c r="G34" s="784"/>
      <c r="H34" s="784"/>
      <c r="I34" s="784"/>
      <c r="J34" s="784"/>
      <c r="K34" s="784"/>
      <c r="M34" s="421"/>
    </row>
    <row r="35" spans="1:13" ht="18" customHeight="1">
      <c r="B35" s="305"/>
      <c r="C35" s="305"/>
      <c r="D35" s="305"/>
      <c r="E35" s="305"/>
      <c r="F35" s="305"/>
      <c r="G35" s="305"/>
    </row>
    <row r="36" spans="1:13" ht="18" customHeight="1">
      <c r="A36" s="458"/>
      <c r="C36" s="490"/>
      <c r="D36" s="305"/>
      <c r="E36" s="305"/>
      <c r="F36" s="305"/>
      <c r="G36" s="305"/>
    </row>
    <row r="37" spans="1:13" ht="24">
      <c r="A37" s="493"/>
      <c r="B37" s="305"/>
      <c r="C37" s="494"/>
      <c r="D37" s="305"/>
      <c r="E37" s="305"/>
      <c r="F37" s="305"/>
      <c r="G37" s="305"/>
    </row>
    <row r="38" spans="1:13">
      <c r="B38" s="495"/>
    </row>
    <row r="39" spans="1:13">
      <c r="B39" s="495"/>
    </row>
    <row r="40" spans="1:13">
      <c r="B40" s="495"/>
      <c r="D40" s="305"/>
    </row>
    <row r="41" spans="1:13">
      <c r="B41" s="495"/>
      <c r="D41" s="305"/>
    </row>
    <row r="42" spans="1:13">
      <c r="B42" s="495"/>
    </row>
    <row r="43" spans="1:13">
      <c r="B43" s="495"/>
    </row>
    <row r="44" spans="1:13">
      <c r="B44" s="495"/>
      <c r="G44" s="496"/>
    </row>
    <row r="45" spans="1:13">
      <c r="B45" s="495"/>
    </row>
    <row r="46" spans="1:13">
      <c r="K46" s="4" t="s">
        <v>31</v>
      </c>
    </row>
  </sheetData>
  <printOptions horizontalCentered="1"/>
  <pageMargins left="0.22" right="0.5" top="0.5" bottom="0.55000000000000004" header="0.5" footer="0.38"/>
  <pageSetup scale="86" orientation="landscape" r:id="rId1"/>
  <headerFooter alignWithMargins="0">
    <oddFooter>&amp;C&amp;8Prepared by Pricing &amp;D&amp;R&amp;8&amp;F&amp;A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4">
    <pageSetUpPr fitToPage="1"/>
  </sheetPr>
  <dimension ref="B1:Z60"/>
  <sheetViews>
    <sheetView topLeftCell="B1" workbookViewId="0">
      <selection activeCell="B8" sqref="B8"/>
    </sheetView>
  </sheetViews>
  <sheetFormatPr defaultColWidth="10.25" defaultRowHeight="15.75"/>
  <cols>
    <col min="1" max="1" width="0" style="639" hidden="1" customWidth="1"/>
    <col min="2" max="2" width="4.625" style="639" customWidth="1"/>
    <col min="3" max="3" width="2.125" style="639" customWidth="1"/>
    <col min="4" max="4" width="35.875" style="639" customWidth="1"/>
    <col min="5" max="5" width="2.125" style="639" customWidth="1"/>
    <col min="6" max="6" width="5.625" style="639" bestFit="1" customWidth="1"/>
    <col min="7" max="7" width="2.125" style="639" customWidth="1"/>
    <col min="8" max="8" width="8.875" style="639" bestFit="1" customWidth="1"/>
    <col min="9" max="9" width="2" style="639" customWidth="1"/>
    <col min="10" max="10" width="10.5" style="639" bestFit="1" customWidth="1"/>
    <col min="11" max="11" width="2.875" style="639" customWidth="1"/>
    <col min="12" max="12" width="10" style="639" bestFit="1" customWidth="1"/>
    <col min="13" max="13" width="2.75" style="639" customWidth="1"/>
    <col min="14" max="14" width="10" style="639" bestFit="1" customWidth="1"/>
    <col min="15" max="15" width="2.625" style="639" customWidth="1"/>
    <col min="16" max="16" width="8" style="639" bestFit="1" customWidth="1"/>
    <col min="17" max="17" width="8.75" style="639" bestFit="1" customWidth="1"/>
    <col min="18" max="18" width="1.875" style="639" customWidth="1"/>
    <col min="19" max="19" width="11.75" style="639" bestFit="1" customWidth="1"/>
    <col min="20" max="20" width="2.125" style="639" customWidth="1"/>
    <col min="21" max="21" width="3.125" style="639" customWidth="1"/>
    <col min="22" max="22" width="7.25" style="639" customWidth="1"/>
    <col min="23" max="23" width="0.125" style="639" customWidth="1"/>
    <col min="24" max="24" width="10.25" style="639" customWidth="1"/>
    <col min="25" max="25" width="13.5" style="639" bestFit="1" customWidth="1"/>
    <col min="26" max="16384" width="10.25" style="639"/>
  </cols>
  <sheetData>
    <row r="1" spans="2:26" ht="18.75">
      <c r="C1" s="644"/>
      <c r="D1" s="644"/>
      <c r="N1" s="639" t="s">
        <v>31</v>
      </c>
    </row>
    <row r="2" spans="2:26">
      <c r="B2" s="840" t="s">
        <v>289</v>
      </c>
      <c r="C2" s="840"/>
      <c r="D2" s="840"/>
      <c r="E2" s="840"/>
      <c r="F2" s="840"/>
      <c r="G2" s="840"/>
      <c r="H2" s="840"/>
      <c r="I2" s="840"/>
      <c r="J2" s="840"/>
      <c r="K2" s="840"/>
      <c r="L2" s="840"/>
      <c r="M2" s="840"/>
      <c r="N2" s="840"/>
      <c r="O2" s="840"/>
      <c r="P2" s="840"/>
      <c r="Q2" s="840"/>
      <c r="R2" s="840"/>
      <c r="S2" s="123"/>
      <c r="T2" s="123"/>
    </row>
    <row r="3" spans="2:26">
      <c r="B3" s="841" t="s">
        <v>178</v>
      </c>
      <c r="C3" s="841"/>
      <c r="D3" s="841"/>
      <c r="E3" s="841"/>
      <c r="F3" s="841"/>
      <c r="G3" s="841"/>
      <c r="H3" s="841"/>
      <c r="I3" s="841"/>
      <c r="J3" s="841"/>
      <c r="K3" s="841"/>
      <c r="L3" s="841"/>
      <c r="M3" s="841"/>
      <c r="N3" s="841"/>
      <c r="O3" s="841"/>
      <c r="P3" s="841"/>
      <c r="Q3" s="841"/>
      <c r="R3" s="841"/>
      <c r="S3" s="122"/>
      <c r="T3" s="122"/>
      <c r="U3" s="122"/>
      <c r="V3" s="122"/>
      <c r="W3" s="122"/>
    </row>
    <row r="4" spans="2:26">
      <c r="B4" s="841" t="s">
        <v>775</v>
      </c>
      <c r="C4" s="841"/>
      <c r="D4" s="841"/>
      <c r="E4" s="841"/>
      <c r="F4" s="841"/>
      <c r="G4" s="841"/>
      <c r="H4" s="841"/>
      <c r="I4" s="841"/>
      <c r="J4" s="841"/>
      <c r="K4" s="841"/>
      <c r="L4" s="841"/>
      <c r="M4" s="841"/>
      <c r="N4" s="841"/>
      <c r="O4" s="841"/>
      <c r="P4" s="841"/>
      <c r="Q4" s="841"/>
      <c r="R4" s="841"/>
      <c r="S4" s="122"/>
      <c r="T4" s="122"/>
      <c r="U4" s="122"/>
      <c r="V4" s="122"/>
      <c r="W4" s="122"/>
    </row>
    <row r="5" spans="2:26">
      <c r="B5" s="841" t="s">
        <v>291</v>
      </c>
      <c r="C5" s="841"/>
      <c r="D5" s="841"/>
      <c r="E5" s="841"/>
      <c r="F5" s="841"/>
      <c r="G5" s="841"/>
      <c r="H5" s="841"/>
      <c r="I5" s="841"/>
      <c r="J5" s="841"/>
      <c r="K5" s="841"/>
      <c r="L5" s="841"/>
      <c r="M5" s="841"/>
      <c r="N5" s="841"/>
      <c r="O5" s="841"/>
      <c r="P5" s="841"/>
      <c r="Q5" s="841"/>
      <c r="R5" s="841"/>
      <c r="S5" s="122"/>
      <c r="T5" s="122"/>
      <c r="U5" s="122"/>
      <c r="V5" s="122"/>
      <c r="W5" s="122"/>
    </row>
    <row r="6" spans="2:26">
      <c r="B6" s="841" t="s">
        <v>292</v>
      </c>
      <c r="C6" s="841"/>
      <c r="D6" s="841"/>
      <c r="E6" s="841"/>
      <c r="F6" s="841"/>
      <c r="G6" s="841"/>
      <c r="H6" s="841"/>
      <c r="I6" s="841"/>
      <c r="J6" s="841"/>
      <c r="K6" s="841"/>
      <c r="L6" s="841"/>
      <c r="M6" s="841"/>
      <c r="N6" s="841"/>
      <c r="O6" s="841"/>
      <c r="P6" s="841"/>
      <c r="Q6" s="841"/>
      <c r="R6" s="841"/>
      <c r="S6" s="122"/>
      <c r="T6" s="122"/>
      <c r="U6" s="122"/>
      <c r="V6" s="122"/>
      <c r="W6" s="122"/>
    </row>
    <row r="7" spans="2:26">
      <c r="B7" s="840" t="s">
        <v>914</v>
      </c>
      <c r="C7" s="840"/>
      <c r="D7" s="840"/>
      <c r="E7" s="840"/>
      <c r="F7" s="840"/>
      <c r="G7" s="840"/>
      <c r="H7" s="840"/>
      <c r="I7" s="840"/>
      <c r="J7" s="840"/>
      <c r="K7" s="840"/>
      <c r="L7" s="840"/>
      <c r="M7" s="840"/>
      <c r="N7" s="840"/>
      <c r="O7" s="840"/>
      <c r="P7" s="840"/>
      <c r="Q7" s="840"/>
      <c r="R7" s="840"/>
      <c r="S7" s="123"/>
      <c r="T7" s="123"/>
      <c r="U7" s="123"/>
      <c r="V7" s="123"/>
      <c r="W7" s="123"/>
    </row>
    <row r="8" spans="2:26">
      <c r="B8" s="788"/>
      <c r="C8" s="788"/>
      <c r="D8" s="788"/>
      <c r="E8" s="788"/>
      <c r="F8" s="788"/>
      <c r="G8" s="788"/>
      <c r="H8" s="788"/>
      <c r="I8" s="788"/>
      <c r="J8" s="788"/>
      <c r="K8" s="788"/>
      <c r="L8" s="788"/>
      <c r="M8" s="788"/>
      <c r="N8" s="751"/>
      <c r="O8" s="762"/>
      <c r="P8" s="762"/>
      <c r="Q8" s="762"/>
      <c r="R8" s="123"/>
      <c r="S8" s="123"/>
      <c r="T8" s="123"/>
      <c r="U8" s="123"/>
      <c r="V8" s="123"/>
      <c r="W8" s="123"/>
    </row>
    <row r="9" spans="2:26">
      <c r="K9" s="756"/>
      <c r="L9" s="124"/>
      <c r="M9" s="125"/>
      <c r="N9" s="722"/>
      <c r="O9" s="722"/>
      <c r="P9" s="722"/>
      <c r="Q9" s="722"/>
      <c r="R9" s="125"/>
      <c r="S9" s="751" t="s">
        <v>31</v>
      </c>
      <c r="T9" s="125"/>
      <c r="U9" s="125"/>
      <c r="V9" s="125"/>
      <c r="W9" s="125"/>
      <c r="X9" s="756"/>
      <c r="Y9" s="756"/>
      <c r="Z9" s="756"/>
    </row>
    <row r="10" spans="2:26">
      <c r="L10" s="871" t="s">
        <v>190</v>
      </c>
      <c r="M10" s="872"/>
      <c r="N10" s="722"/>
      <c r="O10" s="722"/>
      <c r="P10" s="722"/>
      <c r="Q10" s="722"/>
      <c r="R10" s="872"/>
      <c r="S10" s="640" t="s">
        <v>295</v>
      </c>
      <c r="T10" s="872"/>
      <c r="U10" s="872"/>
      <c r="V10" s="872"/>
      <c r="W10" s="872"/>
    </row>
    <row r="11" spans="2:26">
      <c r="F11" s="871" t="s">
        <v>297</v>
      </c>
      <c r="G11" s="871"/>
      <c r="L11" s="640" t="s">
        <v>180</v>
      </c>
      <c r="M11" s="873"/>
      <c r="N11" s="640" t="s">
        <v>180</v>
      </c>
      <c r="O11" s="640"/>
      <c r="P11" s="722" t="s">
        <v>31</v>
      </c>
      <c r="Q11" s="722"/>
      <c r="R11" s="722"/>
      <c r="S11" s="640" t="s">
        <v>164</v>
      </c>
      <c r="T11" s="722"/>
      <c r="U11" s="871"/>
      <c r="V11" s="722"/>
      <c r="W11" s="871"/>
    </row>
    <row r="12" spans="2:26">
      <c r="B12" s="871" t="s">
        <v>179</v>
      </c>
      <c r="F12" s="871" t="s">
        <v>299</v>
      </c>
      <c r="G12" s="871"/>
      <c r="H12" s="871" t="s">
        <v>298</v>
      </c>
      <c r="L12" s="871" t="s">
        <v>37</v>
      </c>
      <c r="M12" s="871"/>
      <c r="N12" s="1107" t="s">
        <v>37</v>
      </c>
      <c r="O12" s="871"/>
      <c r="P12" s="641" t="s">
        <v>245</v>
      </c>
      <c r="Q12" s="871" t="s">
        <v>180</v>
      </c>
      <c r="R12" s="871"/>
      <c r="S12" s="871" t="s">
        <v>182</v>
      </c>
      <c r="T12" s="871"/>
      <c r="U12" s="871"/>
      <c r="V12" s="640"/>
      <c r="W12" s="640"/>
      <c r="X12" s="756"/>
    </row>
    <row r="13" spans="2:26">
      <c r="B13" s="875" t="s">
        <v>181</v>
      </c>
      <c r="D13" s="875" t="s">
        <v>195</v>
      </c>
      <c r="F13" s="875" t="s">
        <v>181</v>
      </c>
      <c r="G13" s="640"/>
      <c r="H13" s="876" t="s">
        <v>300</v>
      </c>
      <c r="J13" s="876" t="s">
        <v>301</v>
      </c>
      <c r="L13" s="877" t="s">
        <v>191</v>
      </c>
      <c r="M13" s="640"/>
      <c r="N13" s="1108" t="s">
        <v>191</v>
      </c>
      <c r="O13" s="878"/>
      <c r="P13" s="879" t="s">
        <v>191</v>
      </c>
      <c r="Q13" s="876" t="s">
        <v>304</v>
      </c>
      <c r="R13" s="640"/>
      <c r="S13" s="877" t="s">
        <v>305</v>
      </c>
      <c r="T13" s="640"/>
      <c r="U13" s="640"/>
      <c r="V13" s="640"/>
      <c r="W13" s="640"/>
      <c r="X13" s="756"/>
    </row>
    <row r="14" spans="2:26">
      <c r="B14" s="880"/>
      <c r="D14" s="641" t="s">
        <v>306</v>
      </c>
      <c r="F14" s="641" t="s">
        <v>307</v>
      </c>
      <c r="G14" s="871"/>
      <c r="H14" s="641" t="s">
        <v>308</v>
      </c>
      <c r="J14" s="641" t="s">
        <v>309</v>
      </c>
      <c r="L14" s="641" t="s">
        <v>310</v>
      </c>
      <c r="M14" s="641"/>
      <c r="N14" s="641" t="s">
        <v>311</v>
      </c>
      <c r="O14" s="641"/>
      <c r="P14" s="641" t="s">
        <v>312</v>
      </c>
      <c r="Q14" s="641" t="s">
        <v>313</v>
      </c>
      <c r="R14" s="641"/>
      <c r="S14" s="641" t="s">
        <v>709</v>
      </c>
      <c r="T14" s="641"/>
      <c r="U14" s="641"/>
      <c r="V14" s="873"/>
      <c r="W14" s="873"/>
      <c r="X14" s="756"/>
    </row>
    <row r="15" spans="2:26">
      <c r="M15" s="641"/>
      <c r="N15" s="641" t="s">
        <v>31</v>
      </c>
      <c r="Q15" s="641" t="s">
        <v>316</v>
      </c>
      <c r="S15" s="641" t="s">
        <v>784</v>
      </c>
      <c r="V15" s="756"/>
      <c r="W15" s="756"/>
      <c r="X15" s="756"/>
    </row>
    <row r="16" spans="2:26">
      <c r="D16" s="881" t="s">
        <v>17</v>
      </c>
      <c r="V16" s="756"/>
      <c r="W16" s="756"/>
      <c r="X16" s="756"/>
    </row>
    <row r="17" spans="2:26">
      <c r="B17" s="871">
        <v>1</v>
      </c>
      <c r="D17" s="639" t="s">
        <v>318</v>
      </c>
      <c r="F17" s="641" t="s">
        <v>710</v>
      </c>
      <c r="G17" s="641"/>
      <c r="H17" s="882">
        <f>'Exhibit No.__(RMM-11) p1-8'!C89/12</f>
        <v>107789.70430107282</v>
      </c>
      <c r="J17" s="882">
        <f>'Exhibit No.__(RMM-11) p1-8'!C101/1000</f>
        <v>1524718.2118738822</v>
      </c>
      <c r="L17" s="883">
        <f>'Exhibit No.__(RMM-11) p1-8'!F101/1000</f>
        <v>148284.96506268738</v>
      </c>
      <c r="M17" s="884"/>
      <c r="N17" s="883">
        <f ca="1">'Exhibit No.__(RMM-11) p1-8'!I101/1000</f>
        <v>150616.54806268736</v>
      </c>
      <c r="O17" s="883"/>
      <c r="P17" s="883">
        <f ca="1">N17-L17</f>
        <v>2331.5829999999842</v>
      </c>
      <c r="Q17" s="884">
        <f ca="1">P17/L17</f>
        <v>1.5723664223236043E-2</v>
      </c>
      <c r="R17" s="884"/>
      <c r="S17" s="1109">
        <f ca="1">N17/J17*100</f>
        <v>9.8783202620488986</v>
      </c>
      <c r="T17" s="884"/>
      <c r="U17" s="884"/>
      <c r="V17" s="756" t="s">
        <v>31</v>
      </c>
      <c r="W17" s="886"/>
      <c r="X17" s="887" t="s">
        <v>31</v>
      </c>
      <c r="Y17" s="639" t="s">
        <v>31</v>
      </c>
    </row>
    <row r="18" spans="2:26">
      <c r="H18" s="888"/>
      <c r="J18" s="888"/>
      <c r="L18" s="888"/>
      <c r="M18" s="756"/>
      <c r="N18" s="888"/>
      <c r="O18" s="756"/>
      <c r="P18" s="888"/>
      <c r="Q18" s="890"/>
      <c r="R18" s="756"/>
      <c r="S18" s="889"/>
      <c r="T18" s="756"/>
      <c r="U18" s="756"/>
      <c r="V18" s="7"/>
      <c r="W18" s="756"/>
      <c r="X18" s="756"/>
    </row>
    <row r="19" spans="2:26">
      <c r="Q19" s="892"/>
      <c r="V19" s="7"/>
      <c r="W19" s="756"/>
      <c r="X19" s="756"/>
    </row>
    <row r="20" spans="2:26">
      <c r="B20" s="83">
        <f>MAX(B$14:B19)+1</f>
        <v>2</v>
      </c>
      <c r="D20" s="881" t="s">
        <v>320</v>
      </c>
      <c r="H20" s="882">
        <f>SUM(H17:H17)</f>
        <v>107789.70430107282</v>
      </c>
      <c r="J20" s="882">
        <f>SUM(J17:J17)</f>
        <v>1524718.2118738822</v>
      </c>
      <c r="K20" s="882"/>
      <c r="L20" s="894">
        <f>SUM(L17:L17)</f>
        <v>148284.96506268738</v>
      </c>
      <c r="M20" s="884"/>
      <c r="N20" s="894">
        <f ca="1">SUM(N17:N17)</f>
        <v>150616.54806268736</v>
      </c>
      <c r="O20" s="894"/>
      <c r="P20" s="883">
        <f ca="1">SUM(P17)</f>
        <v>2331.5829999999842</v>
      </c>
      <c r="Q20" s="884">
        <f ca="1">P20/L20</f>
        <v>1.5723664223236043E-2</v>
      </c>
      <c r="R20" s="884"/>
      <c r="S20" s="1109">
        <f ca="1">N20/J20*100</f>
        <v>9.8783202620488986</v>
      </c>
      <c r="T20" s="884"/>
      <c r="U20" s="884"/>
      <c r="V20" s="126"/>
      <c r="W20" s="886"/>
      <c r="X20" s="756"/>
    </row>
    <row r="21" spans="2:26">
      <c r="J21" s="639" t="s">
        <v>31</v>
      </c>
      <c r="Q21" s="892"/>
      <c r="V21" s="7"/>
      <c r="W21" s="756"/>
      <c r="X21" s="756"/>
    </row>
    <row r="22" spans="2:26">
      <c r="D22" s="881" t="s">
        <v>321</v>
      </c>
      <c r="H22" s="895"/>
      <c r="Q22" s="892"/>
      <c r="V22" s="7"/>
      <c r="W22" s="756"/>
      <c r="X22" s="756"/>
    </row>
    <row r="23" spans="2:26">
      <c r="B23" s="83">
        <f>MAX(B$14:B22)+1</f>
        <v>3</v>
      </c>
      <c r="D23" s="639" t="s">
        <v>322</v>
      </c>
      <c r="F23" s="871">
        <v>24</v>
      </c>
      <c r="G23" s="871"/>
      <c r="H23" s="882">
        <f>'Exhibit No.__(RMM-11) p1-8'!C193/12</f>
        <v>19928.640555555456</v>
      </c>
      <c r="J23" s="882">
        <f ca="1">'Exhibit No.__(RMM-11) p1-8'!C221/1000</f>
        <v>554739.13183022395</v>
      </c>
      <c r="L23" s="883">
        <f ca="1">'Exhibit No.__(RMM-11) p1-8'!F221/1000</f>
        <v>52501.06519913939</v>
      </c>
      <c r="M23" s="884"/>
      <c r="N23" s="883">
        <f ca="1">'Exhibit No.__(RMM-11) p1-8'!I221/1000</f>
        <v>52510.373199139387</v>
      </c>
      <c r="O23" s="883"/>
      <c r="P23" s="883">
        <f t="shared" ref="P23:P30" ca="1" si="0">N23-L23</f>
        <v>9.3079999999972642</v>
      </c>
      <c r="Q23" s="884">
        <f ca="1">P23/L23</f>
        <v>1.7729164093512227E-4</v>
      </c>
      <c r="R23" s="884"/>
      <c r="S23" s="1109">
        <f ca="1">N23/J23*100</f>
        <v>9.4657777297762387</v>
      </c>
      <c r="T23" s="884"/>
      <c r="U23" s="884"/>
      <c r="V23" s="126"/>
      <c r="W23" s="886"/>
      <c r="X23" s="756"/>
      <c r="Y23" s="437"/>
      <c r="Z23" s="54"/>
    </row>
    <row r="24" spans="2:26">
      <c r="B24" s="83">
        <f>MAX(B$14:B23)+1</f>
        <v>4</v>
      </c>
      <c r="D24" s="639" t="s">
        <v>323</v>
      </c>
      <c r="E24" s="51"/>
      <c r="F24" s="871">
        <v>33</v>
      </c>
      <c r="G24" s="871"/>
      <c r="H24" s="882">
        <v>0</v>
      </c>
      <c r="J24" s="882">
        <v>0</v>
      </c>
      <c r="L24" s="883">
        <v>0</v>
      </c>
      <c r="M24" s="884"/>
      <c r="N24" s="883">
        <f ca="1">'Exhibit No.__(RMM-11) p1-8'!I613/100</f>
        <v>0</v>
      </c>
      <c r="O24" s="883"/>
      <c r="P24" s="883">
        <f t="shared" ca="1" si="0"/>
        <v>0</v>
      </c>
      <c r="Q24" s="884">
        <f ca="1">Q25</f>
        <v>-7.6696153924479989E-4</v>
      </c>
      <c r="R24" s="884"/>
      <c r="S24" s="1109">
        <v>0</v>
      </c>
      <c r="T24" s="884"/>
      <c r="U24" s="884"/>
      <c r="V24" s="126"/>
      <c r="W24" s="886"/>
      <c r="X24" s="756"/>
      <c r="Y24" s="437"/>
      <c r="Z24" s="54"/>
    </row>
    <row r="25" spans="2:26">
      <c r="B25" s="83">
        <f>MAX(B$14:B24)+1</f>
        <v>5</v>
      </c>
      <c r="D25" s="639" t="s">
        <v>324</v>
      </c>
      <c r="F25" s="871">
        <v>36</v>
      </c>
      <c r="G25" s="871"/>
      <c r="H25" s="882">
        <f>'Exhibit No.__(RMM-11) p1-8'!C622/12</f>
        <v>1076.1138888888891</v>
      </c>
      <c r="J25" s="882">
        <f ca="1">'Exhibit No.__(RMM-11) p1-8'!C653/1000</f>
        <v>950741.26118410239</v>
      </c>
      <c r="L25" s="883">
        <f ca="1">'Exhibit No.__(RMM-11) p1-8'!F653/1000</f>
        <v>76247.630432145073</v>
      </c>
      <c r="M25" s="884"/>
      <c r="N25" s="883">
        <f ca="1">'Exhibit No.__(RMM-11) p1-8'!I653/1000</f>
        <v>76217.381432145077</v>
      </c>
      <c r="O25" s="883"/>
      <c r="P25" s="883">
        <f t="shared" ca="1" si="0"/>
        <v>-30.248999999996158</v>
      </c>
      <c r="Q25" s="884">
        <f t="shared" ref="Q25:Q30" ca="1" si="1">P25/L25</f>
        <v>-3.9672052532721785E-4</v>
      </c>
      <c r="R25" s="884"/>
      <c r="S25" s="1109">
        <f t="shared" ref="S25:S30" ca="1" si="2">N25/J25*100</f>
        <v>8.0166270828742636</v>
      </c>
      <c r="T25" s="884"/>
      <c r="U25" s="884"/>
      <c r="V25" s="126"/>
      <c r="W25" s="886"/>
      <c r="X25" s="756"/>
      <c r="Y25" s="437"/>
      <c r="Z25" s="54"/>
    </row>
    <row r="26" spans="2:26">
      <c r="B26" s="83">
        <f>MAX(B$14:B25)+1</f>
        <v>6</v>
      </c>
      <c r="D26" s="639" t="s">
        <v>189</v>
      </c>
      <c r="F26" s="871" t="s">
        <v>325</v>
      </c>
      <c r="G26" s="871"/>
      <c r="H26" s="882">
        <f>'Exhibit No.__(RMM-11) p1-8'!C742</f>
        <v>5135.6966195907062</v>
      </c>
      <c r="J26" s="882">
        <f ca="1">'Exhibit No.__(RMM-11) p1-8'!C785/1000</f>
        <v>164795.79784020002</v>
      </c>
      <c r="L26" s="883">
        <f>'Exhibit No.__(RMM-11) p1-8'!F785/1000</f>
        <v>15164.849</v>
      </c>
      <c r="M26" s="884"/>
      <c r="N26" s="883">
        <f>'Exhibit No.__(RMM-11) p1-8'!I785/1000</f>
        <v>15168.085999999999</v>
      </c>
      <c r="O26" s="883"/>
      <c r="P26" s="883">
        <f t="shared" si="0"/>
        <v>3.2369999999991705</v>
      </c>
      <c r="Q26" s="884">
        <f t="shared" si="1"/>
        <v>2.134541530877868E-4</v>
      </c>
      <c r="R26" s="884"/>
      <c r="S26" s="1109">
        <f t="shared" ca="1" si="2"/>
        <v>9.2041703725408475</v>
      </c>
      <c r="T26" s="884"/>
      <c r="U26" s="884"/>
      <c r="V26" s="126"/>
      <c r="W26" s="886"/>
      <c r="X26" s="756"/>
    </row>
    <row r="27" spans="2:26">
      <c r="B27" s="83">
        <f>MAX(B$14:B26)+1</f>
        <v>7</v>
      </c>
      <c r="D27" s="639" t="s">
        <v>326</v>
      </c>
      <c r="F27" s="871">
        <v>47</v>
      </c>
      <c r="G27" s="871"/>
      <c r="H27" s="882">
        <f>'Exhibit No.__(RMM-11) p1-8'!C899/12</f>
        <v>1</v>
      </c>
      <c r="J27" s="882">
        <f ca="1">'Exhibit No.__(RMM-11) p1-8'!C913/1000</f>
        <v>2679.157633181796</v>
      </c>
      <c r="L27" s="883">
        <f ca="1">'Exhibit No.__(RMM-11) p1-8'!F913/1000</f>
        <v>385.00168424682397</v>
      </c>
      <c r="M27" s="884"/>
      <c r="N27" s="883">
        <f ca="1">'Exhibit No.__(RMM-11) p1-8'!I913/1000</f>
        <v>385.19268424682394</v>
      </c>
      <c r="O27" s="883"/>
      <c r="P27" s="883">
        <f t="shared" ca="1" si="0"/>
        <v>0.19099999999997408</v>
      </c>
      <c r="Q27" s="884">
        <f t="shared" ca="1" si="1"/>
        <v>4.9610172582394282E-4</v>
      </c>
      <c r="R27" s="884"/>
      <c r="S27" s="1109">
        <f t="shared" ca="1" si="2"/>
        <v>14.377380392857475</v>
      </c>
      <c r="T27" s="884"/>
      <c r="U27" s="884"/>
      <c r="V27" s="126"/>
      <c r="W27" s="886"/>
      <c r="X27" s="756"/>
    </row>
    <row r="28" spans="2:26">
      <c r="B28" s="83">
        <f>MAX(B$14:B27)+1</f>
        <v>8</v>
      </c>
      <c r="D28" s="639" t="s">
        <v>327</v>
      </c>
      <c r="F28" s="871">
        <v>48</v>
      </c>
      <c r="G28" s="871"/>
      <c r="H28" s="882">
        <f>('Exhibit No.__(RMM-11) p1-8'!C940)/12</f>
        <v>64.477272727272748</v>
      </c>
      <c r="J28" s="882">
        <f ca="1">('Exhibit No.__(RMM-11) p1-8'!C950)/1000</f>
        <v>400185.56350036786</v>
      </c>
      <c r="L28" s="883">
        <f ca="1">('Exhibit No.__(RMM-11) p1-8'!F950)/1000</f>
        <v>29165.516596440317</v>
      </c>
      <c r="M28" s="884"/>
      <c r="N28" s="883">
        <f ca="1">'Exhibit No.__(RMM-11) p1-8'!I950/1000</f>
        <v>29164.735596440314</v>
      </c>
      <c r="O28" s="883"/>
      <c r="P28" s="883">
        <f t="shared" ca="1" si="0"/>
        <v>-0.78100000000267755</v>
      </c>
      <c r="Q28" s="884">
        <f t="shared" ca="1" si="1"/>
        <v>-2.6778198747832208E-5</v>
      </c>
      <c r="R28" s="884"/>
      <c r="S28" s="1109">
        <f t="shared" ca="1" si="2"/>
        <v>7.2878030235124927</v>
      </c>
      <c r="T28" s="884"/>
      <c r="U28" s="884"/>
      <c r="V28" s="126"/>
      <c r="W28" s="886"/>
      <c r="X28" s="756"/>
      <c r="Y28" s="639" t="s">
        <v>31</v>
      </c>
    </row>
    <row r="29" spans="2:26">
      <c r="B29" s="83">
        <f>MAX(B$14:B27)+1</f>
        <v>8</v>
      </c>
      <c r="D29" s="639" t="s">
        <v>616</v>
      </c>
      <c r="F29" s="641" t="s">
        <v>617</v>
      </c>
      <c r="G29" s="871"/>
      <c r="H29" s="882">
        <f>('Exhibit No.__(RMM-11) p1-8'!C1109)/12</f>
        <v>1</v>
      </c>
      <c r="J29" s="882">
        <f ca="1">('Exhibit No.__(RMM-11) p1-8'!C1120)/1000</f>
        <v>420782.10087353742</v>
      </c>
      <c r="L29" s="883">
        <f ca="1">('Exhibit No.__(RMM-11) p1-8'!F1120)/1000</f>
        <v>25129.406740602793</v>
      </c>
      <c r="M29" s="884"/>
      <c r="N29" s="883">
        <f ca="1">'Exhibit No.__(RMM-11) p1-8'!I1120/1000</f>
        <v>25124.135740602796</v>
      </c>
      <c r="O29" s="883"/>
      <c r="P29" s="883">
        <f t="shared" ca="1" si="0"/>
        <v>-5.2709999999970023</v>
      </c>
      <c r="Q29" s="884">
        <f t="shared" ca="1" si="1"/>
        <v>-2.0975425541902641E-4</v>
      </c>
      <c r="R29" s="884"/>
      <c r="S29" s="1109">
        <f t="shared" ca="1" si="2"/>
        <v>5.9708185515604066</v>
      </c>
      <c r="T29" s="884"/>
      <c r="U29" s="884"/>
      <c r="V29" s="126"/>
      <c r="W29" s="886"/>
      <c r="X29" s="756"/>
    </row>
    <row r="30" spans="2:26">
      <c r="B30" s="83">
        <f>MAX(B$14:B29)+1</f>
        <v>9</v>
      </c>
      <c r="D30" s="639" t="s">
        <v>185</v>
      </c>
      <c r="F30" s="871" t="s">
        <v>186</v>
      </c>
      <c r="G30" s="871"/>
      <c r="H30" s="882">
        <f>'Exhibit No.__(RMM-11) p1-8'!C1249/12</f>
        <v>27</v>
      </c>
      <c r="J30" s="882">
        <f>'Exhibit No.__(RMM-11) p1-8'!C1255/1000</f>
        <v>285.28140758938906</v>
      </c>
      <c r="L30" s="883">
        <f>'Exhibit No.__(RMM-11) p1-8'!F1255/1000</f>
        <v>26.428895606556154</v>
      </c>
      <c r="M30" s="884"/>
      <c r="N30" s="883">
        <f>'Exhibit No.__(RMM-11) p1-8'!I1255/1000</f>
        <v>25.846895606556153</v>
      </c>
      <c r="O30" s="883"/>
      <c r="P30" s="883">
        <f t="shared" si="0"/>
        <v>-0.58200000000000074</v>
      </c>
      <c r="Q30" s="884">
        <f t="shared" si="1"/>
        <v>-2.2021351503451601E-2</v>
      </c>
      <c r="R30" s="884"/>
      <c r="S30" s="1109">
        <f t="shared" si="2"/>
        <v>9.0601402401091899</v>
      </c>
      <c r="T30" s="884"/>
      <c r="U30" s="884"/>
      <c r="V30" s="126"/>
      <c r="W30" s="886"/>
      <c r="X30" s="756"/>
      <c r="Y30" s="639" t="s">
        <v>31</v>
      </c>
    </row>
    <row r="31" spans="2:26">
      <c r="B31" s="871"/>
      <c r="F31" s="871"/>
      <c r="G31" s="871"/>
      <c r="H31" s="888"/>
      <c r="J31" s="888"/>
      <c r="L31" s="888"/>
      <c r="M31" s="756"/>
      <c r="N31" s="888"/>
      <c r="O31" s="756"/>
      <c r="P31" s="888"/>
      <c r="Q31" s="897"/>
      <c r="R31" s="756"/>
      <c r="S31" s="889"/>
      <c r="T31" s="756"/>
      <c r="U31" s="756"/>
      <c r="V31" s="7"/>
      <c r="W31" s="756"/>
      <c r="X31" s="756" t="s">
        <v>31</v>
      </c>
    </row>
    <row r="32" spans="2:26">
      <c r="B32" s="871"/>
      <c r="Q32" s="892"/>
      <c r="V32" s="7"/>
      <c r="W32" s="756"/>
      <c r="X32" s="756"/>
    </row>
    <row r="33" spans="2:25">
      <c r="B33" s="83">
        <f>MAX(B$14:B32)+1</f>
        <v>10</v>
      </c>
      <c r="D33" s="881" t="s">
        <v>328</v>
      </c>
      <c r="H33" s="882">
        <f>SUM(H23:H30)</f>
        <v>26233.928336762321</v>
      </c>
      <c r="J33" s="882">
        <f ca="1">SUM(J23:J30)</f>
        <v>2494208.2942692027</v>
      </c>
      <c r="K33" s="882"/>
      <c r="L33" s="883">
        <f ca="1">SUM(L23:L30)</f>
        <v>198619.89854818094</v>
      </c>
      <c r="M33" s="884"/>
      <c r="N33" s="883">
        <f ca="1">SUM(N23:N30)</f>
        <v>198595.75154818097</v>
      </c>
      <c r="O33" s="894"/>
      <c r="P33" s="883">
        <f ca="1">SUM(P23:P30)</f>
        <v>-24.14699999999943</v>
      </c>
      <c r="Q33" s="884">
        <f ca="1">P33/L33</f>
        <v>-1.2157392172940761E-4</v>
      </c>
      <c r="R33" s="884"/>
      <c r="S33" s="1109">
        <f ca="1">N33/J33*100</f>
        <v>7.9622761260349773</v>
      </c>
      <c r="T33" s="884"/>
      <c r="U33" s="884"/>
      <c r="V33" s="126"/>
      <c r="W33" s="886"/>
      <c r="X33" s="756" t="s">
        <v>31</v>
      </c>
    </row>
    <row r="34" spans="2:25">
      <c r="B34" s="871"/>
      <c r="Q34" s="892"/>
      <c r="V34" s="7"/>
      <c r="W34" s="756"/>
      <c r="X34" s="756"/>
    </row>
    <row r="35" spans="2:25">
      <c r="B35" s="871"/>
      <c r="D35" s="881" t="s">
        <v>187</v>
      </c>
      <c r="Q35" s="892"/>
      <c r="V35" s="7"/>
      <c r="W35" s="756"/>
      <c r="X35" s="756"/>
    </row>
    <row r="36" spans="2:25">
      <c r="B36" s="83">
        <f>MAX(B$14:B35)+1</f>
        <v>11</v>
      </c>
      <c r="D36" s="639" t="s">
        <v>183</v>
      </c>
      <c r="F36" s="871" t="s">
        <v>184</v>
      </c>
      <c r="G36" s="871"/>
      <c r="H36" s="882">
        <f>'Exhibit No.__(RMM-11) p1-8'!C24/12-0.3</f>
        <v>2323.5333333333333</v>
      </c>
      <c r="J36" s="882">
        <f ca="1">'Exhibit No.__(RMM-11) p1-8'!C27/1000</f>
        <v>3037.7085715346157</v>
      </c>
      <c r="L36" s="883">
        <f ca="1">'Exhibit No.__(RMM-11) p1-8'!F27/1000</f>
        <v>461.99903817280517</v>
      </c>
      <c r="M36" s="884"/>
      <c r="N36" s="883">
        <f ca="1">'Exhibit No.__(RMM-11) p1-8'!I27/1000</f>
        <v>451.38607543786355</v>
      </c>
      <c r="O36" s="883"/>
      <c r="P36" s="883">
        <f t="shared" ref="P36:P40" ca="1" si="3">N36-L36</f>
        <v>-10.612962734941618</v>
      </c>
      <c r="Q36" s="884">
        <f ca="1">P36/L36</f>
        <v>-2.2971828636084664E-2</v>
      </c>
      <c r="R36" s="884"/>
      <c r="S36" s="1109">
        <f ca="1">N36/J36*100</f>
        <v>14.859426597655103</v>
      </c>
      <c r="T36" s="884"/>
      <c r="U36" s="884"/>
      <c r="V36" s="126"/>
      <c r="W36" s="886"/>
      <c r="X36" s="756"/>
    </row>
    <row r="37" spans="2:25">
      <c r="B37" s="83">
        <f>MAX(B$14:B36)+1</f>
        <v>12</v>
      </c>
      <c r="D37" s="639" t="s">
        <v>329</v>
      </c>
      <c r="F37" s="871" t="s">
        <v>330</v>
      </c>
      <c r="G37" s="871"/>
      <c r="H37" s="882">
        <f>'Exhibit No.__(RMM-11) p1-8'!C1160/12</f>
        <v>244</v>
      </c>
      <c r="J37" s="882">
        <f ca="1">'Exhibit No.__(RMM-11) p1-8'!C1164/1000</f>
        <v>3719.2891179099606</v>
      </c>
      <c r="L37" s="883">
        <f>'Exhibit No.__(RMM-11) p1-8'!F1164/1000</f>
        <v>814.23974911082337</v>
      </c>
      <c r="M37" s="884"/>
      <c r="N37" s="883">
        <f>'Exhibit No.__(RMM-11) p1-8'!I1164/1000</f>
        <v>705.83874911082341</v>
      </c>
      <c r="O37" s="883"/>
      <c r="P37" s="883">
        <f t="shared" si="3"/>
        <v>-108.40099999999995</v>
      </c>
      <c r="Q37" s="884">
        <f>P37/L37</f>
        <v>-0.13313155015875536</v>
      </c>
      <c r="R37" s="884"/>
      <c r="S37" s="1109">
        <f ca="1">N37/J37*100</f>
        <v>18.977786526783017</v>
      </c>
      <c r="T37" s="884"/>
      <c r="U37" s="884"/>
      <c r="V37" s="126"/>
      <c r="W37" s="886"/>
      <c r="X37" s="756" t="s">
        <v>31</v>
      </c>
    </row>
    <row r="38" spans="2:25">
      <c r="B38" s="83">
        <f>MAX(B$14:B37)+1</f>
        <v>13</v>
      </c>
      <c r="D38" s="639" t="s">
        <v>329</v>
      </c>
      <c r="F38" s="871">
        <v>52</v>
      </c>
      <c r="G38" s="871"/>
      <c r="H38" s="882">
        <f>'Exhibit No.__(RMM-11) p1-8'!C1176</f>
        <v>14</v>
      </c>
      <c r="J38" s="882">
        <f ca="1">'Exhibit No.__(RMM-11) p1-8'!C1181/1000</f>
        <v>144.69014087256477</v>
      </c>
      <c r="L38" s="883">
        <f>'Exhibit No.__(RMM-11) p1-8'!F1181/1000</f>
        <v>30.891402130665071</v>
      </c>
      <c r="M38" s="884"/>
      <c r="N38" s="883">
        <f>'Exhibit No.__(RMM-11) p1-8'!I1181/1000</f>
        <v>30.323402130665073</v>
      </c>
      <c r="O38" s="883"/>
      <c r="P38" s="883">
        <f t="shared" si="3"/>
        <v>-0.56799999999999784</v>
      </c>
      <c r="Q38" s="884">
        <f>P38/L38</f>
        <v>-1.8386993170379902E-2</v>
      </c>
      <c r="R38" s="884"/>
      <c r="S38" s="1109">
        <f ca="1">N38/J38*100</f>
        <v>20.957476402882406</v>
      </c>
      <c r="T38" s="884"/>
      <c r="U38" s="884"/>
      <c r="V38" s="126"/>
      <c r="W38" s="886"/>
      <c r="X38" s="756"/>
    </row>
    <row r="39" spans="2:25">
      <c r="B39" s="83">
        <f>MAX(B$14:B38)+1</f>
        <v>14</v>
      </c>
      <c r="D39" s="639" t="s">
        <v>329</v>
      </c>
      <c r="F39" s="871">
        <v>53</v>
      </c>
      <c r="G39" s="871"/>
      <c r="H39" s="882">
        <f>'Exhibit No.__(RMM-11) p1-8'!C1191/12</f>
        <v>232.66666666666666</v>
      </c>
      <c r="J39" s="882">
        <f ca="1">'Exhibit No.__(RMM-11) p1-8'!C1195/1000</f>
        <v>3796.1347231696864</v>
      </c>
      <c r="L39" s="883">
        <f>'Exhibit No.__(RMM-11) p1-8'!F1195/1000</f>
        <v>272.48921113049425</v>
      </c>
      <c r="M39" s="884"/>
      <c r="N39" s="883">
        <f>'Exhibit No.__(RMM-11) p1-8'!I1195/1000</f>
        <v>214.40921045014989</v>
      </c>
      <c r="O39" s="883"/>
      <c r="P39" s="883">
        <f t="shared" si="3"/>
        <v>-58.080000680344369</v>
      </c>
      <c r="Q39" s="884">
        <f>P39/L39</f>
        <v>-0.21314605609295126</v>
      </c>
      <c r="R39" s="884"/>
      <c r="S39" s="1109">
        <f ca="1">N39/J39*100</f>
        <v>5.648092759761778</v>
      </c>
      <c r="T39" s="884"/>
      <c r="U39" s="884"/>
      <c r="V39" s="126"/>
      <c r="W39" s="886"/>
      <c r="X39" s="756"/>
      <c r="Y39" s="639" t="s">
        <v>31</v>
      </c>
    </row>
    <row r="40" spans="2:25">
      <c r="B40" s="83">
        <f>MAX(B$14:B39)+1</f>
        <v>15</v>
      </c>
      <c r="D40" s="639" t="s">
        <v>329</v>
      </c>
      <c r="F40" s="871">
        <v>57</v>
      </c>
      <c r="G40" s="871"/>
      <c r="H40" s="882">
        <f>'Exhibit No.__(RMM-11) p1-8'!C1291/12</f>
        <v>32.166666666666664</v>
      </c>
      <c r="J40" s="882">
        <f ca="1">'Exhibit No.__(RMM-11) p1-8'!C1295/1000</f>
        <v>1509.2973979888825</v>
      </c>
      <c r="L40" s="883">
        <f>'Exhibit No.__(RMM-11) p1-8'!F1295/1000</f>
        <v>194.31967386953477</v>
      </c>
      <c r="M40" s="884"/>
      <c r="N40" s="883">
        <f>'Exhibit No.__(RMM-11) p1-8'!I1295/1000</f>
        <v>194.31967386953477</v>
      </c>
      <c r="O40" s="883"/>
      <c r="P40" s="883">
        <f t="shared" si="3"/>
        <v>0</v>
      </c>
      <c r="Q40" s="884">
        <f>P40/L40</f>
        <v>0</v>
      </c>
      <c r="R40" s="884"/>
      <c r="S40" s="1109">
        <f ca="1">N40/J40*100</f>
        <v>12.874843230264824</v>
      </c>
      <c r="T40" s="884"/>
      <c r="U40" s="884"/>
      <c r="V40" s="126"/>
      <c r="W40" s="886"/>
      <c r="X40" s="756"/>
    </row>
    <row r="41" spans="2:25">
      <c r="B41" s="871"/>
      <c r="H41" s="888"/>
      <c r="J41" s="888"/>
      <c r="L41" s="888"/>
      <c r="M41" s="756"/>
      <c r="N41" s="889"/>
      <c r="O41" s="756"/>
      <c r="P41" s="888"/>
      <c r="Q41" s="897"/>
      <c r="R41" s="756"/>
      <c r="S41" s="889"/>
      <c r="T41" s="756"/>
      <c r="U41" s="756"/>
      <c r="V41" s="7"/>
      <c r="W41" s="756"/>
      <c r="X41" s="756"/>
    </row>
    <row r="42" spans="2:25">
      <c r="B42" s="871"/>
      <c r="Q42" s="892"/>
      <c r="V42" s="7"/>
      <c r="W42" s="756"/>
      <c r="X42" s="756"/>
    </row>
    <row r="43" spans="2:25">
      <c r="B43" s="83">
        <f>MAX(B$14:B42)+1</f>
        <v>16</v>
      </c>
      <c r="D43" s="881" t="s">
        <v>331</v>
      </c>
      <c r="H43" s="899">
        <f>SUM(H36:H40)</f>
        <v>2846.3666666666663</v>
      </c>
      <c r="J43" s="899">
        <f ca="1">SUM(J36:J40)</f>
        <v>12207.11995147571</v>
      </c>
      <c r="K43" s="882"/>
      <c r="L43" s="900">
        <f ca="1">SUM(L36:L40)</f>
        <v>1773.9390744143225</v>
      </c>
      <c r="M43" s="886"/>
      <c r="N43" s="900">
        <f ca="1">SUM(N36:N40)</f>
        <v>1596.2771109990367</v>
      </c>
      <c r="O43" s="901"/>
      <c r="P43" s="900">
        <f ca="1">SUM(P36:P40)</f>
        <v>-177.66196341528592</v>
      </c>
      <c r="Q43" s="902">
        <f ca="1">P43/L43</f>
        <v>-0.1001511077678596</v>
      </c>
      <c r="R43" s="886"/>
      <c r="S43" s="1110">
        <f ca="1">N43/J43*100</f>
        <v>13.076607073120993</v>
      </c>
      <c r="T43" s="886"/>
      <c r="U43" s="886"/>
      <c r="V43" s="126"/>
      <c r="W43" s="886"/>
      <c r="X43" s="756"/>
    </row>
    <row r="44" spans="2:25">
      <c r="B44" s="871"/>
      <c r="D44" s="881"/>
      <c r="H44" s="904"/>
      <c r="J44" s="904"/>
      <c r="K44" s="882"/>
      <c r="L44" s="901"/>
      <c r="M44" s="901"/>
      <c r="N44" s="901"/>
      <c r="O44" s="901"/>
      <c r="P44" s="901"/>
      <c r="Q44" s="905"/>
      <c r="R44" s="901"/>
      <c r="S44" s="901"/>
      <c r="T44" s="901"/>
      <c r="U44" s="901"/>
      <c r="V44" s="7"/>
      <c r="W44" s="901"/>
      <c r="X44" s="756"/>
    </row>
    <row r="45" spans="2:25" ht="16.5" thickBot="1">
      <c r="B45" s="83">
        <f>MAX(B$14:B44)+1</f>
        <v>17</v>
      </c>
      <c r="D45" s="907" t="s">
        <v>332</v>
      </c>
      <c r="H45" s="908">
        <f>H43+H33+H20</f>
        <v>136869.99930450181</v>
      </c>
      <c r="J45" s="908">
        <f ca="1">J43+J33+J20</f>
        <v>4031133.6260945611</v>
      </c>
      <c r="L45" s="909">
        <f ca="1">L43+L33+L20</f>
        <v>348678.80268528266</v>
      </c>
      <c r="M45" s="886"/>
      <c r="N45" s="909">
        <f ca="1">N43+N33+N20</f>
        <v>350808.57672186737</v>
      </c>
      <c r="O45" s="727"/>
      <c r="P45" s="909">
        <f ca="1">P43+P33+P20</f>
        <v>2129.7740365846989</v>
      </c>
      <c r="Q45" s="910">
        <f ca="1">P45/L45</f>
        <v>6.1081259318967896E-3</v>
      </c>
      <c r="R45" s="886"/>
      <c r="S45" s="911">
        <f ca="1">N45/J45*100</f>
        <v>8.7024794824709755</v>
      </c>
      <c r="T45" s="886"/>
      <c r="U45" s="886"/>
      <c r="V45" s="756" t="s">
        <v>31</v>
      </c>
      <c r="W45" s="886"/>
      <c r="X45" s="887" t="s">
        <v>31</v>
      </c>
    </row>
    <row r="46" spans="2:25" ht="16.5" thickTop="1">
      <c r="B46" s="912" t="s">
        <v>31</v>
      </c>
      <c r="C46" s="913"/>
      <c r="D46" s="913"/>
      <c r="H46" s="914"/>
      <c r="J46" s="914"/>
      <c r="L46" s="727"/>
      <c r="M46" s="886"/>
      <c r="N46" s="727"/>
      <c r="O46" s="727"/>
      <c r="P46" s="727"/>
      <c r="Q46" s="892"/>
      <c r="R46" s="886"/>
      <c r="S46" s="886"/>
      <c r="T46" s="886"/>
      <c r="U46" s="886"/>
      <c r="V46" s="126"/>
      <c r="W46" s="886"/>
      <c r="X46" s="756"/>
    </row>
    <row r="47" spans="2:25">
      <c r="B47" s="83">
        <v>18</v>
      </c>
      <c r="D47" s="639" t="s">
        <v>333</v>
      </c>
      <c r="H47" s="914"/>
      <c r="J47" s="914"/>
      <c r="L47" s="885">
        <f ca="1">'Exhibit No.__(RMM-11) p1-8'!F1302/1000</f>
        <v>727.80209999999988</v>
      </c>
      <c r="M47" s="916"/>
      <c r="N47" s="885">
        <f ca="1">L47</f>
        <v>727.80209999999988</v>
      </c>
      <c r="O47" s="727"/>
      <c r="P47" s="437"/>
      <c r="Q47" s="884"/>
      <c r="R47" s="886"/>
      <c r="S47" s="1109"/>
      <c r="T47" s="884"/>
      <c r="U47" s="886"/>
      <c r="V47" s="126"/>
      <c r="W47" s="886"/>
      <c r="X47" s="756"/>
    </row>
    <row r="48" spans="2:25">
      <c r="B48" s="83"/>
      <c r="H48" s="914"/>
      <c r="J48" s="914"/>
      <c r="L48" s="727"/>
      <c r="M48" s="916"/>
      <c r="N48" s="885"/>
      <c r="O48" s="727"/>
      <c r="P48" s="437"/>
      <c r="Q48" s="884"/>
      <c r="R48" s="886"/>
      <c r="S48" s="1109"/>
      <c r="T48" s="884"/>
      <c r="U48" s="886"/>
      <c r="V48" s="126"/>
      <c r="W48" s="886"/>
      <c r="X48" s="756"/>
    </row>
    <row r="49" spans="2:24" ht="16.5" thickBot="1">
      <c r="B49" s="83">
        <v>19</v>
      </c>
      <c r="D49" s="84" t="s">
        <v>188</v>
      </c>
      <c r="H49" s="918">
        <f>SUM(H45:H47)</f>
        <v>136869.99930450181</v>
      </c>
      <c r="J49" s="918">
        <f ca="1">SUM(J45:J47)</f>
        <v>4031133.6260945611</v>
      </c>
      <c r="L49" s="909">
        <f ca="1">SUM(L45:L47)</f>
        <v>349406.60478528263</v>
      </c>
      <c r="N49" s="919">
        <f ca="1">SUM(N45:N47)</f>
        <v>351536.37882186734</v>
      </c>
      <c r="O49" s="727"/>
      <c r="P49" s="909">
        <f ca="1">SUM(P45:P47)</f>
        <v>2129.7740365846989</v>
      </c>
      <c r="Q49" s="910">
        <f ca="1">P49/L49</f>
        <v>6.095402912871346E-3</v>
      </c>
      <c r="S49" s="911">
        <f ca="1">N49/J49*100</f>
        <v>8.7205340092494641</v>
      </c>
      <c r="T49" s="884"/>
      <c r="V49" s="756"/>
      <c r="W49" s="756"/>
      <c r="X49" s="756"/>
    </row>
    <row r="50" spans="2:24" ht="18.75" customHeight="1" thickTop="1">
      <c r="P50" s="883" t="s">
        <v>31</v>
      </c>
      <c r="Q50" s="892" t="s">
        <v>31</v>
      </c>
    </row>
    <row r="51" spans="2:24" ht="18.75" customHeight="1">
      <c r="P51" s="727" t="s">
        <v>31</v>
      </c>
      <c r="Q51" s="922" t="s">
        <v>31</v>
      </c>
    </row>
    <row r="52" spans="2:24">
      <c r="L52" s="920"/>
      <c r="M52" s="756"/>
      <c r="P52" s="437"/>
      <c r="Q52" s="1020"/>
      <c r="R52" s="756"/>
      <c r="S52" s="756"/>
      <c r="T52" s="756"/>
      <c r="U52" s="756"/>
      <c r="V52" s="756"/>
      <c r="W52" s="756"/>
    </row>
    <row r="53" spans="2:24">
      <c r="M53" s="756"/>
      <c r="P53" s="446"/>
      <c r="R53" s="756"/>
      <c r="S53" s="727"/>
      <c r="T53" s="756"/>
      <c r="U53" s="756"/>
      <c r="V53" s="756"/>
      <c r="W53" s="756"/>
    </row>
    <row r="54" spans="2:24">
      <c r="N54" s="756"/>
      <c r="P54" s="921"/>
      <c r="Q54" s="922"/>
    </row>
    <row r="55" spans="2:24">
      <c r="N55" s="756"/>
      <c r="P55" s="923"/>
      <c r="Q55" s="454"/>
    </row>
    <row r="56" spans="2:24">
      <c r="N56" s="880"/>
      <c r="P56" s="923"/>
      <c r="Q56" s="54"/>
    </row>
    <row r="57" spans="2:24">
      <c r="N57" s="924"/>
      <c r="Q57" s="915"/>
    </row>
    <row r="58" spans="2:24">
      <c r="Q58" s="54"/>
    </row>
    <row r="60" spans="2:24">
      <c r="N60" s="880"/>
    </row>
  </sheetData>
  <mergeCells count="7">
    <mergeCell ref="B7:R7"/>
    <mergeCell ref="B46:D46"/>
    <mergeCell ref="B2:R2"/>
    <mergeCell ref="B3:R3"/>
    <mergeCell ref="B4:R4"/>
    <mergeCell ref="B5:R5"/>
    <mergeCell ref="B6:R6"/>
  </mergeCells>
  <phoneticPr fontId="0" type="noConversion"/>
  <printOptions horizontalCentered="1"/>
  <pageMargins left="0.25" right="0.25" top="0.5" bottom="0.5" header="0.5" footer="0.25"/>
  <pageSetup scale="7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Y1316"/>
  <sheetViews>
    <sheetView topLeftCell="A918" workbookViewId="0">
      <selection activeCell="B8" sqref="B8"/>
    </sheetView>
  </sheetViews>
  <sheetFormatPr defaultColWidth="10.25" defaultRowHeight="15.75"/>
  <cols>
    <col min="1" max="1" width="21.625" style="4" customWidth="1"/>
    <col min="2" max="2" width="5.875" style="4" customWidth="1"/>
    <col min="3" max="3" width="14.875" style="4" customWidth="1"/>
    <col min="4" max="4" width="10" style="4" bestFit="1" customWidth="1"/>
    <col min="5" max="5" width="2.625" style="4" customWidth="1"/>
    <col min="6" max="6" width="14.375" style="4" customWidth="1"/>
    <col min="7" max="7" width="10" style="4" bestFit="1" customWidth="1"/>
    <col min="8" max="8" width="2.125" style="4" bestFit="1" customWidth="1"/>
    <col min="9" max="9" width="14.375" style="4" bestFit="1" customWidth="1"/>
    <col min="10" max="10" width="1.625" style="4" customWidth="1"/>
    <col min="11" max="11" width="12" style="4" hidden="1" customWidth="1"/>
    <col min="12" max="12" width="2.125" style="4" hidden="1" customWidth="1"/>
    <col min="13" max="13" width="15.125" style="4" hidden="1" customWidth="1"/>
    <col min="14" max="14" width="2.875" style="4" hidden="1" customWidth="1"/>
    <col min="15" max="15" width="12" style="4" hidden="1" customWidth="1"/>
    <col min="16" max="16" width="2.125" style="4" hidden="1" customWidth="1"/>
    <col min="17" max="17" width="13.5" style="4" hidden="1" customWidth="1"/>
    <col min="18" max="18" width="2.875" style="4" hidden="1" customWidth="1"/>
    <col min="19" max="19" width="9.625" style="4" hidden="1" customWidth="1"/>
    <col min="20" max="20" width="2.125" style="4" hidden="1" customWidth="1"/>
    <col min="21" max="21" width="14.125" style="4" hidden="1" customWidth="1"/>
    <col min="22" max="22" width="13.625" style="4" customWidth="1"/>
    <col min="23" max="23" width="15.125" style="85" bestFit="1" customWidth="1"/>
    <col min="24" max="24" width="17" style="85" bestFit="1" customWidth="1"/>
    <col min="25" max="25" width="8.125" style="85" bestFit="1" customWidth="1"/>
    <col min="26" max="26" width="13" style="4" customWidth="1"/>
    <col min="27" max="27" width="17" style="4" customWidth="1"/>
    <col min="28" max="28" width="13" style="4" customWidth="1"/>
    <col min="29" max="29" width="14.125" style="4" bestFit="1" customWidth="1"/>
    <col min="30" max="30" width="14.75" style="4" customWidth="1"/>
    <col min="31" max="31" width="13.25" style="4" bestFit="1" customWidth="1"/>
    <col min="32" max="32" width="13" style="4" bestFit="1" customWidth="1"/>
    <col min="33" max="33" width="12.25" style="4" bestFit="1" customWidth="1"/>
    <col min="34" max="34" width="5.5" style="4" bestFit="1" customWidth="1"/>
    <col min="35" max="35" width="18" style="4" customWidth="1"/>
    <col min="36" max="36" width="10.25" style="4" customWidth="1"/>
    <col min="37" max="37" width="12.125" style="4" customWidth="1"/>
    <col min="38" max="16384" width="10.25" style="4"/>
  </cols>
  <sheetData>
    <row r="1" spans="1:44" ht="18" hidden="1" customHeight="1">
      <c r="A1" s="842" t="s">
        <v>178</v>
      </c>
      <c r="B1" s="842"/>
      <c r="C1" s="842"/>
      <c r="D1" s="842"/>
      <c r="E1" s="842"/>
      <c r="F1" s="842"/>
      <c r="G1" s="842"/>
      <c r="H1" s="842"/>
      <c r="I1" s="842"/>
      <c r="J1" s="752"/>
      <c r="K1" s="752"/>
      <c r="L1" s="752"/>
      <c r="M1" s="752"/>
      <c r="N1" s="752"/>
      <c r="O1" s="752"/>
      <c r="P1" s="752"/>
      <c r="Q1" s="752"/>
      <c r="R1" s="752"/>
      <c r="S1" s="752"/>
      <c r="T1" s="752"/>
      <c r="U1" s="752"/>
      <c r="V1" s="7"/>
      <c r="W1" s="31"/>
      <c r="X1" s="31"/>
      <c r="Y1" s="31"/>
      <c r="Z1" s="7"/>
      <c r="AA1" s="7"/>
      <c r="AB1" s="7"/>
      <c r="AC1" s="7"/>
      <c r="AD1" s="7"/>
      <c r="AE1" s="7"/>
      <c r="AF1" s="7"/>
      <c r="AG1" s="7"/>
      <c r="AH1" s="7"/>
      <c r="AI1" s="7"/>
      <c r="AJ1" s="7"/>
      <c r="AK1" s="7"/>
      <c r="AL1" s="7"/>
      <c r="AM1" s="7"/>
      <c r="AN1" s="7"/>
      <c r="AO1" s="7"/>
      <c r="AP1" s="7"/>
    </row>
    <row r="2" spans="1:44" ht="18">
      <c r="A2" s="842" t="s">
        <v>334</v>
      </c>
      <c r="B2" s="842"/>
      <c r="C2" s="842"/>
      <c r="D2" s="842"/>
      <c r="E2" s="842"/>
      <c r="F2" s="842"/>
      <c r="G2" s="842"/>
      <c r="H2" s="842"/>
      <c r="I2" s="842"/>
      <c r="J2" s="752"/>
      <c r="K2" s="752"/>
      <c r="L2" s="752"/>
      <c r="M2" s="752"/>
      <c r="N2" s="752"/>
      <c r="O2" s="752"/>
      <c r="P2" s="752"/>
      <c r="Q2" s="752"/>
      <c r="R2" s="752"/>
      <c r="S2" s="752"/>
      <c r="T2" s="752"/>
      <c r="U2" s="752"/>
      <c r="V2" s="7"/>
      <c r="W2" s="31"/>
      <c r="X2" s="31"/>
      <c r="Y2" s="31"/>
      <c r="Z2" s="7"/>
      <c r="AA2" s="7"/>
      <c r="AB2" s="7"/>
      <c r="AC2" s="7"/>
      <c r="AD2" s="7"/>
      <c r="AE2" s="7"/>
      <c r="AF2" s="7"/>
      <c r="AG2" s="7"/>
      <c r="AH2" s="7"/>
      <c r="AI2" s="7"/>
      <c r="AJ2" s="7"/>
      <c r="AK2" s="7"/>
      <c r="AL2" s="7"/>
      <c r="AM2" s="7"/>
      <c r="AN2" s="7"/>
      <c r="AO2" s="7"/>
      <c r="AP2" s="7"/>
    </row>
    <row r="3" spans="1:44">
      <c r="A3" s="843" t="s">
        <v>914</v>
      </c>
      <c r="B3" s="843"/>
      <c r="C3" s="843"/>
      <c r="D3" s="843"/>
      <c r="E3" s="843"/>
      <c r="F3" s="843"/>
      <c r="G3" s="843"/>
      <c r="H3" s="843"/>
      <c r="I3" s="843"/>
      <c r="J3" s="753"/>
      <c r="K3" s="753"/>
      <c r="L3" s="753"/>
      <c r="M3" s="753"/>
      <c r="N3" s="753"/>
      <c r="O3" s="753"/>
      <c r="P3" s="753"/>
      <c r="Q3" s="753"/>
      <c r="R3" s="753"/>
      <c r="S3" s="753"/>
      <c r="T3" s="753"/>
      <c r="U3" s="753"/>
      <c r="V3" s="7"/>
      <c r="W3" s="31"/>
      <c r="X3" s="31"/>
      <c r="Y3" s="31"/>
      <c r="Z3" s="7"/>
      <c r="AA3" s="7"/>
      <c r="AB3" s="7"/>
      <c r="AC3" s="7"/>
      <c r="AD3" s="7"/>
      <c r="AE3" s="7"/>
      <c r="AF3" s="7"/>
      <c r="AG3" s="7"/>
      <c r="AH3" s="7"/>
      <c r="AI3" s="7"/>
      <c r="AJ3" s="7"/>
      <c r="AK3" s="7"/>
      <c r="AL3" s="7"/>
      <c r="AM3" s="7"/>
      <c r="AN3" s="7"/>
      <c r="AO3" s="7"/>
      <c r="AP3" s="7"/>
    </row>
    <row r="4" spans="1:44">
      <c r="A4" s="844" t="s">
        <v>335</v>
      </c>
      <c r="B4" s="844"/>
      <c r="C4" s="844"/>
      <c r="D4" s="844"/>
      <c r="E4" s="844"/>
      <c r="F4" s="844"/>
      <c r="G4" s="844"/>
      <c r="H4" s="844"/>
      <c r="I4" s="844"/>
      <c r="J4" s="754"/>
      <c r="K4" s="754"/>
      <c r="L4" s="754"/>
      <c r="M4" s="754"/>
      <c r="N4" s="754"/>
      <c r="O4" s="754"/>
      <c r="P4" s="754"/>
      <c r="Q4" s="754"/>
      <c r="R4" s="754"/>
      <c r="S4" s="754"/>
      <c r="T4" s="754"/>
      <c r="U4" s="754"/>
      <c r="V4" s="7"/>
      <c r="W4" s="31"/>
      <c r="X4" s="31"/>
      <c r="Y4" s="31"/>
      <c r="Z4" s="7"/>
      <c r="AA4" s="7"/>
      <c r="AB4" s="7"/>
      <c r="AC4" s="7"/>
      <c r="AD4" s="7"/>
      <c r="AE4" s="7"/>
      <c r="AF4" s="7"/>
      <c r="AG4" s="7"/>
      <c r="AH4" s="7"/>
      <c r="AI4" s="7"/>
      <c r="AJ4" s="7"/>
      <c r="AK4" s="7"/>
      <c r="AL4" s="7"/>
      <c r="AM4" s="7"/>
      <c r="AN4" s="7"/>
      <c r="AO4" s="7"/>
      <c r="AP4" s="7"/>
    </row>
    <row r="5" spans="1:44">
      <c r="A5" s="136"/>
      <c r="B5" s="134"/>
      <c r="C5" s="134"/>
      <c r="D5" s="135"/>
      <c r="E5" s="135"/>
      <c r="F5" s="134"/>
      <c r="G5" s="135"/>
      <c r="H5" s="134"/>
      <c r="I5" s="134"/>
      <c r="J5" s="134"/>
      <c r="K5" s="135"/>
      <c r="L5" s="134"/>
      <c r="M5" s="134"/>
      <c r="N5" s="134"/>
      <c r="O5" s="135"/>
      <c r="P5" s="134"/>
      <c r="Q5" s="134"/>
      <c r="R5" s="134"/>
      <c r="S5" s="135"/>
      <c r="T5" s="134"/>
      <c r="U5" s="134"/>
      <c r="V5" s="7"/>
      <c r="W5" s="31"/>
      <c r="X5" s="31"/>
      <c r="Y5" s="31"/>
      <c r="Z5" s="7"/>
      <c r="AA5" s="7"/>
      <c r="AB5" s="7"/>
      <c r="AC5" s="7"/>
      <c r="AD5" s="7"/>
      <c r="AE5" s="7"/>
      <c r="AF5" s="7"/>
      <c r="AG5" s="7"/>
      <c r="AH5" s="7"/>
      <c r="AI5" s="7"/>
      <c r="AJ5" s="7"/>
      <c r="AK5" s="7"/>
      <c r="AL5" s="7"/>
      <c r="AM5" s="7"/>
      <c r="AN5" s="7"/>
      <c r="AO5" s="7"/>
      <c r="AP5" s="7"/>
    </row>
    <row r="6" spans="1:44" hidden="1">
      <c r="A6" s="136"/>
      <c r="B6" s="134"/>
      <c r="C6" s="134"/>
      <c r="D6" s="135"/>
      <c r="E6" s="135"/>
      <c r="F6" s="134"/>
      <c r="G6" s="135"/>
      <c r="H6" s="134"/>
      <c r="I6" s="134"/>
      <c r="J6" s="134"/>
      <c r="K6" s="135"/>
      <c r="L6" s="134"/>
      <c r="M6" s="134"/>
      <c r="N6" s="134"/>
      <c r="O6" s="135"/>
      <c r="P6" s="134"/>
      <c r="Q6" s="134"/>
      <c r="R6" s="134"/>
      <c r="S6" s="135"/>
      <c r="T6" s="134"/>
      <c r="U6" s="134"/>
      <c r="V6" s="7"/>
      <c r="W6" s="31"/>
      <c r="X6" s="31"/>
      <c r="Y6" s="31"/>
      <c r="Z6" s="31"/>
      <c r="AA6" s="7"/>
      <c r="AB6" s="7"/>
      <c r="AC6" s="7"/>
      <c r="AD6" s="7"/>
      <c r="AE6" s="7"/>
      <c r="AF6" s="7"/>
      <c r="AG6" s="7"/>
      <c r="AH6" s="7"/>
      <c r="AI6" s="7"/>
      <c r="AJ6" s="7"/>
      <c r="AK6" s="7"/>
      <c r="AL6" s="7"/>
      <c r="AM6" s="7"/>
      <c r="AN6" s="7"/>
      <c r="AO6" s="7"/>
      <c r="AP6" s="7"/>
    </row>
    <row r="7" spans="1:44" hidden="1">
      <c r="A7" s="134"/>
      <c r="B7" s="134"/>
      <c r="C7" s="134"/>
      <c r="D7" s="135"/>
      <c r="E7" s="135"/>
      <c r="F7" s="134"/>
      <c r="G7" s="135"/>
      <c r="H7" s="134"/>
      <c r="I7" s="134"/>
      <c r="J7" s="134"/>
      <c r="K7" s="135"/>
      <c r="L7" s="134"/>
      <c r="M7" s="134"/>
      <c r="N7" s="134"/>
      <c r="O7" s="135"/>
      <c r="P7" s="134"/>
      <c r="Q7" s="134"/>
      <c r="R7" s="134"/>
      <c r="S7" s="135"/>
      <c r="T7" s="134"/>
      <c r="U7" s="134"/>
      <c r="V7" s="7"/>
      <c r="W7" s="31"/>
      <c r="X7" s="31"/>
      <c r="Z7" s="7"/>
      <c r="AA7" s="7"/>
      <c r="AB7" s="7"/>
      <c r="AC7" s="7"/>
      <c r="AD7" s="7"/>
      <c r="AE7" s="7"/>
      <c r="AF7" s="7"/>
      <c r="AG7" s="7"/>
      <c r="AH7" s="7"/>
      <c r="AI7" s="7"/>
      <c r="AJ7" s="7"/>
      <c r="AK7" s="7"/>
      <c r="AL7" s="7"/>
      <c r="AM7" s="7"/>
      <c r="AN7" s="7"/>
      <c r="AO7" s="7"/>
      <c r="AP7" s="7"/>
    </row>
    <row r="8" spans="1:44">
      <c r="A8" s="137"/>
      <c r="B8" s="137"/>
      <c r="C8" s="138"/>
      <c r="D8" s="139"/>
      <c r="E8" s="139"/>
      <c r="G8" s="139"/>
      <c r="H8" s="140"/>
      <c r="I8" s="140"/>
      <c r="J8" s="140"/>
      <c r="K8" s="139"/>
      <c r="L8" s="140"/>
      <c r="M8" s="140"/>
      <c r="N8" s="140"/>
      <c r="O8" s="139"/>
      <c r="P8" s="140"/>
      <c r="Q8" s="140"/>
      <c r="R8" s="140"/>
      <c r="S8" s="139"/>
      <c r="T8" s="140"/>
      <c r="U8" s="140"/>
      <c r="V8" s="7"/>
      <c r="W8" s="31"/>
      <c r="X8" s="31"/>
      <c r="Y8" s="31"/>
      <c r="Z8" s="7"/>
      <c r="AA8" s="7"/>
      <c r="AB8" s="7"/>
      <c r="AC8" s="7"/>
      <c r="AD8" s="7"/>
      <c r="AE8" s="7"/>
      <c r="AF8" s="7"/>
      <c r="AG8" s="7"/>
      <c r="AH8" s="7"/>
      <c r="AI8" s="7"/>
      <c r="AJ8" s="7"/>
      <c r="AK8" s="7"/>
      <c r="AL8" s="7"/>
      <c r="AM8" s="7"/>
      <c r="AN8" s="7"/>
      <c r="AO8" s="7"/>
      <c r="AP8" s="7"/>
    </row>
    <row r="9" spans="1:44">
      <c r="A9" s="137"/>
      <c r="B9" s="137"/>
      <c r="C9" s="138" t="s">
        <v>336</v>
      </c>
      <c r="D9" s="850" t="s">
        <v>190</v>
      </c>
      <c r="E9" s="851"/>
      <c r="F9" s="852"/>
      <c r="G9" s="850" t="s">
        <v>295</v>
      </c>
      <c r="H9" s="851"/>
      <c r="I9" s="852"/>
      <c r="J9" s="140"/>
      <c r="K9" s="140" t="s">
        <v>763</v>
      </c>
      <c r="L9" s="138"/>
      <c r="M9" s="140" t="s">
        <v>764</v>
      </c>
      <c r="N9" s="140"/>
      <c r="O9" s="140" t="s">
        <v>708</v>
      </c>
      <c r="P9" s="138"/>
      <c r="Q9" s="140" t="s">
        <v>708</v>
      </c>
      <c r="R9" s="140"/>
      <c r="S9" s="140" t="s">
        <v>765</v>
      </c>
      <c r="T9" s="138"/>
      <c r="U9" s="140" t="s">
        <v>765</v>
      </c>
      <c r="V9" s="7"/>
      <c r="W9" s="31"/>
      <c r="X9" s="31"/>
      <c r="Y9" s="31"/>
      <c r="Z9" s="7"/>
      <c r="AA9" s="7"/>
      <c r="AB9" s="7"/>
      <c r="AC9" s="7"/>
      <c r="AD9" s="7"/>
      <c r="AE9" s="7"/>
      <c r="AF9" s="7"/>
      <c r="AG9" s="7"/>
      <c r="AH9" s="7"/>
      <c r="AI9" s="7"/>
      <c r="AJ9" s="7"/>
      <c r="AK9" s="7"/>
      <c r="AL9" s="7"/>
      <c r="AM9" s="7"/>
      <c r="AN9" s="7"/>
      <c r="AO9" s="7"/>
      <c r="AP9" s="7"/>
    </row>
    <row r="10" spans="1:44">
      <c r="A10" s="137"/>
      <c r="B10" s="137"/>
      <c r="C10" s="143" t="s">
        <v>294</v>
      </c>
      <c r="D10" s="144" t="s">
        <v>13</v>
      </c>
      <c r="E10" s="142"/>
      <c r="F10" s="140" t="s">
        <v>337</v>
      </c>
      <c r="G10" s="144" t="s">
        <v>13</v>
      </c>
      <c r="H10" s="144"/>
      <c r="I10" s="144" t="s">
        <v>337</v>
      </c>
      <c r="J10" s="144"/>
      <c r="K10" s="144" t="s">
        <v>13</v>
      </c>
      <c r="L10" s="144"/>
      <c r="M10" s="144" t="s">
        <v>337</v>
      </c>
      <c r="N10" s="144"/>
      <c r="O10" s="144" t="s">
        <v>13</v>
      </c>
      <c r="P10" s="144"/>
      <c r="Q10" s="144" t="s">
        <v>337</v>
      </c>
      <c r="R10" s="144"/>
      <c r="S10" s="144" t="s">
        <v>13</v>
      </c>
      <c r="T10" s="144"/>
      <c r="U10" s="144" t="s">
        <v>337</v>
      </c>
      <c r="V10" s="7"/>
      <c r="W10" s="31"/>
      <c r="X10" s="31"/>
      <c r="Y10" s="31"/>
      <c r="Z10" s="7"/>
      <c r="AA10" s="7"/>
      <c r="AB10" s="7"/>
      <c r="AC10" s="7"/>
      <c r="AD10" s="7"/>
      <c r="AE10" s="7"/>
      <c r="AF10" s="7"/>
      <c r="AG10" s="7"/>
      <c r="AH10" s="7"/>
      <c r="AI10" s="7"/>
      <c r="AJ10" s="7"/>
      <c r="AK10" s="7"/>
      <c r="AL10" s="7"/>
      <c r="AM10" s="7"/>
      <c r="AN10" s="7"/>
      <c r="AO10" s="7"/>
      <c r="AP10" s="7"/>
    </row>
    <row r="11" spans="1:44">
      <c r="A11" s="4" t="s">
        <v>339</v>
      </c>
      <c r="F11" s="490"/>
      <c r="V11" s="7"/>
      <c r="W11" s="31"/>
      <c r="X11" s="31"/>
      <c r="Y11" s="31"/>
      <c r="Z11" s="7"/>
      <c r="AA11" s="7"/>
      <c r="AB11" s="7"/>
      <c r="AC11" s="7"/>
      <c r="AD11" s="7"/>
      <c r="AE11" s="7"/>
      <c r="AF11" s="7"/>
      <c r="AG11" s="7"/>
      <c r="AH11" s="7"/>
      <c r="AI11" s="7"/>
      <c r="AJ11" s="7"/>
      <c r="AK11" s="7"/>
      <c r="AL11" s="7"/>
      <c r="AM11" s="7"/>
      <c r="AN11" s="7"/>
      <c r="AO11" s="7"/>
      <c r="AP11" s="7"/>
    </row>
    <row r="12" spans="1:44">
      <c r="A12" s="4" t="s">
        <v>340</v>
      </c>
      <c r="F12" s="490"/>
      <c r="V12" s="7"/>
      <c r="W12" s="31"/>
      <c r="X12" s="31"/>
      <c r="Y12" s="31"/>
      <c r="Z12" s="7"/>
      <c r="AA12" s="7"/>
      <c r="AB12" s="7"/>
      <c r="AC12" s="7"/>
      <c r="AD12" s="7"/>
      <c r="AE12" s="7"/>
      <c r="AF12" s="7"/>
      <c r="AG12" s="7"/>
      <c r="AH12" s="7"/>
      <c r="AI12" s="7"/>
      <c r="AJ12" s="7"/>
      <c r="AK12" s="7"/>
      <c r="AL12" s="7"/>
      <c r="AM12" s="7"/>
      <c r="AN12" s="7"/>
      <c r="AO12" s="7"/>
      <c r="AP12" s="7"/>
    </row>
    <row r="13" spans="1:44">
      <c r="F13" s="490"/>
      <c r="V13" s="7"/>
      <c r="W13" s="31"/>
      <c r="X13" s="31"/>
      <c r="Y13" s="31"/>
      <c r="Z13" s="7"/>
      <c r="AA13" s="7"/>
      <c r="AB13" s="7"/>
      <c r="AC13" s="7"/>
      <c r="AD13" s="7"/>
      <c r="AE13" s="7"/>
      <c r="AF13" s="7"/>
      <c r="AG13" s="7"/>
      <c r="AH13" s="7"/>
      <c r="AI13" s="7"/>
      <c r="AJ13" s="7"/>
      <c r="AK13" s="7"/>
      <c r="AL13" s="7"/>
      <c r="AM13" s="7"/>
      <c r="AN13" s="7"/>
      <c r="AO13" s="7"/>
      <c r="AP13" s="7"/>
    </row>
    <row r="14" spans="1:44">
      <c r="A14" s="4" t="s">
        <v>341</v>
      </c>
      <c r="F14" s="490"/>
      <c r="V14" s="7"/>
      <c r="W14" s="31"/>
      <c r="X14" s="31"/>
      <c r="Y14" s="31"/>
      <c r="Z14" s="7"/>
      <c r="AA14" s="7"/>
      <c r="AB14" s="7"/>
      <c r="AC14" s="7"/>
      <c r="AD14" s="7"/>
      <c r="AE14" s="7"/>
      <c r="AF14" s="7"/>
      <c r="AG14" s="7"/>
      <c r="AH14" s="7"/>
      <c r="AI14" s="7"/>
      <c r="AJ14" s="7"/>
      <c r="AK14" s="7"/>
      <c r="AL14" s="7"/>
      <c r="AM14" s="7"/>
      <c r="AN14" s="7"/>
      <c r="AO14" s="7"/>
      <c r="AP14" s="7"/>
    </row>
    <row r="15" spans="1:44">
      <c r="A15" s="4" t="s">
        <v>342</v>
      </c>
      <c r="C15" s="419">
        <f>C36+C54+C72</f>
        <v>24389.764908324298</v>
      </c>
      <c r="D15" s="983">
        <v>11.24</v>
      </c>
      <c r="F15" s="490">
        <f>F36+F54+F72</f>
        <v>274140.95756956516</v>
      </c>
      <c r="G15" s="983">
        <f ca="1">ROUND((D15+D15*$X$27)*(1+$X$28),2)</f>
        <v>10.98</v>
      </c>
      <c r="I15" s="490">
        <f ca="1">I36+I54+I72</f>
        <v>267799.61869340081</v>
      </c>
      <c r="J15" s="490"/>
      <c r="K15" s="983" t="e">
        <f>#REF!</f>
        <v>#REF!</v>
      </c>
      <c r="M15" s="490" t="e">
        <f>#REF!</f>
        <v>#REF!</v>
      </c>
      <c r="N15" s="490"/>
      <c r="O15" s="983" t="e">
        <f>#REF!</f>
        <v>#REF!</v>
      </c>
      <c r="Q15" s="490" t="e">
        <f>#REF!</f>
        <v>#REF!</v>
      </c>
      <c r="R15" s="490"/>
      <c r="S15" s="983" t="e">
        <f>#REF!</f>
        <v>#REF!</v>
      </c>
      <c r="U15" s="490" t="e">
        <f>#REF!</f>
        <v>#REF!</v>
      </c>
      <c r="W15" s="450" t="s">
        <v>31</v>
      </c>
      <c r="X15" s="984"/>
      <c r="Y15" s="984"/>
      <c r="Z15" s="984"/>
      <c r="AA15" s="984"/>
      <c r="AB15" s="985"/>
      <c r="AC15" s="985"/>
      <c r="AD15" s="985"/>
      <c r="AE15" s="985"/>
      <c r="AF15" s="7"/>
      <c r="AG15" s="7"/>
      <c r="AH15" s="7"/>
      <c r="AI15" s="7"/>
      <c r="AJ15" s="7"/>
      <c r="AK15" s="7"/>
      <c r="AL15" s="7"/>
      <c r="AM15" s="7"/>
      <c r="AN15" s="7"/>
      <c r="AO15" s="7"/>
      <c r="AP15" s="7"/>
      <c r="AR15" s="496"/>
    </row>
    <row r="16" spans="1:44">
      <c r="A16" s="4" t="s">
        <v>343</v>
      </c>
      <c r="C16" s="419">
        <f>C37+C55+C73</f>
        <v>3825.5359662951851</v>
      </c>
      <c r="D16" s="983">
        <v>21.369999999999997</v>
      </c>
      <c r="F16" s="490">
        <f>F37+F55+F73</f>
        <v>81751.703599728091</v>
      </c>
      <c r="G16" s="983">
        <f ca="1">ROUND((D16+D16*$X$27)*(1+$X$28),2)-0.01</f>
        <v>20.869999999999997</v>
      </c>
      <c r="I16" s="490">
        <f ca="1">I37+I55+I73</f>
        <v>79838.935616580493</v>
      </c>
      <c r="J16" s="490"/>
      <c r="K16" s="983" t="e">
        <f>#REF!</f>
        <v>#REF!</v>
      </c>
      <c r="M16" s="490" t="e">
        <f>#REF!</f>
        <v>#REF!</v>
      </c>
      <c r="N16" s="490"/>
      <c r="O16" s="983" t="e">
        <f>#REF!</f>
        <v>#REF!</v>
      </c>
      <c r="Q16" s="490" t="e">
        <f>#REF!</f>
        <v>#REF!</v>
      </c>
      <c r="R16" s="490"/>
      <c r="S16" s="983" t="e">
        <f>#REF!</f>
        <v>#REF!</v>
      </c>
      <c r="U16" s="490" t="e">
        <f>#REF!</f>
        <v>#REF!</v>
      </c>
      <c r="W16" s="450"/>
      <c r="X16" s="984"/>
      <c r="Y16" s="984"/>
      <c r="Z16" s="984"/>
      <c r="AA16" s="984"/>
      <c r="AB16" s="985"/>
      <c r="AC16" s="985"/>
      <c r="AD16" s="985"/>
      <c r="AE16" s="985"/>
      <c r="AF16" s="7"/>
      <c r="AG16" s="7"/>
      <c r="AH16" s="7"/>
      <c r="AI16" s="7"/>
      <c r="AJ16" s="7"/>
      <c r="AK16" s="7"/>
      <c r="AL16" s="7"/>
      <c r="AM16" s="7"/>
      <c r="AN16" s="7"/>
      <c r="AO16" s="7"/>
      <c r="AP16" s="7"/>
      <c r="AR16" s="496"/>
    </row>
    <row r="17" spans="1:44">
      <c r="A17" s="4" t="s">
        <v>344</v>
      </c>
      <c r="C17" s="419">
        <f>C38+C56+C74</f>
        <v>441.7670756274303</v>
      </c>
      <c r="D17" s="983">
        <v>44.25</v>
      </c>
      <c r="F17" s="490">
        <f>F38+F56+F74</f>
        <v>19548.193096513791</v>
      </c>
      <c r="G17" s="983">
        <f ca="1">ROUND((D17+D17*$X$27)*(1+$X$28),2)</f>
        <v>43.23</v>
      </c>
      <c r="I17" s="490">
        <f ca="1">I38+I56+I74</f>
        <v>19097.59067937381</v>
      </c>
      <c r="J17" s="490"/>
      <c r="K17" s="983" t="e">
        <f>#REF!</f>
        <v>#REF!</v>
      </c>
      <c r="M17" s="490" t="e">
        <f>#REF!</f>
        <v>#REF!</v>
      </c>
      <c r="N17" s="490"/>
      <c r="O17" s="983" t="e">
        <f>#REF!</f>
        <v>#REF!</v>
      </c>
      <c r="Q17" s="490" t="e">
        <f>#REF!</f>
        <v>#REF!</v>
      </c>
      <c r="R17" s="490"/>
      <c r="S17" s="983" t="e">
        <f>#REF!</f>
        <v>#REF!</v>
      </c>
      <c r="U17" s="490" t="e">
        <f>#REF!</f>
        <v>#REF!</v>
      </c>
      <c r="W17" s="450"/>
      <c r="X17" s="984"/>
      <c r="Y17" s="984"/>
      <c r="Z17" s="984"/>
      <c r="AA17" s="984"/>
      <c r="AB17" s="985"/>
      <c r="AC17" s="985"/>
      <c r="AD17" s="985"/>
      <c r="AE17" s="985"/>
      <c r="AF17" s="7"/>
      <c r="AG17" s="7"/>
      <c r="AH17" s="7"/>
      <c r="AI17" s="7"/>
      <c r="AJ17" s="7"/>
      <c r="AK17" s="7"/>
      <c r="AL17" s="7"/>
      <c r="AM17" s="7"/>
      <c r="AN17" s="7"/>
      <c r="AO17" s="7"/>
      <c r="AP17" s="7"/>
      <c r="AR17" s="496"/>
    </row>
    <row r="18" spans="1:44">
      <c r="A18" s="4" t="s">
        <v>345</v>
      </c>
      <c r="C18" s="419"/>
      <c r="D18" s="986"/>
      <c r="F18" s="490"/>
      <c r="G18" s="986"/>
      <c r="I18" s="490"/>
      <c r="J18" s="490"/>
      <c r="K18" s="986"/>
      <c r="M18" s="490"/>
      <c r="N18" s="490"/>
      <c r="O18" s="986"/>
      <c r="Q18" s="490"/>
      <c r="R18" s="490"/>
      <c r="S18" s="986"/>
      <c r="U18" s="490"/>
      <c r="W18" s="4"/>
      <c r="X18" s="984"/>
      <c r="Y18" s="984"/>
      <c r="Z18" s="984"/>
      <c r="AA18" s="984"/>
      <c r="AF18" s="7"/>
      <c r="AG18" s="7"/>
      <c r="AH18" s="7"/>
      <c r="AI18" s="7"/>
      <c r="AJ18" s="7"/>
      <c r="AK18" s="7"/>
      <c r="AL18" s="7"/>
      <c r="AM18" s="7"/>
      <c r="AN18" s="7"/>
      <c r="AO18" s="7"/>
      <c r="AP18" s="7"/>
      <c r="AR18" s="496"/>
    </row>
    <row r="19" spans="1:44">
      <c r="A19" s="4" t="s">
        <v>346</v>
      </c>
      <c r="C19" s="419">
        <f>C40+C58+C76</f>
        <v>2265.2442142643458</v>
      </c>
      <c r="D19" s="983">
        <v>12.77</v>
      </c>
      <c r="F19" s="490">
        <f>F40+F58+F76</f>
        <v>28927.168616155694</v>
      </c>
      <c r="G19" s="983">
        <f ca="1">ROUND((D19+D19*$X$27)*(1+$X$28),2)-0.01</f>
        <v>12.47</v>
      </c>
      <c r="I19" s="490">
        <f ca="1">I40+I58+I76</f>
        <v>28247.595351876393</v>
      </c>
      <c r="J19" s="490"/>
      <c r="K19" s="983" t="e">
        <f>#REF!</f>
        <v>#REF!</v>
      </c>
      <c r="M19" s="490" t="e">
        <f>#REF!</f>
        <v>#REF!</v>
      </c>
      <c r="N19" s="490"/>
      <c r="O19" s="983" t="e">
        <f>#REF!</f>
        <v>#REF!</v>
      </c>
      <c r="Q19" s="490" t="e">
        <f>#REF!</f>
        <v>#REF!</v>
      </c>
      <c r="R19" s="490"/>
      <c r="S19" s="983" t="e">
        <f>#REF!</f>
        <v>#REF!</v>
      </c>
      <c r="U19" s="490" t="e">
        <f>#REF!</f>
        <v>#REF!</v>
      </c>
      <c r="W19" s="450"/>
      <c r="X19" s="984"/>
      <c r="Y19" s="984"/>
      <c r="Z19" s="984"/>
      <c r="AA19" s="984"/>
      <c r="AB19" s="985"/>
      <c r="AC19" s="985"/>
      <c r="AD19" s="985"/>
      <c r="AE19" s="985"/>
      <c r="AF19" s="7"/>
      <c r="AG19" s="7"/>
      <c r="AH19" s="7"/>
      <c r="AI19" s="7"/>
      <c r="AJ19" s="7"/>
      <c r="AK19" s="7"/>
      <c r="AL19" s="7"/>
      <c r="AM19" s="7"/>
      <c r="AN19" s="7"/>
      <c r="AO19" s="7"/>
      <c r="AP19" s="7"/>
      <c r="AR19" s="496"/>
    </row>
    <row r="20" spans="1:44">
      <c r="A20" s="4" t="s">
        <v>347</v>
      </c>
      <c r="C20" s="419">
        <f>C41+C59+C77</f>
        <v>1884.3635628551399</v>
      </c>
      <c r="D20" s="983">
        <v>18.759999999999998</v>
      </c>
      <c r="F20" s="490">
        <f>F41+F59+F77</f>
        <v>35350.660439162421</v>
      </c>
      <c r="G20" s="983">
        <f ca="1">ROUND((D20+D20*$X$27)*(1+$X$28),2)-0.01</f>
        <v>18.319999999999997</v>
      </c>
      <c r="I20" s="490">
        <f ca="1">I41+I59+I77</f>
        <v>34521.54047150616</v>
      </c>
      <c r="J20" s="490"/>
      <c r="K20" s="983" t="e">
        <f>#REF!</f>
        <v>#REF!</v>
      </c>
      <c r="M20" s="490" t="e">
        <f>#REF!</f>
        <v>#REF!</v>
      </c>
      <c r="N20" s="490"/>
      <c r="O20" s="983" t="e">
        <f>#REF!</f>
        <v>#REF!</v>
      </c>
      <c r="Q20" s="490" t="e">
        <f>#REF!</f>
        <v>#REF!</v>
      </c>
      <c r="R20" s="490"/>
      <c r="S20" s="983" t="e">
        <f>#REF!</f>
        <v>#REF!</v>
      </c>
      <c r="U20" s="490" t="e">
        <f>#REF!</f>
        <v>#REF!</v>
      </c>
      <c r="W20" s="450"/>
      <c r="X20" s="984"/>
      <c r="Y20" s="984"/>
      <c r="Z20" s="984"/>
      <c r="AA20" s="984"/>
      <c r="AB20" s="985"/>
      <c r="AC20" s="985"/>
      <c r="AD20" s="985"/>
      <c r="AE20" s="985"/>
      <c r="AF20" s="7"/>
      <c r="AG20" s="7"/>
      <c r="AH20" s="7"/>
      <c r="AI20" s="7"/>
      <c r="AJ20" s="7"/>
      <c r="AK20" s="7"/>
      <c r="AL20" s="7"/>
      <c r="AM20" s="7"/>
      <c r="AN20" s="7"/>
      <c r="AO20" s="7"/>
      <c r="AP20" s="7"/>
      <c r="AR20" s="496"/>
    </row>
    <row r="21" spans="1:44">
      <c r="A21" s="4" t="s">
        <v>348</v>
      </c>
      <c r="C21" s="419">
        <f>C42+C60+C78</f>
        <v>570.8003236486785</v>
      </c>
      <c r="D21" s="983">
        <v>30.28</v>
      </c>
      <c r="F21" s="490">
        <f>F42+F60+F78</f>
        <v>17283.833800081986</v>
      </c>
      <c r="G21" s="983">
        <f ca="1">ROUND((D21+D21*$X$27)*(1+$X$28),2)</f>
        <v>29.58</v>
      </c>
      <c r="I21" s="490">
        <f ca="1">I42+I60+I78</f>
        <v>16884.273573527913</v>
      </c>
      <c r="J21" s="490"/>
      <c r="K21" s="983" t="e">
        <f>#REF!</f>
        <v>#REF!</v>
      </c>
      <c r="M21" s="490" t="e">
        <f>#REF!</f>
        <v>#REF!</v>
      </c>
      <c r="N21" s="490"/>
      <c r="O21" s="983" t="e">
        <f>#REF!</f>
        <v>#REF!</v>
      </c>
      <c r="Q21" s="490" t="e">
        <f>#REF!</f>
        <v>#REF!</v>
      </c>
      <c r="R21" s="490"/>
      <c r="S21" s="983" t="e">
        <f>#REF!</f>
        <v>#REF!</v>
      </c>
      <c r="U21" s="490" t="e">
        <f>#REF!</f>
        <v>#REF!</v>
      </c>
      <c r="W21" s="450"/>
      <c r="X21" s="984"/>
      <c r="Y21" s="984"/>
      <c r="Z21" s="984"/>
      <c r="AA21" s="984"/>
      <c r="AB21" s="985"/>
      <c r="AC21" s="985"/>
      <c r="AD21" s="985"/>
      <c r="AE21" s="985"/>
      <c r="AF21" s="7"/>
      <c r="AG21" s="7"/>
      <c r="AH21" s="7"/>
      <c r="AI21" s="7"/>
      <c r="AJ21" s="7"/>
      <c r="AK21" s="7"/>
      <c r="AL21" s="7"/>
      <c r="AM21" s="7"/>
      <c r="AN21" s="7"/>
      <c r="AO21" s="7"/>
      <c r="AP21" s="7"/>
      <c r="AR21" s="496"/>
    </row>
    <row r="22" spans="1:44">
      <c r="A22" s="4" t="s">
        <v>349</v>
      </c>
      <c r="C22" s="419">
        <f>C43+C61+C79</f>
        <v>497.13191990339959</v>
      </c>
      <c r="D22" s="983">
        <v>1</v>
      </c>
      <c r="E22" s="7"/>
      <c r="F22" s="490">
        <f>F43+F61+F79</f>
        <v>497.13191990339959</v>
      </c>
      <c r="G22" s="983">
        <f>D22</f>
        <v>1</v>
      </c>
      <c r="H22" s="7"/>
      <c r="I22" s="490">
        <f>I43+I61+I79</f>
        <v>497.13191990339959</v>
      </c>
      <c r="J22" s="490"/>
      <c r="K22" s="983" t="e">
        <f>#REF!</f>
        <v>#REF!</v>
      </c>
      <c r="L22" s="7"/>
      <c r="M22" s="490" t="e">
        <f>#REF!</f>
        <v>#REF!</v>
      </c>
      <c r="N22" s="490"/>
      <c r="O22" s="983" t="e">
        <f>#REF!</f>
        <v>#REF!</v>
      </c>
      <c r="P22" s="7"/>
      <c r="Q22" s="490" t="e">
        <f>#REF!</f>
        <v>#REF!</v>
      </c>
      <c r="R22" s="490"/>
      <c r="S22" s="983" t="e">
        <f>#REF!</f>
        <v>#REF!</v>
      </c>
      <c r="T22" s="7"/>
      <c r="U22" s="490" t="e">
        <f>#REF!</f>
        <v>#REF!</v>
      </c>
      <c r="W22" s="450"/>
      <c r="X22" s="4" t="s">
        <v>31</v>
      </c>
      <c r="Y22" s="4"/>
      <c r="Z22" s="984"/>
      <c r="AA22" s="984"/>
      <c r="AF22" s="7"/>
      <c r="AG22" s="7"/>
      <c r="AH22" s="7"/>
      <c r="AI22" s="7"/>
      <c r="AJ22" s="7"/>
      <c r="AK22" s="7"/>
      <c r="AL22" s="7"/>
      <c r="AM22" s="7"/>
      <c r="AN22" s="7"/>
      <c r="AO22" s="7"/>
      <c r="AP22" s="7"/>
      <c r="AR22" s="496"/>
    </row>
    <row r="23" spans="1:44" s="588" customFormat="1" hidden="1">
      <c r="A23" s="588" t="s">
        <v>780</v>
      </c>
      <c r="C23" s="631">
        <f t="shared" ref="C23:C26" si="0">C44+C62+C80</f>
        <v>3029770.5</v>
      </c>
      <c r="D23" s="987">
        <v>0</v>
      </c>
      <c r="E23" s="592" t="s">
        <v>362</v>
      </c>
      <c r="F23" s="616"/>
      <c r="G23" s="987">
        <v>0</v>
      </c>
      <c r="H23" s="592" t="s">
        <v>362</v>
      </c>
      <c r="I23" s="616">
        <f>I44+I62+I80</f>
        <v>0</v>
      </c>
      <c r="J23" s="616"/>
      <c r="K23" s="987" t="s">
        <v>31</v>
      </c>
      <c r="L23" s="592" t="s">
        <v>31</v>
      </c>
      <c r="M23" s="490" t="e">
        <f>#REF!</f>
        <v>#REF!</v>
      </c>
      <c r="N23" s="616"/>
      <c r="O23" s="987" t="s">
        <v>31</v>
      </c>
      <c r="P23" s="592" t="s">
        <v>31</v>
      </c>
      <c r="Q23" s="490" t="e">
        <f>#REF!</f>
        <v>#REF!</v>
      </c>
      <c r="R23" s="616"/>
      <c r="S23" s="987">
        <f>G23</f>
        <v>0</v>
      </c>
      <c r="T23" s="592" t="s">
        <v>362</v>
      </c>
      <c r="U23" s="490" t="e">
        <f>#REF!</f>
        <v>#REF!</v>
      </c>
      <c r="V23" s="988"/>
      <c r="W23" s="450"/>
      <c r="Z23" s="989"/>
      <c r="AA23" s="989"/>
      <c r="AF23" s="635"/>
      <c r="AG23" s="635"/>
      <c r="AH23" s="635"/>
      <c r="AI23" s="635"/>
      <c r="AJ23" s="635"/>
      <c r="AK23" s="635"/>
      <c r="AL23" s="635"/>
      <c r="AM23" s="635"/>
      <c r="AN23" s="635"/>
      <c r="AO23" s="635"/>
      <c r="AP23" s="635"/>
      <c r="AR23" s="988"/>
    </row>
    <row r="24" spans="1:44">
      <c r="A24" s="4" t="s">
        <v>350</v>
      </c>
      <c r="C24" s="419">
        <f t="shared" si="0"/>
        <v>27886</v>
      </c>
      <c r="D24" s="983"/>
      <c r="F24" s="490"/>
      <c r="G24" s="983"/>
      <c r="I24" s="490"/>
      <c r="J24" s="490"/>
      <c r="K24" s="983"/>
      <c r="M24" s="490"/>
      <c r="N24" s="490"/>
      <c r="O24" s="983"/>
      <c r="Q24" s="490"/>
      <c r="R24" s="490"/>
      <c r="S24" s="983"/>
      <c r="U24" s="490"/>
      <c r="W24" s="496"/>
      <c r="X24" s="4"/>
      <c r="Y24" s="4"/>
      <c r="AF24" s="7"/>
      <c r="AG24" s="7"/>
      <c r="AH24" s="7"/>
      <c r="AI24" s="7"/>
      <c r="AJ24" s="7"/>
      <c r="AK24" s="7"/>
      <c r="AL24" s="7"/>
      <c r="AM24" s="7"/>
      <c r="AN24" s="7"/>
      <c r="AO24" s="7"/>
      <c r="AP24" s="7"/>
      <c r="AR24" s="496"/>
    </row>
    <row r="25" spans="1:44">
      <c r="A25" s="4" t="s">
        <v>35</v>
      </c>
      <c r="C25" s="419">
        <f t="shared" si="0"/>
        <v>3029770.5</v>
      </c>
      <c r="D25" s="990"/>
      <c r="E25" s="7"/>
      <c r="F25" s="490">
        <f>F46+F64+F82</f>
        <v>457499.64904111053</v>
      </c>
      <c r="G25" s="990"/>
      <c r="H25" s="7"/>
      <c r="I25" s="490">
        <f ca="1">I46+I64+I82</f>
        <v>446886.68630616891</v>
      </c>
      <c r="J25" s="991"/>
      <c r="K25" s="990"/>
      <c r="L25" s="7"/>
      <c r="M25" s="991" t="e">
        <f>SUM(M15:M23)</f>
        <v>#REF!</v>
      </c>
      <c r="N25" s="991"/>
      <c r="O25" s="990"/>
      <c r="P25" s="7"/>
      <c r="Q25" s="991" t="e">
        <f>SUM(Q15:Q23)</f>
        <v>#REF!</v>
      </c>
      <c r="R25" s="991"/>
      <c r="S25" s="990"/>
      <c r="T25" s="7"/>
      <c r="U25" s="991" t="e">
        <f>SUM(U15:U23)</f>
        <v>#REF!</v>
      </c>
      <c r="W25" s="992"/>
      <c r="X25" s="4"/>
      <c r="Y25" s="4"/>
      <c r="AF25" s="7"/>
      <c r="AG25" s="7"/>
      <c r="AH25" s="7"/>
      <c r="AI25" s="7"/>
      <c r="AJ25" s="7"/>
      <c r="AK25" s="7"/>
      <c r="AL25" s="7"/>
      <c r="AM25" s="7"/>
      <c r="AN25" s="7"/>
      <c r="AO25" s="7"/>
      <c r="AP25" s="7"/>
      <c r="AR25" s="496"/>
    </row>
    <row r="26" spans="1:44">
      <c r="A26" s="4" t="s">
        <v>351</v>
      </c>
      <c r="C26" s="419">
        <f t="shared" ca="1" si="0"/>
        <v>7938.0715346155903</v>
      </c>
      <c r="D26" s="990"/>
      <c r="E26" s="7"/>
      <c r="F26" s="723">
        <f ca="1">F47+F65+F83</f>
        <v>4499.3891316946401</v>
      </c>
      <c r="G26" s="990"/>
      <c r="H26" s="7"/>
      <c r="I26" s="723">
        <f ca="1">F26</f>
        <v>4499.3891316946401</v>
      </c>
      <c r="J26" s="723"/>
      <c r="K26" s="990"/>
      <c r="L26" s="7"/>
      <c r="M26" s="993" t="e">
        <f ca="1">$I$26*V31/($V$31+$W$31+$X$31)</f>
        <v>#DIV/0!</v>
      </c>
      <c r="N26" s="723"/>
      <c r="O26" s="305"/>
      <c r="P26" s="305"/>
      <c r="Q26" s="993" t="e">
        <f ca="1">$I$26*W31/($V$31+$W$31+$X$31)</f>
        <v>#DIV/0!</v>
      </c>
      <c r="R26" s="723"/>
      <c r="S26" s="305"/>
      <c r="T26" s="305"/>
      <c r="U26" s="993" t="e">
        <f ca="1">$I$26*X31/($V$31+$W$31+$X$31)</f>
        <v>#DIV/0!</v>
      </c>
      <c r="X26" s="444" t="s">
        <v>31</v>
      </c>
      <c r="Y26" s="444"/>
      <c r="AF26" s="7"/>
      <c r="AG26" s="7"/>
      <c r="AH26" s="7"/>
      <c r="AI26" s="7"/>
      <c r="AJ26" s="7"/>
      <c r="AK26" s="7"/>
      <c r="AL26" s="7"/>
      <c r="AM26" s="7"/>
      <c r="AN26" s="7"/>
      <c r="AO26" s="7"/>
      <c r="AP26" s="7"/>
      <c r="AR26" s="496"/>
    </row>
    <row r="27" spans="1:44" ht="16.5" thickBot="1">
      <c r="A27" s="4" t="s">
        <v>9</v>
      </c>
      <c r="C27" s="994">
        <f ca="1">C25+C26</f>
        <v>3037708.5715346155</v>
      </c>
      <c r="D27" s="995"/>
      <c r="E27" s="996"/>
      <c r="F27" s="996">
        <f ca="1">F25+F26</f>
        <v>461999.03817280516</v>
      </c>
      <c r="G27" s="995"/>
      <c r="H27" s="996"/>
      <c r="I27" s="996">
        <f ca="1">I25+I26</f>
        <v>451386.07543786353</v>
      </c>
      <c r="J27" s="995"/>
      <c r="K27" s="995"/>
      <c r="L27" s="996"/>
      <c r="M27" s="996" t="e">
        <f ca="1">M25+M26</f>
        <v>#REF!</v>
      </c>
      <c r="N27" s="995"/>
      <c r="O27" s="995"/>
      <c r="P27" s="996"/>
      <c r="Q27" s="996" t="e">
        <f ca="1">Q25+Q26</f>
        <v>#REF!</v>
      </c>
      <c r="R27" s="995"/>
      <c r="S27" s="995"/>
      <c r="T27" s="996"/>
      <c r="U27" s="996" t="e">
        <f ca="1">U25+U26</f>
        <v>#REF!</v>
      </c>
      <c r="V27" s="442" t="s">
        <v>352</v>
      </c>
      <c r="W27" s="997">
        <f ca="1">'Rate Spread targets'!Q37*1000</f>
        <v>469871.22380146733</v>
      </c>
      <c r="X27" s="998">
        <f ca="1">(I27-F27)/F27</f>
        <v>-2.2971828636084681E-2</v>
      </c>
      <c r="Y27" s="453"/>
      <c r="Z27" s="54"/>
      <c r="AA27" s="54"/>
      <c r="AF27" s="7"/>
      <c r="AG27" s="7"/>
      <c r="AH27" s="7"/>
      <c r="AI27" s="7"/>
      <c r="AJ27" s="7"/>
      <c r="AK27" s="7"/>
      <c r="AL27" s="7"/>
      <c r="AM27" s="7"/>
      <c r="AN27" s="7"/>
      <c r="AO27" s="7"/>
      <c r="AP27" s="7"/>
      <c r="AR27" s="496"/>
    </row>
    <row r="28" spans="1:44" ht="16.5" thickTop="1">
      <c r="A28" s="728" t="s">
        <v>31</v>
      </c>
      <c r="C28" s="999"/>
      <c r="D28" s="723"/>
      <c r="E28" s="723"/>
      <c r="F28" s="723"/>
      <c r="G28" s="723"/>
      <c r="H28" s="723"/>
      <c r="I28" s="723"/>
      <c r="J28" s="723"/>
      <c r="K28" s="723"/>
      <c r="L28" s="723"/>
      <c r="M28" s="723"/>
      <c r="N28" s="723"/>
      <c r="O28" s="723"/>
      <c r="P28" s="723"/>
      <c r="Q28" s="723"/>
      <c r="R28" s="723"/>
      <c r="S28" s="723"/>
      <c r="T28" s="723"/>
      <c r="U28" s="723"/>
      <c r="V28" s="544"/>
      <c r="W28" s="342"/>
      <c r="X28" s="1000"/>
      <c r="Y28" s="453"/>
      <c r="Z28" s="54"/>
      <c r="AA28" s="54"/>
      <c r="AF28" s="7"/>
      <c r="AG28" s="7"/>
      <c r="AH28" s="7"/>
      <c r="AI28" s="7"/>
      <c r="AJ28" s="7"/>
      <c r="AK28" s="7"/>
      <c r="AL28" s="7"/>
      <c r="AM28" s="7"/>
      <c r="AN28" s="7"/>
      <c r="AO28" s="7"/>
      <c r="AP28" s="7"/>
      <c r="AR28" s="496"/>
    </row>
    <row r="29" spans="1:44" ht="18" customHeight="1">
      <c r="C29" s="61"/>
      <c r="D29" s="305" t="s">
        <v>31</v>
      </c>
      <c r="E29" s="61"/>
      <c r="F29" s="490"/>
      <c r="G29" s="305" t="s">
        <v>31</v>
      </c>
      <c r="H29" s="61"/>
      <c r="I29" s="490" t="s">
        <v>31</v>
      </c>
      <c r="J29" s="490"/>
      <c r="K29" s="305" t="s">
        <v>31</v>
      </c>
      <c r="L29" s="61"/>
      <c r="M29" s="490" t="s">
        <v>31</v>
      </c>
      <c r="N29" s="490"/>
      <c r="O29" s="305" t="s">
        <v>31</v>
      </c>
      <c r="P29" s="61"/>
      <c r="Q29" s="490" t="s">
        <v>31</v>
      </c>
      <c r="R29" s="490"/>
      <c r="S29" s="305" t="s">
        <v>31</v>
      </c>
      <c r="T29" s="61"/>
      <c r="U29" s="490" t="s">
        <v>31</v>
      </c>
      <c r="V29" s="568" t="s">
        <v>256</v>
      </c>
      <c r="W29" s="1001">
        <f ca="1">W27-I27</f>
        <v>18485.148363603803</v>
      </c>
      <c r="X29" s="1002">
        <v>0</v>
      </c>
      <c r="Y29" s="454"/>
      <c r="Z29" s="54"/>
      <c r="AA29" s="54"/>
      <c r="AF29" s="7"/>
      <c r="AG29" s="7"/>
      <c r="AH29" s="7"/>
      <c r="AI29" s="7"/>
      <c r="AJ29" s="7"/>
      <c r="AK29" s="7"/>
      <c r="AL29" s="7"/>
      <c r="AM29" s="7"/>
      <c r="AN29" s="7"/>
      <c r="AO29" s="7"/>
      <c r="AP29" s="7"/>
      <c r="AR29" s="496"/>
    </row>
    <row r="30" spans="1:44">
      <c r="C30" s="61"/>
      <c r="D30" s="305"/>
      <c r="E30" s="61"/>
      <c r="F30" s="490"/>
      <c r="G30" s="305"/>
      <c r="H30" s="61"/>
      <c r="I30" s="490"/>
      <c r="J30" s="490"/>
      <c r="K30" s="305"/>
      <c r="L30" s="61"/>
      <c r="M30" s="490"/>
      <c r="N30" s="490"/>
      <c r="O30" s="305"/>
      <c r="P30" s="61"/>
      <c r="Q30" s="490"/>
      <c r="R30" s="490"/>
      <c r="S30" s="305"/>
      <c r="T30" s="61"/>
      <c r="U30" s="490">
        <f ca="1">U29-I27</f>
        <v>-451386.07543786353</v>
      </c>
      <c r="V30" s="540"/>
      <c r="W30" s="540"/>
      <c r="X30" s="540"/>
      <c r="Y30" s="454"/>
      <c r="Z30" s="54"/>
      <c r="AA30" s="54"/>
      <c r="AF30" s="7"/>
      <c r="AG30" s="7"/>
      <c r="AH30" s="7"/>
      <c r="AI30" s="7"/>
      <c r="AJ30" s="7"/>
      <c r="AK30" s="7"/>
      <c r="AL30" s="7"/>
      <c r="AM30" s="7"/>
      <c r="AN30" s="7"/>
      <c r="AO30" s="7"/>
      <c r="AP30" s="7"/>
      <c r="AR30" s="496"/>
    </row>
    <row r="31" spans="1:44">
      <c r="C31" s="61"/>
      <c r="D31" s="305"/>
      <c r="E31" s="61"/>
      <c r="F31" s="490"/>
      <c r="G31" s="305"/>
      <c r="H31" s="61"/>
      <c r="I31" s="490"/>
      <c r="J31" s="490"/>
      <c r="K31" s="305"/>
      <c r="L31" s="61"/>
      <c r="M31" s="490"/>
      <c r="N31" s="490"/>
      <c r="O31" s="305"/>
      <c r="P31" s="61"/>
      <c r="Q31" s="490"/>
      <c r="R31" s="490"/>
      <c r="S31" s="305"/>
      <c r="T31" s="61"/>
      <c r="U31" s="490"/>
      <c r="V31" s="342"/>
      <c r="W31" s="342"/>
      <c r="X31" s="342"/>
      <c r="Y31" s="454"/>
      <c r="Z31" s="54"/>
      <c r="AA31" s="54"/>
      <c r="AF31" s="7"/>
      <c r="AG31" s="7"/>
      <c r="AH31" s="7"/>
      <c r="AI31" s="7"/>
      <c r="AJ31" s="7"/>
      <c r="AK31" s="7"/>
      <c r="AL31" s="7"/>
      <c r="AM31" s="7"/>
      <c r="AN31" s="7"/>
      <c r="AO31" s="7"/>
      <c r="AP31" s="7"/>
      <c r="AR31" s="496"/>
    </row>
    <row r="32" spans="1:44">
      <c r="A32" s="4" t="s">
        <v>339</v>
      </c>
      <c r="F32" s="490"/>
      <c r="W32" s="1003" t="s">
        <v>31</v>
      </c>
      <c r="X32" s="4"/>
      <c r="Y32" s="4"/>
      <c r="AF32" s="7"/>
      <c r="AG32" s="7"/>
      <c r="AH32" s="7"/>
      <c r="AI32" s="7"/>
      <c r="AJ32" s="7"/>
      <c r="AK32" s="7"/>
      <c r="AL32" s="7"/>
      <c r="AM32" s="7"/>
      <c r="AN32" s="7"/>
      <c r="AO32" s="7"/>
      <c r="AP32" s="7"/>
      <c r="AR32" s="496"/>
    </row>
    <row r="33" spans="1:44">
      <c r="A33" s="4" t="s">
        <v>353</v>
      </c>
      <c r="F33" s="490"/>
      <c r="V33" s="162"/>
      <c r="W33" s="162"/>
      <c r="X33" s="162"/>
      <c r="Y33" s="162"/>
      <c r="Z33" s="162"/>
      <c r="AA33" s="162"/>
      <c r="AB33" s="162"/>
      <c r="AC33" s="162"/>
      <c r="AD33" s="162"/>
      <c r="AE33" s="162"/>
      <c r="AF33" s="162"/>
      <c r="AG33" s="162"/>
      <c r="AH33" s="162"/>
      <c r="AI33" s="162"/>
      <c r="AJ33" s="162"/>
      <c r="AK33" s="162"/>
      <c r="AL33" s="7"/>
      <c r="AM33" s="7"/>
      <c r="AN33" s="7"/>
      <c r="AO33" s="7"/>
      <c r="AP33" s="7"/>
      <c r="AR33" s="496"/>
    </row>
    <row r="34" spans="1:44">
      <c r="F34" s="490"/>
      <c r="V34" s="162"/>
      <c r="W34" s="162"/>
      <c r="X34" s="162"/>
      <c r="Y34" s="162"/>
      <c r="Z34" s="162"/>
      <c r="AA34" s="162"/>
      <c r="AB34" s="162"/>
      <c r="AC34" s="162"/>
      <c r="AD34" s="162"/>
      <c r="AE34" s="162"/>
      <c r="AF34" s="162"/>
      <c r="AG34" s="162"/>
      <c r="AH34" s="162"/>
      <c r="AI34" s="162"/>
      <c r="AJ34" s="162"/>
      <c r="AK34" s="162"/>
      <c r="AL34" s="7"/>
      <c r="AM34" s="7"/>
      <c r="AN34" s="7"/>
      <c r="AO34" s="7"/>
      <c r="AP34" s="7"/>
      <c r="AR34" s="496"/>
    </row>
    <row r="35" spans="1:44">
      <c r="A35" s="4" t="s">
        <v>341</v>
      </c>
      <c r="F35" s="490"/>
      <c r="V35" s="162"/>
      <c r="W35" s="162"/>
      <c r="X35" s="31"/>
      <c r="Y35" s="31"/>
      <c r="Z35" s="163"/>
      <c r="AA35" s="163"/>
      <c r="AB35" s="164"/>
      <c r="AC35" s="164"/>
      <c r="AD35" s="164"/>
      <c r="AE35" s="164"/>
      <c r="AF35" s="165"/>
      <c r="AG35" s="166"/>
      <c r="AH35" s="162"/>
      <c r="AI35" s="162"/>
      <c r="AJ35" s="162"/>
      <c r="AK35" s="162"/>
      <c r="AL35" s="7"/>
      <c r="AM35" s="7"/>
      <c r="AN35" s="7"/>
      <c r="AO35" s="7"/>
      <c r="AP35" s="7"/>
      <c r="AR35" s="496"/>
    </row>
    <row r="36" spans="1:44">
      <c r="A36" s="4" t="s">
        <v>342</v>
      </c>
      <c r="C36" s="419">
        <v>11271.395405617463</v>
      </c>
      <c r="D36" s="983">
        <f>$D$15</f>
        <v>11.24</v>
      </c>
      <c r="F36" s="490">
        <f>D36*C36</f>
        <v>126690.48435914028</v>
      </c>
      <c r="G36" s="983">
        <f ca="1">$G$15</f>
        <v>10.98</v>
      </c>
      <c r="I36" s="490">
        <f ca="1">(G36*$C36)</f>
        <v>123759.92155367974</v>
      </c>
      <c r="J36" s="490"/>
      <c r="K36" s="983" t="e">
        <f>K15</f>
        <v>#REF!</v>
      </c>
      <c r="M36" s="490" t="e">
        <f>K36*C36</f>
        <v>#REF!</v>
      </c>
      <c r="N36" s="490"/>
      <c r="O36" s="983" t="e">
        <f>O15</f>
        <v>#REF!</v>
      </c>
      <c r="Q36" s="490" t="e">
        <f>O36*C36</f>
        <v>#REF!</v>
      </c>
      <c r="R36" s="490"/>
      <c r="S36" s="983" t="e">
        <f>S15</f>
        <v>#REF!</v>
      </c>
      <c r="U36" s="490" t="e">
        <f>S36*C36</f>
        <v>#REF!</v>
      </c>
      <c r="V36" s="7"/>
      <c r="W36" s="165"/>
      <c r="X36" s="31"/>
      <c r="Y36" s="31"/>
      <c r="Z36" s="162"/>
      <c r="AA36" s="162"/>
      <c r="AB36" s="167"/>
      <c r="AC36" s="167"/>
      <c r="AD36" s="167"/>
      <c r="AE36" s="167"/>
      <c r="AF36" s="168"/>
      <c r="AG36" s="162"/>
      <c r="AH36" s="165"/>
      <c r="AI36" s="165"/>
      <c r="AJ36" s="165"/>
      <c r="AK36" s="165"/>
      <c r="AL36" s="7"/>
      <c r="AM36" s="7"/>
      <c r="AN36" s="7"/>
      <c r="AO36" s="7"/>
      <c r="AP36" s="7"/>
      <c r="AR36" s="496"/>
    </row>
    <row r="37" spans="1:44">
      <c r="A37" s="4" t="s">
        <v>343</v>
      </c>
      <c r="C37" s="419">
        <v>196.00085036170901</v>
      </c>
      <c r="D37" s="983">
        <f>$D$16</f>
        <v>21.369999999999997</v>
      </c>
      <c r="F37" s="490">
        <f>D37*C37</f>
        <v>4188.5381722297207</v>
      </c>
      <c r="G37" s="983">
        <f ca="1">$G$16</f>
        <v>20.869999999999997</v>
      </c>
      <c r="I37" s="490">
        <f ca="1">(G37*$C37)</f>
        <v>4090.5377470488665</v>
      </c>
      <c r="J37" s="490"/>
      <c r="K37" s="983" t="e">
        <f>K16</f>
        <v>#REF!</v>
      </c>
      <c r="M37" s="490" t="e">
        <f>K37*C37</f>
        <v>#REF!</v>
      </c>
      <c r="N37" s="490"/>
      <c r="O37" s="983" t="e">
        <f>O16</f>
        <v>#REF!</v>
      </c>
      <c r="Q37" s="490" t="e">
        <f>O37*C37</f>
        <v>#REF!</v>
      </c>
      <c r="R37" s="490"/>
      <c r="S37" s="983" t="e">
        <f>S16</f>
        <v>#REF!</v>
      </c>
      <c r="U37" s="490" t="e">
        <f>S37*C37</f>
        <v>#REF!</v>
      </c>
      <c r="V37" s="7"/>
      <c r="W37" s="165"/>
      <c r="X37" s="31"/>
      <c r="Y37" s="31"/>
      <c r="Z37" s="7"/>
      <c r="AA37" s="7"/>
      <c r="AB37" s="171"/>
      <c r="AC37" s="171"/>
      <c r="AD37" s="171"/>
      <c r="AE37" s="171"/>
      <c r="AF37" s="162"/>
      <c r="AG37" s="162"/>
      <c r="AH37" s="165"/>
      <c r="AI37" s="165"/>
      <c r="AJ37" s="165"/>
      <c r="AK37" s="165"/>
      <c r="AL37" s="7"/>
      <c r="AM37" s="7"/>
      <c r="AN37" s="7"/>
      <c r="AO37" s="7"/>
      <c r="AP37" s="7"/>
      <c r="AR37" s="496"/>
    </row>
    <row r="38" spans="1:44">
      <c r="A38" s="4" t="s">
        <v>344</v>
      </c>
      <c r="C38" s="419">
        <v>0</v>
      </c>
      <c r="D38" s="983">
        <f>$D$17</f>
        <v>44.25</v>
      </c>
      <c r="F38" s="490">
        <f>D38*C38</f>
        <v>0</v>
      </c>
      <c r="G38" s="983">
        <f ca="1">$G$17</f>
        <v>43.23</v>
      </c>
      <c r="I38" s="490">
        <f ca="1">(G38*$C38)</f>
        <v>0</v>
      </c>
      <c r="J38" s="490"/>
      <c r="K38" s="983" t="e">
        <f>K17</f>
        <v>#REF!</v>
      </c>
      <c r="M38" s="490" t="e">
        <f>K38*C38</f>
        <v>#REF!</v>
      </c>
      <c r="N38" s="490"/>
      <c r="O38" s="983" t="e">
        <f>O17</f>
        <v>#REF!</v>
      </c>
      <c r="Q38" s="490" t="e">
        <f>O38*C38</f>
        <v>#REF!</v>
      </c>
      <c r="R38" s="490"/>
      <c r="S38" s="983" t="e">
        <f>S17</f>
        <v>#REF!</v>
      </c>
      <c r="U38" s="490" t="e">
        <f>S38*C38</f>
        <v>#REF!</v>
      </c>
      <c r="V38" s="7"/>
      <c r="W38" s="165"/>
      <c r="X38" s="31"/>
      <c r="Y38" s="31"/>
      <c r="Z38" s="7"/>
      <c r="AA38" s="7"/>
      <c r="AB38" s="171"/>
      <c r="AC38" s="171"/>
      <c r="AD38" s="171"/>
      <c r="AE38" s="171"/>
      <c r="AF38" s="162"/>
      <c r="AG38" s="162"/>
      <c r="AH38" s="165"/>
      <c r="AI38" s="165"/>
      <c r="AJ38" s="165"/>
      <c r="AK38" s="165"/>
      <c r="AL38" s="7"/>
      <c r="AM38" s="7"/>
      <c r="AN38" s="7"/>
      <c r="AO38" s="7"/>
      <c r="AP38" s="7"/>
      <c r="AR38" s="496"/>
    </row>
    <row r="39" spans="1:44">
      <c r="A39" s="4" t="s">
        <v>345</v>
      </c>
      <c r="C39" s="419"/>
      <c r="D39" s="983"/>
      <c r="F39" s="490"/>
      <c r="G39" s="983"/>
      <c r="I39" s="490"/>
      <c r="J39" s="490"/>
      <c r="K39" s="983"/>
      <c r="M39" s="490"/>
      <c r="N39" s="490"/>
      <c r="O39" s="983"/>
      <c r="Q39" s="490"/>
      <c r="R39" s="490"/>
      <c r="S39" s="983"/>
      <c r="U39" s="490"/>
      <c r="V39" s="7"/>
      <c r="W39" s="165"/>
      <c r="X39" s="31"/>
      <c r="Y39" s="31"/>
      <c r="Z39" s="7"/>
      <c r="AA39" s="7"/>
      <c r="AB39" s="171"/>
      <c r="AC39" s="171"/>
      <c r="AD39" s="171"/>
      <c r="AE39" s="171"/>
      <c r="AF39" s="162"/>
      <c r="AG39" s="162"/>
      <c r="AH39" s="165"/>
      <c r="AI39" s="165"/>
      <c r="AJ39" s="165"/>
      <c r="AK39" s="165"/>
      <c r="AL39" s="7"/>
      <c r="AM39" s="7"/>
      <c r="AN39" s="7"/>
      <c r="AO39" s="7"/>
      <c r="AP39" s="7"/>
      <c r="AR39" s="496"/>
    </row>
    <row r="40" spans="1:44">
      <c r="A40" s="4" t="s">
        <v>346</v>
      </c>
      <c r="C40" s="419">
        <v>884.07485037724098</v>
      </c>
      <c r="D40" s="983">
        <f>$D$19</f>
        <v>12.77</v>
      </c>
      <c r="F40" s="490">
        <f>D40*C40</f>
        <v>11289.635839317367</v>
      </c>
      <c r="G40" s="983">
        <f ca="1">$G$19</f>
        <v>12.47</v>
      </c>
      <c r="I40" s="490">
        <f ca="1">(G40*$C40)</f>
        <v>11024.413384204196</v>
      </c>
      <c r="J40" s="490"/>
      <c r="K40" s="983" t="e">
        <f>K19</f>
        <v>#REF!</v>
      </c>
      <c r="M40" s="490" t="e">
        <f>K40*C40</f>
        <v>#REF!</v>
      </c>
      <c r="N40" s="490"/>
      <c r="O40" s="983" t="e">
        <f>O19</f>
        <v>#REF!</v>
      </c>
      <c r="Q40" s="490" t="e">
        <f>O40*C40</f>
        <v>#REF!</v>
      </c>
      <c r="R40" s="490"/>
      <c r="S40" s="983" t="e">
        <f>S19</f>
        <v>#REF!</v>
      </c>
      <c r="U40" s="490" t="e">
        <f>S40*C40</f>
        <v>#REF!</v>
      </c>
      <c r="V40" s="7"/>
      <c r="W40" s="165"/>
      <c r="X40" s="31"/>
      <c r="Y40" s="31"/>
      <c r="Z40" s="7"/>
      <c r="AA40" s="7"/>
      <c r="AB40" s="171"/>
      <c r="AC40" s="171"/>
      <c r="AD40" s="171"/>
      <c r="AE40" s="171"/>
      <c r="AF40" s="162"/>
      <c r="AG40" s="162"/>
      <c r="AH40" s="165"/>
      <c r="AI40" s="165"/>
      <c r="AJ40" s="165"/>
      <c r="AK40" s="165"/>
      <c r="AL40" s="7"/>
      <c r="AM40" s="7"/>
      <c r="AN40" s="7"/>
      <c r="AO40" s="7"/>
      <c r="AP40" s="7"/>
      <c r="AR40" s="496"/>
    </row>
    <row r="41" spans="1:44">
      <c r="A41" s="4" t="s">
        <v>347</v>
      </c>
      <c r="C41" s="419">
        <v>294.36487102534301</v>
      </c>
      <c r="D41" s="983">
        <f>$D$20</f>
        <v>18.759999999999998</v>
      </c>
      <c r="F41" s="490">
        <f>D41*C41</f>
        <v>5522.2849804354346</v>
      </c>
      <c r="G41" s="983">
        <f ca="1">$G$20</f>
        <v>18.319999999999997</v>
      </c>
      <c r="I41" s="490">
        <f ca="1">(G41*$C41)</f>
        <v>5392.7644371842825</v>
      </c>
      <c r="J41" s="490"/>
      <c r="K41" s="983" t="e">
        <f>K20</f>
        <v>#REF!</v>
      </c>
      <c r="M41" s="490" t="e">
        <f>K41*C41</f>
        <v>#REF!</v>
      </c>
      <c r="N41" s="490"/>
      <c r="O41" s="983" t="e">
        <f>O20</f>
        <v>#REF!</v>
      </c>
      <c r="Q41" s="490" t="e">
        <f>O41*C41</f>
        <v>#REF!</v>
      </c>
      <c r="R41" s="490"/>
      <c r="S41" s="983" t="e">
        <f>S20</f>
        <v>#REF!</v>
      </c>
      <c r="U41" s="490" t="e">
        <f>S41*C41</f>
        <v>#REF!</v>
      </c>
      <c r="V41" s="7"/>
      <c r="W41" s="165"/>
      <c r="X41" s="31"/>
      <c r="Y41" s="31"/>
      <c r="Z41" s="7"/>
      <c r="AA41" s="7"/>
      <c r="AB41" s="171"/>
      <c r="AC41" s="171"/>
      <c r="AD41" s="171"/>
      <c r="AE41" s="171"/>
      <c r="AF41" s="162"/>
      <c r="AG41" s="162"/>
      <c r="AH41" s="165"/>
      <c r="AI41" s="165"/>
      <c r="AJ41" s="165"/>
      <c r="AK41" s="165"/>
      <c r="AL41" s="7"/>
      <c r="AM41" s="7"/>
      <c r="AN41" s="7"/>
      <c r="AO41" s="7"/>
      <c r="AP41" s="7"/>
      <c r="AR41" s="496"/>
    </row>
    <row r="42" spans="1:44">
      <c r="A42" s="4" t="s">
        <v>348</v>
      </c>
      <c r="C42" s="419">
        <v>16.000389808823499</v>
      </c>
      <c r="D42" s="983">
        <f>$D$21</f>
        <v>30.28</v>
      </c>
      <c r="F42" s="490">
        <f>D42*C42</f>
        <v>484.49180341117557</v>
      </c>
      <c r="G42" s="983">
        <f ca="1">$G$21</f>
        <v>29.58</v>
      </c>
      <c r="I42" s="490">
        <f ca="1">(G42*$C42)</f>
        <v>473.29153054499909</v>
      </c>
      <c r="J42" s="490"/>
      <c r="K42" s="983" t="e">
        <f>K21</f>
        <v>#REF!</v>
      </c>
      <c r="M42" s="490" t="e">
        <f>K42*C42</f>
        <v>#REF!</v>
      </c>
      <c r="N42" s="490"/>
      <c r="O42" s="983" t="e">
        <f>O21</f>
        <v>#REF!</v>
      </c>
      <c r="Q42" s="490" t="e">
        <f>O42*C42</f>
        <v>#REF!</v>
      </c>
      <c r="R42" s="490"/>
      <c r="S42" s="983" t="e">
        <f>S21</f>
        <v>#REF!</v>
      </c>
      <c r="U42" s="490" t="e">
        <f>S42*C42</f>
        <v>#REF!</v>
      </c>
      <c r="V42" s="7"/>
      <c r="W42" s="165"/>
      <c r="X42" s="31"/>
      <c r="Y42" s="31"/>
      <c r="Z42" s="7"/>
      <c r="AA42" s="7"/>
      <c r="AB42" s="171"/>
      <c r="AC42" s="171"/>
      <c r="AD42" s="171"/>
      <c r="AE42" s="171"/>
      <c r="AF42" s="162"/>
      <c r="AG42" s="162"/>
      <c r="AH42" s="165"/>
      <c r="AI42" s="165"/>
      <c r="AJ42" s="165"/>
      <c r="AK42" s="165"/>
      <c r="AL42" s="7"/>
      <c r="AM42" s="7"/>
      <c r="AN42" s="7"/>
      <c r="AO42" s="7"/>
      <c r="AP42" s="7"/>
      <c r="AR42" s="496"/>
    </row>
    <row r="43" spans="1:44">
      <c r="A43" s="4" t="s">
        <v>349</v>
      </c>
      <c r="C43" s="419">
        <v>77.199528394163707</v>
      </c>
      <c r="D43" s="983">
        <f>$D$22</f>
        <v>1</v>
      </c>
      <c r="E43" s="7"/>
      <c r="F43" s="490">
        <f>D43*C43</f>
        <v>77.199528394163707</v>
      </c>
      <c r="G43" s="990">
        <f>$G$22</f>
        <v>1</v>
      </c>
      <c r="H43" s="7"/>
      <c r="I43" s="490">
        <f>(G43*$C43)</f>
        <v>77.199528394163707</v>
      </c>
      <c r="J43" s="490"/>
      <c r="K43" s="983" t="e">
        <f>K22</f>
        <v>#REF!</v>
      </c>
      <c r="L43" s="7"/>
      <c r="M43" s="490" t="e">
        <f>K43*C43</f>
        <v>#REF!</v>
      </c>
      <c r="N43" s="490"/>
      <c r="O43" s="983" t="e">
        <f>O22</f>
        <v>#REF!</v>
      </c>
      <c r="P43" s="7"/>
      <c r="Q43" s="490" t="e">
        <f>O43*C43</f>
        <v>#REF!</v>
      </c>
      <c r="R43" s="490"/>
      <c r="S43" s="983" t="e">
        <f>S22</f>
        <v>#REF!</v>
      </c>
      <c r="T43" s="7"/>
      <c r="U43" s="490" t="e">
        <f>S43*C43</f>
        <v>#REF!</v>
      </c>
      <c r="V43" s="162"/>
      <c r="W43" s="165"/>
      <c r="X43" s="31"/>
      <c r="Y43" s="31"/>
      <c r="Z43" s="7"/>
      <c r="AA43" s="7"/>
      <c r="AB43" s="162"/>
      <c r="AC43" s="162"/>
      <c r="AD43" s="162"/>
      <c r="AE43" s="162"/>
      <c r="AF43" s="162"/>
      <c r="AG43" s="162"/>
      <c r="AH43" s="165"/>
      <c r="AI43" s="165"/>
      <c r="AJ43" s="165"/>
      <c r="AK43" s="165"/>
      <c r="AL43" s="7"/>
      <c r="AM43" s="7"/>
      <c r="AN43" s="7"/>
      <c r="AO43" s="7"/>
      <c r="AP43" s="7"/>
      <c r="AR43" s="496"/>
    </row>
    <row r="44" spans="1:44" s="588" customFormat="1" hidden="1">
      <c r="A44" s="588" t="s">
        <v>768</v>
      </c>
      <c r="C44" s="631">
        <f>C46</f>
        <v>949541</v>
      </c>
      <c r="D44" s="983">
        <f>$D$23</f>
        <v>0</v>
      </c>
      <c r="E44" s="635"/>
      <c r="F44" s="616"/>
      <c r="G44" s="987">
        <f>G23</f>
        <v>0</v>
      </c>
      <c r="H44" s="592" t="s">
        <v>362</v>
      </c>
      <c r="I44" s="616">
        <f>G44*C44/100</f>
        <v>0</v>
      </c>
      <c r="J44" s="616"/>
      <c r="K44" s="987" t="str">
        <f>K23</f>
        <v xml:space="preserve"> </v>
      </c>
      <c r="L44" s="592" t="s">
        <v>362</v>
      </c>
      <c r="M44" s="616">
        <f>K44*C44</f>
        <v>0</v>
      </c>
      <c r="N44" s="616"/>
      <c r="O44" s="987" t="str">
        <f>O23</f>
        <v xml:space="preserve"> </v>
      </c>
      <c r="P44" s="592" t="s">
        <v>362</v>
      </c>
      <c r="Q44" s="490">
        <f>O44*C44</f>
        <v>0</v>
      </c>
      <c r="R44" s="616"/>
      <c r="S44" s="987">
        <f>S23</f>
        <v>0</v>
      </c>
      <c r="T44" s="592" t="s">
        <v>362</v>
      </c>
      <c r="U44" s="616">
        <f>S44*C44/100</f>
        <v>0</v>
      </c>
      <c r="W44" s="450"/>
      <c r="Z44" s="989"/>
      <c r="AA44" s="989"/>
      <c r="AF44" s="635"/>
      <c r="AG44" s="635"/>
      <c r="AH44" s="635"/>
      <c r="AI44" s="635"/>
      <c r="AJ44" s="635"/>
      <c r="AK44" s="635"/>
      <c r="AL44" s="635"/>
      <c r="AM44" s="635"/>
      <c r="AN44" s="635"/>
      <c r="AO44" s="635"/>
      <c r="AP44" s="635"/>
      <c r="AR44" s="988"/>
    </row>
    <row r="45" spans="1:44">
      <c r="A45" s="4" t="s">
        <v>350</v>
      </c>
      <c r="C45" s="419">
        <v>12430</v>
      </c>
      <c r="D45" s="983"/>
      <c r="F45" s="490"/>
      <c r="G45" s="983"/>
      <c r="I45" s="490"/>
      <c r="J45" s="490"/>
      <c r="K45" s="983"/>
      <c r="M45" s="490"/>
      <c r="N45" s="490"/>
      <c r="O45" s="983"/>
      <c r="Q45" s="490"/>
      <c r="R45" s="490"/>
      <c r="S45" s="983"/>
      <c r="U45" s="490"/>
      <c r="V45" s="162"/>
      <c r="W45" s="162"/>
      <c r="X45" s="162"/>
      <c r="Y45" s="162"/>
      <c r="Z45" s="162"/>
      <c r="AA45" s="162"/>
      <c r="AB45" s="162"/>
      <c r="AC45" s="162"/>
      <c r="AD45" s="162"/>
      <c r="AE45" s="162"/>
      <c r="AF45" s="162"/>
      <c r="AG45" s="162"/>
      <c r="AH45" s="172"/>
      <c r="AI45" s="162"/>
      <c r="AJ45" s="162"/>
      <c r="AK45" s="162"/>
      <c r="AL45" s="7"/>
      <c r="AM45" s="7"/>
      <c r="AN45" s="7"/>
      <c r="AO45" s="7"/>
      <c r="AP45" s="7"/>
      <c r="AR45" s="496"/>
    </row>
    <row r="46" spans="1:44">
      <c r="A46" s="4" t="s">
        <v>35</v>
      </c>
      <c r="C46" s="419">
        <v>949541</v>
      </c>
      <c r="D46" s="990"/>
      <c r="E46" s="7"/>
      <c r="F46" s="723">
        <f>SUM(F36:F43)</f>
        <v>148252.63468292812</v>
      </c>
      <c r="G46" s="990"/>
      <c r="H46" s="7"/>
      <c r="I46" s="723">
        <f ca="1">SUM(I36:I44)</f>
        <v>144818.12818105624</v>
      </c>
      <c r="J46" s="723"/>
      <c r="K46" s="990"/>
      <c r="L46" s="7"/>
      <c r="M46" s="723" t="e">
        <f>SUM(M36:M44)</f>
        <v>#REF!</v>
      </c>
      <c r="N46" s="723"/>
      <c r="O46" s="990"/>
      <c r="P46" s="7"/>
      <c r="Q46" s="723" t="e">
        <f>SUM(Q36:Q44)</f>
        <v>#REF!</v>
      </c>
      <c r="R46" s="723"/>
      <c r="S46" s="990"/>
      <c r="T46" s="7"/>
      <c r="U46" s="723" t="e">
        <f>SUM(U36:U44)</f>
        <v>#REF!</v>
      </c>
      <c r="V46" s="162"/>
      <c r="W46" s="171"/>
      <c r="X46" s="162"/>
      <c r="Y46" s="162"/>
      <c r="Z46" s="7"/>
      <c r="AA46" s="7"/>
      <c r="AB46" s="7"/>
      <c r="AC46" s="7"/>
      <c r="AD46" s="7"/>
      <c r="AE46" s="7"/>
      <c r="AF46" s="7"/>
      <c r="AG46" s="162"/>
      <c r="AH46" s="162"/>
      <c r="AI46" s="162"/>
      <c r="AJ46" s="162"/>
      <c r="AK46" s="162"/>
      <c r="AL46" s="7"/>
      <c r="AM46" s="7"/>
      <c r="AN46" s="7"/>
      <c r="AO46" s="7"/>
      <c r="AP46" s="7"/>
      <c r="AR46" s="496"/>
    </row>
    <row r="47" spans="1:44">
      <c r="A47" s="4" t="s">
        <v>351</v>
      </c>
      <c r="C47" s="419">
        <f>'Table 2'!H22</f>
        <v>-12137.764177561308</v>
      </c>
      <c r="D47" s="990"/>
      <c r="E47" s="7"/>
      <c r="F47" s="723">
        <f>'Table 3'!E22</f>
        <v>598.80194963053941</v>
      </c>
      <c r="G47" s="990"/>
      <c r="H47" s="7"/>
      <c r="I47" s="723">
        <f>F47</f>
        <v>598.80194963053941</v>
      </c>
      <c r="J47" s="723"/>
      <c r="K47" s="990"/>
      <c r="L47" s="7"/>
      <c r="M47" s="723" t="e">
        <f ca="1">M26/I26*I47</f>
        <v>#DIV/0!</v>
      </c>
      <c r="N47" s="723"/>
      <c r="O47" s="990"/>
      <c r="P47" s="7"/>
      <c r="Q47" s="723" t="e">
        <f ca="1">Q26/I26*I47</f>
        <v>#DIV/0!</v>
      </c>
      <c r="R47" s="723"/>
      <c r="S47" s="990"/>
      <c r="T47" s="7"/>
      <c r="U47" s="723" t="e">
        <f ca="1">U26/I26*I47</f>
        <v>#DIV/0!</v>
      </c>
      <c r="V47" s="714"/>
      <c r="W47" s="171"/>
      <c r="X47" s="162"/>
      <c r="Y47" s="162"/>
      <c r="Z47" s="162"/>
      <c r="AA47" s="162"/>
      <c r="AB47" s="167"/>
      <c r="AC47" s="167"/>
      <c r="AD47" s="167"/>
      <c r="AE47" s="167"/>
      <c r="AF47" s="165"/>
      <c r="AG47" s="162"/>
      <c r="AH47" s="162"/>
      <c r="AI47" s="162"/>
      <c r="AJ47" s="162"/>
      <c r="AK47" s="162"/>
      <c r="AL47" s="7"/>
      <c r="AM47" s="7"/>
      <c r="AN47" s="7"/>
      <c r="AO47" s="7"/>
      <c r="AP47" s="7"/>
      <c r="AR47" s="496"/>
    </row>
    <row r="48" spans="1:44" ht="16.5" thickBot="1">
      <c r="A48" s="4" t="s">
        <v>9</v>
      </c>
      <c r="C48" s="994">
        <f>C46+C47</f>
        <v>937403.23582243873</v>
      </c>
      <c r="D48" s="995"/>
      <c r="E48" s="996"/>
      <c r="F48" s="996">
        <f>F46+F47</f>
        <v>148851.43663255867</v>
      </c>
      <c r="G48" s="995"/>
      <c r="H48" s="996"/>
      <c r="I48" s="996">
        <f ca="1">I46+I47</f>
        <v>145416.93013068679</v>
      </c>
      <c r="J48" s="723"/>
      <c r="K48" s="995"/>
      <c r="L48" s="996"/>
      <c r="M48" s="996" t="e">
        <f ca="1">M46+M47</f>
        <v>#REF!</v>
      </c>
      <c r="N48" s="995"/>
      <c r="O48" s="995"/>
      <c r="P48" s="996"/>
      <c r="Q48" s="996" t="e">
        <f ca="1">Q46+Q47</f>
        <v>#REF!</v>
      </c>
      <c r="R48" s="995"/>
      <c r="S48" s="995"/>
      <c r="T48" s="996"/>
      <c r="U48" s="996" t="e">
        <f ca="1">U46+U47</f>
        <v>#REF!</v>
      </c>
      <c r="V48" s="295"/>
      <c r="W48" s="354"/>
      <c r="X48" s="162"/>
      <c r="Y48" s="162"/>
      <c r="Z48" s="162"/>
      <c r="AA48" s="162"/>
      <c r="AB48" s="162"/>
      <c r="AC48" s="162"/>
      <c r="AD48" s="162"/>
      <c r="AE48" s="162"/>
      <c r="AF48" s="162"/>
      <c r="AG48" s="162"/>
      <c r="AH48" s="162"/>
      <c r="AI48" s="162"/>
      <c r="AJ48" s="162"/>
      <c r="AK48" s="162"/>
      <c r="AL48" s="7"/>
      <c r="AM48" s="7"/>
      <c r="AN48" s="7"/>
      <c r="AO48" s="7"/>
      <c r="AP48" s="7"/>
      <c r="AR48" s="496"/>
    </row>
    <row r="49" spans="1:44" ht="16.5" thickTop="1">
      <c r="C49" s="61"/>
      <c r="D49" s="305" t="s">
        <v>31</v>
      </c>
      <c r="E49" s="61"/>
      <c r="F49" s="490"/>
      <c r="G49" s="305" t="s">
        <v>31</v>
      </c>
      <c r="H49" s="61"/>
      <c r="I49" s="490" t="s">
        <v>31</v>
      </c>
      <c r="J49" s="490"/>
      <c r="K49" s="305" t="s">
        <v>31</v>
      </c>
      <c r="L49" s="61"/>
      <c r="M49" s="490" t="s">
        <v>31</v>
      </c>
      <c r="N49" s="490"/>
      <c r="O49" s="305" t="s">
        <v>31</v>
      </c>
      <c r="P49" s="61"/>
      <c r="Q49" s="490" t="s">
        <v>31</v>
      </c>
      <c r="R49" s="490"/>
      <c r="S49" s="305" t="s">
        <v>31</v>
      </c>
      <c r="T49" s="61"/>
      <c r="U49" s="490" t="s">
        <v>31</v>
      </c>
      <c r="V49" s="7"/>
      <c r="W49" s="31"/>
      <c r="X49" s="31"/>
      <c r="Y49" s="31"/>
      <c r="Z49" s="7"/>
      <c r="AA49" s="7"/>
      <c r="AB49" s="7"/>
      <c r="AC49" s="7"/>
      <c r="AD49" s="7"/>
      <c r="AE49" s="7"/>
      <c r="AF49" s="7"/>
      <c r="AG49" s="162"/>
      <c r="AH49" s="162"/>
      <c r="AI49" s="162"/>
      <c r="AJ49" s="162"/>
      <c r="AK49" s="162"/>
      <c r="AL49" s="7"/>
      <c r="AM49" s="7"/>
      <c r="AN49" s="7"/>
      <c r="AO49" s="7"/>
      <c r="AP49" s="7"/>
      <c r="AR49" s="496"/>
    </row>
    <row r="50" spans="1:44">
      <c r="A50" s="4" t="s">
        <v>339</v>
      </c>
      <c r="F50" s="490"/>
      <c r="V50" s="7"/>
      <c r="W50" s="31"/>
      <c r="X50" s="31"/>
      <c r="Y50" s="31"/>
      <c r="Z50" s="7"/>
      <c r="AA50" s="7"/>
      <c r="AB50" s="7"/>
      <c r="AC50" s="7"/>
      <c r="AD50" s="7"/>
      <c r="AE50" s="7"/>
      <c r="AF50" s="7"/>
      <c r="AG50" s="162"/>
      <c r="AH50" s="162"/>
      <c r="AI50" s="162"/>
      <c r="AJ50" s="162"/>
      <c r="AK50" s="162"/>
      <c r="AL50" s="7"/>
      <c r="AM50" s="7"/>
      <c r="AN50" s="7"/>
      <c r="AO50" s="7"/>
      <c r="AP50" s="7"/>
      <c r="AR50" s="496"/>
    </row>
    <row r="51" spans="1:44">
      <c r="A51" s="4" t="s">
        <v>354</v>
      </c>
      <c r="F51" s="490"/>
      <c r="V51" s="162"/>
      <c r="W51" s="162"/>
      <c r="X51" s="162"/>
      <c r="Y51" s="162"/>
      <c r="Z51" s="162"/>
      <c r="AA51" s="162"/>
      <c r="AB51" s="162"/>
      <c r="AC51" s="162"/>
      <c r="AD51" s="162"/>
      <c r="AE51" s="162"/>
      <c r="AF51" s="162"/>
      <c r="AG51" s="162"/>
      <c r="AH51" s="162"/>
      <c r="AI51" s="162"/>
      <c r="AJ51" s="162"/>
      <c r="AK51" s="162"/>
      <c r="AL51" s="7"/>
      <c r="AM51" s="7"/>
      <c r="AN51" s="7"/>
      <c r="AO51" s="7"/>
      <c r="AP51" s="7"/>
      <c r="AR51" s="496"/>
    </row>
    <row r="52" spans="1:44">
      <c r="F52" s="490"/>
      <c r="V52" s="162"/>
      <c r="W52" s="162"/>
      <c r="X52" s="162"/>
      <c r="Y52" s="162"/>
      <c r="Z52" s="162"/>
      <c r="AA52" s="162"/>
      <c r="AB52" s="162"/>
      <c r="AC52" s="162"/>
      <c r="AD52" s="162"/>
      <c r="AE52" s="162"/>
      <c r="AF52" s="162"/>
      <c r="AG52" s="162"/>
      <c r="AH52" s="162"/>
      <c r="AI52" s="162"/>
      <c r="AJ52" s="162"/>
      <c r="AK52" s="162"/>
      <c r="AL52" s="7"/>
      <c r="AM52" s="7"/>
      <c r="AN52" s="7"/>
      <c r="AO52" s="7"/>
      <c r="AP52" s="7"/>
      <c r="AR52" s="496"/>
    </row>
    <row r="53" spans="1:44">
      <c r="A53" s="4" t="s">
        <v>341</v>
      </c>
      <c r="F53" s="490"/>
      <c r="V53" s="162"/>
      <c r="W53" s="162"/>
      <c r="X53" s="31"/>
      <c r="Y53" s="31"/>
      <c r="Z53" s="163"/>
      <c r="AA53" s="163"/>
      <c r="AB53" s="164"/>
      <c r="AC53" s="164"/>
      <c r="AD53" s="164"/>
      <c r="AE53" s="164"/>
      <c r="AF53" s="165"/>
      <c r="AG53" s="166"/>
      <c r="AH53" s="162"/>
      <c r="AI53" s="162"/>
      <c r="AJ53" s="162"/>
      <c r="AK53" s="162"/>
      <c r="AL53" s="7"/>
      <c r="AM53" s="7"/>
      <c r="AN53" s="7"/>
      <c r="AO53" s="7"/>
      <c r="AP53" s="7"/>
      <c r="AR53" s="496"/>
    </row>
    <row r="54" spans="1:44">
      <c r="A54" s="4" t="s">
        <v>342</v>
      </c>
      <c r="C54" s="419">
        <v>12566.369551280945</v>
      </c>
      <c r="D54" s="983">
        <f>$D$15</f>
        <v>11.24</v>
      </c>
      <c r="F54" s="490">
        <f>D54*C54</f>
        <v>141245.99375639783</v>
      </c>
      <c r="G54" s="983">
        <f ca="1">$G$15</f>
        <v>10.98</v>
      </c>
      <c r="I54" s="490">
        <f t="shared" ref="I54:I56" ca="1" si="1">(G54*$C54)</f>
        <v>137978.73767306478</v>
      </c>
      <c r="J54" s="490"/>
      <c r="K54" s="983" t="e">
        <f>K15</f>
        <v>#REF!</v>
      </c>
      <c r="M54" s="490" t="e">
        <f t="shared" ref="M54:M56" si="2">(K54*$C54)</f>
        <v>#REF!</v>
      </c>
      <c r="N54" s="490"/>
      <c r="O54" s="983" t="e">
        <f>O15</f>
        <v>#REF!</v>
      </c>
      <c r="Q54" s="490" t="e">
        <f t="shared" ref="Q54:Q56" si="3">(O54*$C54)</f>
        <v>#REF!</v>
      </c>
      <c r="R54" s="490"/>
      <c r="S54" s="983" t="e">
        <f>S15</f>
        <v>#REF!</v>
      </c>
      <c r="U54" s="490" t="e">
        <f t="shared" ref="U54:U56" si="4">(S54*$C54)</f>
        <v>#REF!</v>
      </c>
      <c r="V54" s="7"/>
      <c r="W54" s="165"/>
      <c r="X54" s="31"/>
      <c r="Y54" s="31"/>
      <c r="Z54" s="162"/>
      <c r="AA54" s="162"/>
      <c r="AB54" s="167"/>
      <c r="AC54" s="167"/>
      <c r="AD54" s="167"/>
      <c r="AE54" s="167"/>
      <c r="AF54" s="168"/>
      <c r="AG54" s="162"/>
      <c r="AH54" s="165"/>
      <c r="AI54" s="165"/>
      <c r="AJ54" s="165"/>
      <c r="AK54" s="165"/>
      <c r="AL54" s="7"/>
      <c r="AM54" s="7"/>
      <c r="AN54" s="7"/>
      <c r="AO54" s="7"/>
      <c r="AP54" s="7"/>
      <c r="AR54" s="496"/>
    </row>
    <row r="55" spans="1:44">
      <c r="A55" s="4" t="s">
        <v>343</v>
      </c>
      <c r="C55" s="419">
        <v>3293.5359317311968</v>
      </c>
      <c r="D55" s="983">
        <f>$D$16</f>
        <v>21.369999999999997</v>
      </c>
      <c r="F55" s="490">
        <f>D55*C55</f>
        <v>70382.862861095666</v>
      </c>
      <c r="G55" s="983">
        <f ca="1">$G$16</f>
        <v>20.869999999999997</v>
      </c>
      <c r="I55" s="490">
        <f t="shared" ca="1" si="1"/>
        <v>68736.094895230068</v>
      </c>
      <c r="J55" s="490"/>
      <c r="K55" s="983" t="e">
        <f>K16</f>
        <v>#REF!</v>
      </c>
      <c r="M55" s="490" t="e">
        <f t="shared" si="2"/>
        <v>#REF!</v>
      </c>
      <c r="N55" s="490"/>
      <c r="O55" s="983" t="e">
        <f>O16</f>
        <v>#REF!</v>
      </c>
      <c r="Q55" s="490" t="e">
        <f t="shared" si="3"/>
        <v>#REF!</v>
      </c>
      <c r="R55" s="490"/>
      <c r="S55" s="983" t="e">
        <f>S16</f>
        <v>#REF!</v>
      </c>
      <c r="U55" s="490" t="e">
        <f t="shared" si="4"/>
        <v>#REF!</v>
      </c>
      <c r="V55" s="7"/>
      <c r="W55" s="165"/>
      <c r="X55" s="31"/>
      <c r="Y55" s="31"/>
      <c r="Z55" s="7"/>
      <c r="AA55" s="7"/>
      <c r="AB55" s="171"/>
      <c r="AC55" s="171"/>
      <c r="AD55" s="171"/>
      <c r="AE55" s="171"/>
      <c r="AF55" s="162"/>
      <c r="AG55" s="162"/>
      <c r="AH55" s="165"/>
      <c r="AI55" s="165"/>
      <c r="AJ55" s="165"/>
      <c r="AK55" s="165"/>
      <c r="AL55" s="7"/>
      <c r="AM55" s="7"/>
      <c r="AN55" s="7"/>
      <c r="AO55" s="7"/>
      <c r="AP55" s="7"/>
      <c r="AR55" s="496"/>
    </row>
    <row r="56" spans="1:44">
      <c r="A56" s="4" t="s">
        <v>344</v>
      </c>
      <c r="C56" s="419">
        <v>405.76706071708702</v>
      </c>
      <c r="D56" s="983">
        <f>$D$17</f>
        <v>44.25</v>
      </c>
      <c r="F56" s="490">
        <f>D56*C56</f>
        <v>17955.1924367311</v>
      </c>
      <c r="G56" s="983">
        <f ca="1">$G$17</f>
        <v>43.23</v>
      </c>
      <c r="I56" s="490">
        <f t="shared" ca="1" si="1"/>
        <v>17541.31003479967</v>
      </c>
      <c r="J56" s="490"/>
      <c r="K56" s="983" t="e">
        <f>K17</f>
        <v>#REF!</v>
      </c>
      <c r="M56" s="490" t="e">
        <f t="shared" si="2"/>
        <v>#REF!</v>
      </c>
      <c r="N56" s="490"/>
      <c r="O56" s="983" t="e">
        <f>O17</f>
        <v>#REF!</v>
      </c>
      <c r="Q56" s="490" t="e">
        <f t="shared" si="3"/>
        <v>#REF!</v>
      </c>
      <c r="R56" s="490"/>
      <c r="S56" s="983" t="e">
        <f>S17</f>
        <v>#REF!</v>
      </c>
      <c r="U56" s="490" t="e">
        <f t="shared" si="4"/>
        <v>#REF!</v>
      </c>
      <c r="V56" s="7"/>
      <c r="W56" s="165"/>
      <c r="X56" s="31"/>
      <c r="Y56" s="31"/>
      <c r="Z56" s="7"/>
      <c r="AA56" s="7"/>
      <c r="AB56" s="171"/>
      <c r="AC56" s="171"/>
      <c r="AD56" s="171"/>
      <c r="AE56" s="171"/>
      <c r="AF56" s="162"/>
      <c r="AG56" s="162"/>
      <c r="AH56" s="165"/>
      <c r="AI56" s="165"/>
      <c r="AJ56" s="165"/>
      <c r="AK56" s="165"/>
      <c r="AL56" s="7"/>
      <c r="AM56" s="7"/>
      <c r="AN56" s="7"/>
      <c r="AO56" s="7"/>
      <c r="AP56" s="7"/>
      <c r="AR56" s="496"/>
    </row>
    <row r="57" spans="1:44">
      <c r="A57" s="4" t="s">
        <v>345</v>
      </c>
      <c r="C57" s="419"/>
      <c r="D57" s="983"/>
      <c r="F57" s="490"/>
      <c r="G57" s="983"/>
      <c r="I57" s="490"/>
      <c r="J57" s="490"/>
      <c r="K57" s="983"/>
      <c r="M57" s="490"/>
      <c r="N57" s="490"/>
      <c r="O57" s="983"/>
      <c r="Q57" s="490"/>
      <c r="R57" s="490"/>
      <c r="S57" s="983"/>
      <c r="U57" s="490"/>
      <c r="V57" s="7"/>
      <c r="W57" s="165"/>
      <c r="X57" s="31"/>
      <c r="Y57" s="31"/>
      <c r="Z57" s="7"/>
      <c r="AA57" s="7"/>
      <c r="AB57" s="171"/>
      <c r="AC57" s="171"/>
      <c r="AD57" s="171"/>
      <c r="AE57" s="171"/>
      <c r="AF57" s="162"/>
      <c r="AG57" s="162"/>
      <c r="AH57" s="165"/>
      <c r="AI57" s="165"/>
      <c r="AJ57" s="165"/>
      <c r="AK57" s="165"/>
      <c r="AL57" s="7"/>
      <c r="AM57" s="7"/>
      <c r="AN57" s="7"/>
      <c r="AO57" s="7"/>
      <c r="AP57" s="7"/>
      <c r="AR57" s="496"/>
    </row>
    <row r="58" spans="1:44">
      <c r="A58" s="4" t="s">
        <v>346</v>
      </c>
      <c r="C58" s="419">
        <v>1369.1694672420199</v>
      </c>
      <c r="D58" s="983">
        <f>$D$19</f>
        <v>12.77</v>
      </c>
      <c r="F58" s="490">
        <f>D58*C58</f>
        <v>17484.294096680595</v>
      </c>
      <c r="G58" s="983">
        <f ca="1">$G$19</f>
        <v>12.47</v>
      </c>
      <c r="I58" s="490">
        <f t="shared" ref="I58:I61" ca="1" si="5">(G58*$C58)</f>
        <v>17073.54325650799</v>
      </c>
      <c r="J58" s="490"/>
      <c r="K58" s="983" t="e">
        <f>K19</f>
        <v>#REF!</v>
      </c>
      <c r="M58" s="490" t="e">
        <f t="shared" ref="M58:M61" si="6">(K58*$C58)</f>
        <v>#REF!</v>
      </c>
      <c r="N58" s="490"/>
      <c r="O58" s="983" t="e">
        <f>O19</f>
        <v>#REF!</v>
      </c>
      <c r="Q58" s="490" t="e">
        <f t="shared" ref="Q58:Q61" si="7">(O58*$C58)</f>
        <v>#REF!</v>
      </c>
      <c r="R58" s="490"/>
      <c r="S58" s="983" t="e">
        <f>S19</f>
        <v>#REF!</v>
      </c>
      <c r="U58" s="490" t="e">
        <f t="shared" ref="U58:U61" si="8">(S58*$C58)</f>
        <v>#REF!</v>
      </c>
      <c r="V58" s="7"/>
      <c r="W58" s="165"/>
      <c r="X58" s="31"/>
      <c r="Y58" s="31"/>
      <c r="Z58" s="7"/>
      <c r="AA58" s="7"/>
      <c r="AB58" s="171"/>
      <c r="AC58" s="171"/>
      <c r="AD58" s="171"/>
      <c r="AE58" s="171"/>
      <c r="AF58" s="162"/>
      <c r="AG58" s="162"/>
      <c r="AH58" s="165"/>
      <c r="AI58" s="165"/>
      <c r="AJ58" s="165"/>
      <c r="AK58" s="165"/>
      <c r="AL58" s="7"/>
      <c r="AM58" s="7"/>
      <c r="AN58" s="7"/>
      <c r="AO58" s="7"/>
      <c r="AP58" s="7"/>
      <c r="AR58" s="496"/>
    </row>
    <row r="59" spans="1:44">
      <c r="A59" s="4" t="s">
        <v>347</v>
      </c>
      <c r="C59" s="419">
        <v>1493.9995461012199</v>
      </c>
      <c r="D59" s="983">
        <f>$D$20</f>
        <v>18.759999999999998</v>
      </c>
      <c r="F59" s="490">
        <f>D59*C59</f>
        <v>28027.431484858884</v>
      </c>
      <c r="G59" s="983">
        <f ca="1">$G$20</f>
        <v>18.319999999999997</v>
      </c>
      <c r="I59" s="490">
        <f t="shared" ca="1" si="5"/>
        <v>27370.071684574345</v>
      </c>
      <c r="J59" s="490"/>
      <c r="K59" s="983" t="e">
        <f>K20</f>
        <v>#REF!</v>
      </c>
      <c r="M59" s="490" t="e">
        <f t="shared" si="6"/>
        <v>#REF!</v>
      </c>
      <c r="N59" s="490"/>
      <c r="O59" s="983" t="e">
        <f>O20</f>
        <v>#REF!</v>
      </c>
      <c r="Q59" s="490" t="e">
        <f t="shared" si="7"/>
        <v>#REF!</v>
      </c>
      <c r="R59" s="490"/>
      <c r="S59" s="983" t="e">
        <f>S20</f>
        <v>#REF!</v>
      </c>
      <c r="U59" s="490" t="e">
        <f t="shared" si="8"/>
        <v>#REF!</v>
      </c>
      <c r="V59" s="7"/>
      <c r="W59" s="165"/>
      <c r="X59" s="31"/>
      <c r="Y59" s="31"/>
      <c r="Z59" s="7"/>
      <c r="AA59" s="7"/>
      <c r="AB59" s="171"/>
      <c r="AC59" s="171"/>
      <c r="AD59" s="171"/>
      <c r="AE59" s="171"/>
      <c r="AF59" s="162"/>
      <c r="AG59" s="162"/>
      <c r="AH59" s="165"/>
      <c r="AI59" s="165"/>
      <c r="AJ59" s="165"/>
      <c r="AK59" s="165"/>
      <c r="AL59" s="7"/>
      <c r="AM59" s="7"/>
      <c r="AN59" s="7"/>
      <c r="AO59" s="7"/>
      <c r="AP59" s="7"/>
      <c r="AR59" s="496"/>
    </row>
    <row r="60" spans="1:44">
      <c r="A60" s="4" t="s">
        <v>348</v>
      </c>
      <c r="C60" s="419">
        <v>554.79993383985504</v>
      </c>
      <c r="D60" s="983">
        <f>$D$21</f>
        <v>30.28</v>
      </c>
      <c r="F60" s="490">
        <f>D60*C60</f>
        <v>16799.34199667081</v>
      </c>
      <c r="G60" s="983">
        <f ca="1">$G$21</f>
        <v>29.58</v>
      </c>
      <c r="I60" s="490">
        <f t="shared" ca="1" si="5"/>
        <v>16410.982042982912</v>
      </c>
      <c r="J60" s="490"/>
      <c r="K60" s="983" t="e">
        <f>K21</f>
        <v>#REF!</v>
      </c>
      <c r="M60" s="490" t="e">
        <f t="shared" si="6"/>
        <v>#REF!</v>
      </c>
      <c r="N60" s="490"/>
      <c r="O60" s="983" t="e">
        <f>O21</f>
        <v>#REF!</v>
      </c>
      <c r="Q60" s="490" t="e">
        <f t="shared" si="7"/>
        <v>#REF!</v>
      </c>
      <c r="R60" s="490"/>
      <c r="S60" s="983" t="e">
        <f>S21</f>
        <v>#REF!</v>
      </c>
      <c r="U60" s="490" t="e">
        <f t="shared" si="8"/>
        <v>#REF!</v>
      </c>
      <c r="V60" s="7"/>
      <c r="W60" s="165"/>
      <c r="X60" s="31"/>
      <c r="Y60" s="31"/>
      <c r="Z60" s="7"/>
      <c r="AA60" s="7"/>
      <c r="AB60" s="171"/>
      <c r="AC60" s="171"/>
      <c r="AD60" s="171"/>
      <c r="AE60" s="171"/>
      <c r="AF60" s="162"/>
      <c r="AG60" s="162"/>
      <c r="AH60" s="165"/>
      <c r="AI60" s="165"/>
      <c r="AJ60" s="165"/>
      <c r="AK60" s="165"/>
      <c r="AL60" s="7"/>
      <c r="AM60" s="7"/>
      <c r="AN60" s="7"/>
      <c r="AO60" s="7"/>
      <c r="AP60" s="7"/>
      <c r="AR60" s="496"/>
    </row>
    <row r="61" spans="1:44">
      <c r="A61" s="4" t="s">
        <v>349</v>
      </c>
      <c r="C61" s="419">
        <v>287.93215144453592</v>
      </c>
      <c r="D61" s="983">
        <f>$D$22</f>
        <v>1</v>
      </c>
      <c r="E61" s="7"/>
      <c r="F61" s="490">
        <f>D61*C61</f>
        <v>287.93215144453592</v>
      </c>
      <c r="G61" s="990">
        <f>$G$22</f>
        <v>1</v>
      </c>
      <c r="H61" s="7"/>
      <c r="I61" s="490">
        <f t="shared" si="5"/>
        <v>287.93215144453592</v>
      </c>
      <c r="J61" s="490"/>
      <c r="K61" s="983" t="e">
        <f>K22</f>
        <v>#REF!</v>
      </c>
      <c r="L61" s="7"/>
      <c r="M61" s="490" t="e">
        <f t="shared" si="6"/>
        <v>#REF!</v>
      </c>
      <c r="N61" s="490"/>
      <c r="O61" s="983" t="e">
        <f>O22</f>
        <v>#REF!</v>
      </c>
      <c r="P61" s="7"/>
      <c r="Q61" s="490" t="e">
        <f t="shared" si="7"/>
        <v>#REF!</v>
      </c>
      <c r="R61" s="490"/>
      <c r="S61" s="983" t="e">
        <f>S22</f>
        <v>#REF!</v>
      </c>
      <c r="T61" s="7"/>
      <c r="U61" s="490" t="e">
        <f t="shared" si="8"/>
        <v>#REF!</v>
      </c>
      <c r="V61" s="162"/>
      <c r="W61" s="165"/>
      <c r="X61" s="31"/>
      <c r="Y61" s="31"/>
      <c r="Z61" s="7"/>
      <c r="AA61" s="7"/>
      <c r="AB61" s="162"/>
      <c r="AC61" s="162"/>
      <c r="AD61" s="162"/>
      <c r="AE61" s="162"/>
      <c r="AF61" s="162"/>
      <c r="AG61" s="162"/>
      <c r="AH61" s="165"/>
      <c r="AI61" s="165"/>
      <c r="AJ61" s="165"/>
      <c r="AK61" s="165"/>
      <c r="AL61" s="7"/>
      <c r="AM61" s="7"/>
      <c r="AN61" s="7"/>
      <c r="AO61" s="7"/>
      <c r="AP61" s="7"/>
      <c r="AR61" s="496"/>
    </row>
    <row r="62" spans="1:44" s="588" customFormat="1" hidden="1">
      <c r="A62" s="588" t="s">
        <v>768</v>
      </c>
      <c r="C62" s="631">
        <f>C64</f>
        <v>1957121.5</v>
      </c>
      <c r="D62" s="983">
        <f>$D$23</f>
        <v>0</v>
      </c>
      <c r="E62" s="635"/>
      <c r="F62" s="616"/>
      <c r="G62" s="987">
        <f>G23</f>
        <v>0</v>
      </c>
      <c r="H62" s="592" t="s">
        <v>362</v>
      </c>
      <c r="I62" s="616">
        <f>G62*C62/100</f>
        <v>0</v>
      </c>
      <c r="J62" s="616"/>
      <c r="K62" s="987" t="str">
        <f>K23</f>
        <v xml:space="preserve"> </v>
      </c>
      <c r="L62" s="592" t="s">
        <v>362</v>
      </c>
      <c r="M62" s="616" t="e">
        <f>K62*#REF!/100</f>
        <v>#REF!</v>
      </c>
      <c r="N62" s="616"/>
      <c r="O62" s="987" t="str">
        <f>O23</f>
        <v xml:space="preserve"> </v>
      </c>
      <c r="P62" s="592" t="s">
        <v>362</v>
      </c>
      <c r="Q62" s="616">
        <f>O62*G62/100</f>
        <v>0</v>
      </c>
      <c r="R62" s="616"/>
      <c r="S62" s="987">
        <f>S23</f>
        <v>0</v>
      </c>
      <c r="T62" s="592" t="s">
        <v>362</v>
      </c>
      <c r="U62" s="616">
        <f>S62*C62/100</f>
        <v>0</v>
      </c>
      <c r="W62" s="450"/>
      <c r="Z62" s="989"/>
      <c r="AA62" s="989"/>
      <c r="AF62" s="635"/>
      <c r="AG62" s="635"/>
      <c r="AH62" s="635"/>
      <c r="AI62" s="635"/>
      <c r="AJ62" s="635"/>
      <c r="AK62" s="635"/>
      <c r="AL62" s="635"/>
      <c r="AM62" s="635"/>
      <c r="AN62" s="635"/>
      <c r="AO62" s="635"/>
      <c r="AP62" s="635"/>
      <c r="AR62" s="988"/>
    </row>
    <row r="63" spans="1:44">
      <c r="A63" s="4" t="s">
        <v>350</v>
      </c>
      <c r="C63" s="419">
        <v>14844</v>
      </c>
      <c r="D63" s="983"/>
      <c r="F63" s="490"/>
      <c r="G63" s="983"/>
      <c r="I63" s="490"/>
      <c r="J63" s="490"/>
      <c r="K63" s="983"/>
      <c r="M63" s="490"/>
      <c r="N63" s="490"/>
      <c r="O63" s="983"/>
      <c r="Q63" s="490"/>
      <c r="R63" s="490"/>
      <c r="S63" s="983"/>
      <c r="U63" s="490"/>
      <c r="V63" s="162"/>
      <c r="W63" s="162"/>
      <c r="X63" s="162"/>
      <c r="Y63" s="162"/>
      <c r="Z63" s="162"/>
      <c r="AA63" s="162"/>
      <c r="AB63" s="162"/>
      <c r="AC63" s="162"/>
      <c r="AD63" s="162"/>
      <c r="AE63" s="162"/>
      <c r="AF63" s="162"/>
      <c r="AG63" s="162"/>
      <c r="AH63" s="172"/>
      <c r="AI63" s="162"/>
      <c r="AJ63" s="162"/>
      <c r="AK63" s="162"/>
      <c r="AL63" s="7"/>
      <c r="AM63" s="7"/>
      <c r="AN63" s="7"/>
      <c r="AO63" s="7"/>
      <c r="AP63" s="7"/>
      <c r="AR63" s="496"/>
    </row>
    <row r="64" spans="1:44">
      <c r="A64" s="4" t="s">
        <v>35</v>
      </c>
      <c r="C64" s="419">
        <v>1957121.5</v>
      </c>
      <c r="D64" s="990"/>
      <c r="E64" s="7"/>
      <c r="F64" s="723">
        <f>SUM(F54:F61)</f>
        <v>292183.04878387944</v>
      </c>
      <c r="G64" s="990"/>
      <c r="H64" s="7"/>
      <c r="I64" s="723">
        <f ca="1">SUM(I54:I62)</f>
        <v>285398.67173860426</v>
      </c>
      <c r="J64" s="723"/>
      <c r="K64" s="990"/>
      <c r="L64" s="7"/>
      <c r="M64" s="723" t="e">
        <f>SUM(M54:M62)</f>
        <v>#REF!</v>
      </c>
      <c r="N64" s="723"/>
      <c r="O64" s="990"/>
      <c r="P64" s="7"/>
      <c r="Q64" s="723" t="e">
        <f>SUM(Q54:Q62)</f>
        <v>#REF!</v>
      </c>
      <c r="R64" s="723"/>
      <c r="S64" s="990"/>
      <c r="T64" s="7"/>
      <c r="U64" s="723" t="e">
        <f>SUM(U54:U62)</f>
        <v>#REF!</v>
      </c>
      <c r="V64" s="162"/>
      <c r="W64" s="171"/>
      <c r="X64" s="162"/>
      <c r="Y64" s="162"/>
      <c r="Z64" s="7"/>
      <c r="AA64" s="7"/>
      <c r="AB64" s="7"/>
      <c r="AC64" s="7"/>
      <c r="AD64" s="7"/>
      <c r="AE64" s="7"/>
      <c r="AF64" s="7"/>
      <c r="AG64" s="162"/>
      <c r="AH64" s="162"/>
      <c r="AI64" s="162"/>
      <c r="AJ64" s="162"/>
      <c r="AK64" s="162"/>
      <c r="AL64" s="7"/>
      <c r="AM64" s="7"/>
      <c r="AN64" s="7"/>
      <c r="AO64" s="7"/>
      <c r="AP64" s="7"/>
      <c r="AR64" s="496"/>
    </row>
    <row r="65" spans="1:44">
      <c r="A65" s="4" t="s">
        <v>351</v>
      </c>
      <c r="C65" s="419">
        <f>'Table 2'!H52</f>
        <v>17774.667566918739</v>
      </c>
      <c r="D65" s="990"/>
      <c r="E65" s="7"/>
      <c r="F65" s="723">
        <f>'Table 3'!E52</f>
        <v>3798.4739986978907</v>
      </c>
      <c r="G65" s="990"/>
      <c r="H65" s="7"/>
      <c r="I65" s="723">
        <f>F65</f>
        <v>3798.4739986978907</v>
      </c>
      <c r="J65" s="723"/>
      <c r="K65" s="990"/>
      <c r="L65" s="7"/>
      <c r="M65" s="723" t="e">
        <f ca="1">M26/I26*I65</f>
        <v>#DIV/0!</v>
      </c>
      <c r="N65" s="723"/>
      <c r="O65" s="990"/>
      <c r="P65" s="7"/>
      <c r="Q65" s="723" t="e">
        <f ca="1">Q26/I26*I65</f>
        <v>#DIV/0!</v>
      </c>
      <c r="R65" s="723"/>
      <c r="S65" s="990"/>
      <c r="T65" s="7"/>
      <c r="U65" s="723" t="e">
        <f ca="1">U26/I26*I65</f>
        <v>#DIV/0!</v>
      </c>
      <c r="V65" s="714"/>
      <c r="W65" s="171"/>
      <c r="X65" s="162"/>
      <c r="Y65" s="162"/>
      <c r="Z65" s="162"/>
      <c r="AA65" s="162"/>
      <c r="AB65" s="167"/>
      <c r="AC65" s="167"/>
      <c r="AD65" s="167"/>
      <c r="AE65" s="167"/>
      <c r="AF65" s="165"/>
      <c r="AG65" s="162"/>
      <c r="AH65" s="162"/>
      <c r="AI65" s="162"/>
      <c r="AJ65" s="162"/>
      <c r="AK65" s="162"/>
      <c r="AL65" s="7"/>
      <c r="AM65" s="7"/>
      <c r="AN65" s="7"/>
      <c r="AO65" s="7"/>
      <c r="AP65" s="7"/>
      <c r="AR65" s="496"/>
    </row>
    <row r="66" spans="1:44" ht="16.5" thickBot="1">
      <c r="A66" s="4" t="s">
        <v>9</v>
      </c>
      <c r="C66" s="994">
        <f>C64+C65</f>
        <v>1974896.1675669188</v>
      </c>
      <c r="D66" s="995"/>
      <c r="E66" s="996"/>
      <c r="F66" s="996">
        <f>F64+F65</f>
        <v>295981.52278257732</v>
      </c>
      <c r="G66" s="995"/>
      <c r="H66" s="996"/>
      <c r="I66" s="996">
        <f ca="1">I64+I65</f>
        <v>289197.14573730214</v>
      </c>
      <c r="J66" s="723"/>
      <c r="K66" s="995"/>
      <c r="L66" s="996"/>
      <c r="M66" s="996" t="e">
        <f ca="1">M64+M65</f>
        <v>#REF!</v>
      </c>
      <c r="N66" s="995"/>
      <c r="O66" s="995"/>
      <c r="P66" s="996"/>
      <c r="Q66" s="996" t="e">
        <f ca="1">Q64+Q65</f>
        <v>#REF!</v>
      </c>
      <c r="R66" s="995"/>
      <c r="S66" s="995"/>
      <c r="T66" s="996"/>
      <c r="U66" s="996" t="e">
        <f ca="1">U64+U65</f>
        <v>#REF!</v>
      </c>
      <c r="V66" s="295"/>
      <c r="W66" s="354"/>
      <c r="X66" s="162"/>
      <c r="Y66" s="162"/>
      <c r="Z66" s="162"/>
      <c r="AA66" s="162"/>
      <c r="AB66" s="162"/>
      <c r="AC66" s="162"/>
      <c r="AD66" s="162"/>
      <c r="AE66" s="162"/>
      <c r="AF66" s="162"/>
      <c r="AG66" s="162"/>
      <c r="AH66" s="162"/>
      <c r="AI66" s="162"/>
      <c r="AJ66" s="162"/>
      <c r="AK66" s="162"/>
      <c r="AL66" s="7"/>
      <c r="AM66" s="7"/>
      <c r="AN66" s="7"/>
      <c r="AO66" s="7"/>
      <c r="AP66" s="7"/>
      <c r="AR66" s="496"/>
    </row>
    <row r="67" spans="1:44" ht="16.5" thickTop="1">
      <c r="C67" s="61"/>
      <c r="D67" s="305" t="s">
        <v>31</v>
      </c>
      <c r="E67" s="61"/>
      <c r="F67" s="490"/>
      <c r="G67" s="305" t="s">
        <v>31</v>
      </c>
      <c r="H67" s="61"/>
      <c r="I67" s="490" t="s">
        <v>31</v>
      </c>
      <c r="J67" s="490"/>
      <c r="K67" s="305" t="s">
        <v>31</v>
      </c>
      <c r="L67" s="61"/>
      <c r="M67" s="490" t="s">
        <v>31</v>
      </c>
      <c r="N67" s="490"/>
      <c r="O67" s="305" t="s">
        <v>31</v>
      </c>
      <c r="P67" s="61"/>
      <c r="Q67" s="490" t="s">
        <v>31</v>
      </c>
      <c r="R67" s="490"/>
      <c r="S67" s="305" t="s">
        <v>31</v>
      </c>
      <c r="T67" s="61"/>
      <c r="U67" s="490" t="s">
        <v>31</v>
      </c>
      <c r="V67" s="7"/>
      <c r="W67" s="31"/>
      <c r="X67" s="31"/>
      <c r="Y67" s="31"/>
      <c r="Z67" s="7"/>
      <c r="AA67" s="7"/>
      <c r="AB67" s="7"/>
      <c r="AC67" s="7"/>
      <c r="AD67" s="7"/>
      <c r="AE67" s="7"/>
      <c r="AF67" s="7"/>
      <c r="AG67" s="7"/>
      <c r="AH67" s="7"/>
      <c r="AI67" s="7"/>
      <c r="AJ67" s="7"/>
      <c r="AK67" s="7"/>
      <c r="AL67" s="7"/>
      <c r="AM67" s="7"/>
      <c r="AN67" s="7"/>
      <c r="AO67" s="7"/>
      <c r="AP67" s="7"/>
      <c r="AR67" s="496"/>
    </row>
    <row r="68" spans="1:44">
      <c r="A68" s="4" t="s">
        <v>339</v>
      </c>
      <c r="F68" s="490"/>
      <c r="V68" s="7"/>
      <c r="W68" s="31"/>
      <c r="X68" s="31"/>
      <c r="Y68" s="31"/>
      <c r="Z68" s="7"/>
      <c r="AA68" s="7"/>
      <c r="AB68" s="7"/>
      <c r="AC68" s="7"/>
      <c r="AD68" s="7"/>
      <c r="AE68" s="7"/>
      <c r="AF68" s="7"/>
      <c r="AG68" s="7"/>
      <c r="AH68" s="7"/>
      <c r="AI68" s="7"/>
      <c r="AJ68" s="7"/>
      <c r="AK68" s="7"/>
      <c r="AL68" s="7"/>
      <c r="AM68" s="7"/>
      <c r="AN68" s="7"/>
      <c r="AO68" s="7"/>
      <c r="AP68" s="7"/>
      <c r="AR68" s="496"/>
    </row>
    <row r="69" spans="1:44">
      <c r="A69" s="4" t="s">
        <v>355</v>
      </c>
      <c r="F69" s="490"/>
      <c r="V69" s="162"/>
      <c r="W69" s="162"/>
      <c r="X69" s="162"/>
      <c r="Y69" s="162"/>
      <c r="Z69" s="162"/>
      <c r="AA69" s="162"/>
      <c r="AB69" s="162"/>
      <c r="AC69" s="162"/>
      <c r="AD69" s="162"/>
      <c r="AE69" s="162"/>
      <c r="AF69" s="162"/>
      <c r="AG69" s="162"/>
      <c r="AH69" s="162"/>
      <c r="AI69" s="162"/>
      <c r="AJ69" s="162"/>
      <c r="AK69" s="162"/>
      <c r="AL69" s="7"/>
      <c r="AM69" s="7"/>
      <c r="AN69" s="7"/>
      <c r="AO69" s="7"/>
      <c r="AP69" s="7"/>
      <c r="AR69" s="496"/>
    </row>
    <row r="70" spans="1:44">
      <c r="F70" s="490"/>
      <c r="V70" s="162"/>
      <c r="W70" s="162"/>
      <c r="X70" s="162"/>
      <c r="Y70" s="162"/>
      <c r="Z70" s="162"/>
      <c r="AA70" s="162"/>
      <c r="AB70" s="162"/>
      <c r="AC70" s="162"/>
      <c r="AD70" s="162"/>
      <c r="AE70" s="162"/>
      <c r="AF70" s="162"/>
      <c r="AG70" s="162"/>
      <c r="AH70" s="162"/>
      <c r="AI70" s="162"/>
      <c r="AJ70" s="162"/>
      <c r="AK70" s="162"/>
      <c r="AL70" s="7"/>
      <c r="AM70" s="7"/>
      <c r="AN70" s="7"/>
      <c r="AO70" s="7"/>
      <c r="AP70" s="7"/>
      <c r="AR70" s="496"/>
    </row>
    <row r="71" spans="1:44">
      <c r="A71" s="4" t="s">
        <v>341</v>
      </c>
      <c r="F71" s="490"/>
      <c r="V71" s="162"/>
      <c r="W71" s="162"/>
      <c r="X71" s="31"/>
      <c r="Y71" s="31"/>
      <c r="Z71" s="163"/>
      <c r="AA71" s="163"/>
      <c r="AB71" s="164"/>
      <c r="AC71" s="164"/>
      <c r="AD71" s="164"/>
      <c r="AE71" s="164"/>
      <c r="AF71" s="165"/>
      <c r="AG71" s="166"/>
      <c r="AH71" s="162"/>
      <c r="AI71" s="162"/>
      <c r="AJ71" s="162"/>
      <c r="AK71" s="162"/>
      <c r="AL71" s="7"/>
      <c r="AM71" s="7"/>
      <c r="AN71" s="7"/>
      <c r="AO71" s="7"/>
      <c r="AP71" s="7"/>
      <c r="AR71" s="496"/>
    </row>
    <row r="72" spans="1:44">
      <c r="A72" s="4" t="s">
        <v>342</v>
      </c>
      <c r="C72" s="419">
        <v>551.99995142589091</v>
      </c>
      <c r="D72" s="983">
        <f>$D$15</f>
        <v>11.24</v>
      </c>
      <c r="F72" s="490">
        <f>D72*C72</f>
        <v>6204.4794540270141</v>
      </c>
      <c r="G72" s="983">
        <f ca="1">$G$15</f>
        <v>10.98</v>
      </c>
      <c r="I72" s="490">
        <f t="shared" ref="I72:I74" ca="1" si="9">(G72*$C72)</f>
        <v>6060.9594666562825</v>
      </c>
      <c r="J72" s="490"/>
      <c r="K72" s="983" t="e">
        <f>K15</f>
        <v>#REF!</v>
      </c>
      <c r="M72" s="490" t="e">
        <f t="shared" ref="M72:M74" si="10">(K72*$C72)</f>
        <v>#REF!</v>
      </c>
      <c r="N72" s="490"/>
      <c r="O72" s="983" t="e">
        <f>O15</f>
        <v>#REF!</v>
      </c>
      <c r="Q72" s="490" t="e">
        <f t="shared" ref="Q72:Q74" si="11">(O72*$C72)</f>
        <v>#REF!</v>
      </c>
      <c r="R72" s="490"/>
      <c r="S72" s="983" t="e">
        <f>S15</f>
        <v>#REF!</v>
      </c>
      <c r="U72" s="490" t="e">
        <f t="shared" ref="U72:U74" si="12">(S72*$C72)</f>
        <v>#REF!</v>
      </c>
      <c r="V72" s="7"/>
      <c r="W72" s="165"/>
      <c r="X72" s="31"/>
      <c r="Y72" s="31"/>
      <c r="Z72" s="162"/>
      <c r="AA72" s="162"/>
      <c r="AB72" s="167"/>
      <c r="AC72" s="167"/>
      <c r="AD72" s="167"/>
      <c r="AE72" s="167"/>
      <c r="AF72" s="168"/>
      <c r="AG72" s="162"/>
      <c r="AH72" s="165"/>
      <c r="AI72" s="165"/>
      <c r="AJ72" s="165"/>
      <c r="AK72" s="165"/>
      <c r="AL72" s="7"/>
      <c r="AM72" s="7"/>
      <c r="AN72" s="7"/>
      <c r="AO72" s="7"/>
      <c r="AP72" s="7"/>
      <c r="AR72" s="496"/>
    </row>
    <row r="73" spans="1:44">
      <c r="A73" s="4" t="s">
        <v>343</v>
      </c>
      <c r="C73" s="419">
        <v>335.99918420227903</v>
      </c>
      <c r="D73" s="983">
        <f>$D$16</f>
        <v>21.369999999999997</v>
      </c>
      <c r="F73" s="490">
        <f>D73*C73</f>
        <v>7180.3025664027018</v>
      </c>
      <c r="G73" s="983">
        <f ca="1">$G$16</f>
        <v>20.869999999999997</v>
      </c>
      <c r="I73" s="490">
        <f t="shared" ca="1" si="9"/>
        <v>7012.3029743015622</v>
      </c>
      <c r="J73" s="490"/>
      <c r="K73" s="983" t="e">
        <f>K16</f>
        <v>#REF!</v>
      </c>
      <c r="M73" s="490" t="e">
        <f t="shared" si="10"/>
        <v>#REF!</v>
      </c>
      <c r="N73" s="490"/>
      <c r="O73" s="983" t="e">
        <f>O16</f>
        <v>#REF!</v>
      </c>
      <c r="Q73" s="490" t="e">
        <f t="shared" si="11"/>
        <v>#REF!</v>
      </c>
      <c r="R73" s="490"/>
      <c r="S73" s="983" t="e">
        <f>S16</f>
        <v>#REF!</v>
      </c>
      <c r="U73" s="490" t="e">
        <f t="shared" si="12"/>
        <v>#REF!</v>
      </c>
      <c r="V73" s="7"/>
      <c r="W73" s="165"/>
      <c r="X73" s="31"/>
      <c r="Y73" s="31"/>
      <c r="Z73" s="7"/>
      <c r="AA73" s="7"/>
      <c r="AB73" s="171"/>
      <c r="AC73" s="171"/>
      <c r="AD73" s="171"/>
      <c r="AE73" s="171"/>
      <c r="AF73" s="162"/>
      <c r="AG73" s="162"/>
      <c r="AH73" s="165"/>
      <c r="AI73" s="165"/>
      <c r="AJ73" s="165"/>
      <c r="AK73" s="165"/>
      <c r="AL73" s="7"/>
      <c r="AM73" s="7"/>
      <c r="AN73" s="7"/>
      <c r="AO73" s="7"/>
      <c r="AP73" s="7"/>
      <c r="AR73" s="496"/>
    </row>
    <row r="74" spans="1:44">
      <c r="A74" s="4" t="s">
        <v>344</v>
      </c>
      <c r="C74" s="419">
        <v>36.000014910343303</v>
      </c>
      <c r="D74" s="983">
        <f>$D$17</f>
        <v>44.25</v>
      </c>
      <c r="F74" s="490">
        <f>D74*C74</f>
        <v>1593.0006597826912</v>
      </c>
      <c r="G74" s="983">
        <f ca="1">$G$17</f>
        <v>43.23</v>
      </c>
      <c r="I74" s="490">
        <f t="shared" ca="1" si="9"/>
        <v>1556.280644574141</v>
      </c>
      <c r="J74" s="490"/>
      <c r="K74" s="983" t="e">
        <f>K17</f>
        <v>#REF!</v>
      </c>
      <c r="M74" s="490" t="e">
        <f t="shared" si="10"/>
        <v>#REF!</v>
      </c>
      <c r="N74" s="490"/>
      <c r="O74" s="983" t="e">
        <f>O17</f>
        <v>#REF!</v>
      </c>
      <c r="Q74" s="490" t="e">
        <f t="shared" si="11"/>
        <v>#REF!</v>
      </c>
      <c r="R74" s="490"/>
      <c r="S74" s="983" t="e">
        <f>S17</f>
        <v>#REF!</v>
      </c>
      <c r="U74" s="490" t="e">
        <f t="shared" si="12"/>
        <v>#REF!</v>
      </c>
      <c r="V74" s="7"/>
      <c r="W74" s="165"/>
      <c r="X74" s="31"/>
      <c r="Y74" s="31"/>
      <c r="Z74" s="7"/>
      <c r="AA74" s="7"/>
      <c r="AB74" s="171"/>
      <c r="AC74" s="171"/>
      <c r="AD74" s="171"/>
      <c r="AE74" s="171"/>
      <c r="AF74" s="162"/>
      <c r="AG74" s="162"/>
      <c r="AH74" s="165"/>
      <c r="AI74" s="165"/>
      <c r="AJ74" s="165"/>
      <c r="AK74" s="165"/>
      <c r="AL74" s="7"/>
      <c r="AM74" s="7"/>
      <c r="AN74" s="7"/>
      <c r="AO74" s="7"/>
      <c r="AP74" s="7"/>
      <c r="AR74" s="496"/>
    </row>
    <row r="75" spans="1:44">
      <c r="A75" s="4" t="s">
        <v>345</v>
      </c>
      <c r="C75" s="419"/>
      <c r="D75" s="983"/>
      <c r="F75" s="490"/>
      <c r="G75" s="983"/>
      <c r="I75" s="490"/>
      <c r="J75" s="490"/>
      <c r="K75" s="983"/>
      <c r="M75" s="490"/>
      <c r="N75" s="490"/>
      <c r="O75" s="983"/>
      <c r="Q75" s="490"/>
      <c r="R75" s="490"/>
      <c r="S75" s="983"/>
      <c r="U75" s="490"/>
      <c r="V75" s="7"/>
      <c r="W75" s="165"/>
      <c r="X75" s="31"/>
      <c r="Y75" s="31"/>
      <c r="Z75" s="7"/>
      <c r="AA75" s="7"/>
      <c r="AB75" s="171"/>
      <c r="AC75" s="171"/>
      <c r="AD75" s="171"/>
      <c r="AE75" s="171"/>
      <c r="AF75" s="162"/>
      <c r="AG75" s="162"/>
      <c r="AH75" s="165"/>
      <c r="AI75" s="165"/>
      <c r="AJ75" s="165"/>
      <c r="AK75" s="165"/>
      <c r="AL75" s="7"/>
      <c r="AM75" s="7"/>
      <c r="AN75" s="7"/>
      <c r="AO75" s="7"/>
      <c r="AP75" s="7"/>
      <c r="AR75" s="496"/>
    </row>
    <row r="76" spans="1:44">
      <c r="A76" s="4" t="s">
        <v>346</v>
      </c>
      <c r="C76" s="419">
        <v>11.9998966450847</v>
      </c>
      <c r="D76" s="983">
        <f>$D$19</f>
        <v>12.77</v>
      </c>
      <c r="F76" s="490">
        <f>D76*C76</f>
        <v>153.23868015773161</v>
      </c>
      <c r="G76" s="983">
        <f ca="1">$G$19</f>
        <v>12.47</v>
      </c>
      <c r="I76" s="490">
        <f t="shared" ref="I76:I79" ca="1" si="13">(G76*$C76)</f>
        <v>149.63871116420623</v>
      </c>
      <c r="J76" s="490"/>
      <c r="K76" s="983" t="e">
        <f>K19</f>
        <v>#REF!</v>
      </c>
      <c r="M76" s="490" t="e">
        <f t="shared" ref="M76:M79" si="14">(K76*$C76)</f>
        <v>#REF!</v>
      </c>
      <c r="N76" s="490"/>
      <c r="O76" s="983" t="e">
        <f>O19</f>
        <v>#REF!</v>
      </c>
      <c r="Q76" s="490" t="e">
        <f t="shared" ref="Q76:Q79" si="15">(O76*$C76)</f>
        <v>#REF!</v>
      </c>
      <c r="R76" s="490"/>
      <c r="S76" s="983" t="e">
        <f>S19</f>
        <v>#REF!</v>
      </c>
      <c r="U76" s="490" t="e">
        <f t="shared" ref="U76:U79" si="16">(S76*$C76)</f>
        <v>#REF!</v>
      </c>
      <c r="V76" s="7"/>
      <c r="W76" s="165"/>
      <c r="X76" s="31"/>
      <c r="Y76" s="31"/>
      <c r="Z76" s="7"/>
      <c r="AA76" s="7"/>
      <c r="AB76" s="171"/>
      <c r="AC76" s="171"/>
      <c r="AD76" s="171"/>
      <c r="AE76" s="171"/>
      <c r="AF76" s="162"/>
      <c r="AG76" s="162"/>
      <c r="AH76" s="165"/>
      <c r="AI76" s="165"/>
      <c r="AJ76" s="165"/>
      <c r="AK76" s="165"/>
      <c r="AL76" s="7"/>
      <c r="AM76" s="7"/>
      <c r="AN76" s="7"/>
      <c r="AO76" s="7"/>
      <c r="AP76" s="7"/>
      <c r="AR76" s="496"/>
    </row>
    <row r="77" spans="1:44">
      <c r="A77" s="4" t="s">
        <v>347</v>
      </c>
      <c r="C77" s="419">
        <v>95.999145728576906</v>
      </c>
      <c r="D77" s="983">
        <f>$D$20</f>
        <v>18.759999999999998</v>
      </c>
      <c r="F77" s="490">
        <f>D77*C77</f>
        <v>1800.9439738681026</v>
      </c>
      <c r="G77" s="983">
        <f ca="1">$G$20</f>
        <v>18.319999999999997</v>
      </c>
      <c r="I77" s="490">
        <f t="shared" ca="1" si="13"/>
        <v>1758.7043497475286</v>
      </c>
      <c r="J77" s="490"/>
      <c r="K77" s="983" t="e">
        <f>K20</f>
        <v>#REF!</v>
      </c>
      <c r="M77" s="490" t="e">
        <f t="shared" si="14"/>
        <v>#REF!</v>
      </c>
      <c r="N77" s="490"/>
      <c r="O77" s="983" t="e">
        <f>O20</f>
        <v>#REF!</v>
      </c>
      <c r="Q77" s="490" t="e">
        <f t="shared" si="15"/>
        <v>#REF!</v>
      </c>
      <c r="R77" s="490"/>
      <c r="S77" s="983" t="e">
        <f>S20</f>
        <v>#REF!</v>
      </c>
      <c r="U77" s="490" t="e">
        <f t="shared" si="16"/>
        <v>#REF!</v>
      </c>
      <c r="V77" s="7"/>
      <c r="W77" s="165"/>
      <c r="X77" s="31"/>
      <c r="Y77" s="31"/>
      <c r="Z77" s="7"/>
      <c r="AA77" s="7"/>
      <c r="AB77" s="171"/>
      <c r="AC77" s="171"/>
      <c r="AD77" s="171"/>
      <c r="AE77" s="171"/>
      <c r="AF77" s="162"/>
      <c r="AG77" s="162"/>
      <c r="AH77" s="165"/>
      <c r="AI77" s="165"/>
      <c r="AJ77" s="165"/>
      <c r="AK77" s="165"/>
      <c r="AL77" s="7"/>
      <c r="AM77" s="7"/>
      <c r="AN77" s="7"/>
      <c r="AO77" s="7"/>
      <c r="AP77" s="7"/>
      <c r="AR77" s="496"/>
    </row>
    <row r="78" spans="1:44">
      <c r="A78" s="4" t="s">
        <v>348</v>
      </c>
      <c r="C78" s="419">
        <v>0</v>
      </c>
      <c r="D78" s="983">
        <f>$D$21</f>
        <v>30.28</v>
      </c>
      <c r="F78" s="490">
        <f>D78*C78</f>
        <v>0</v>
      </c>
      <c r="G78" s="983">
        <f ca="1">$G$21</f>
        <v>29.58</v>
      </c>
      <c r="I78" s="490">
        <f t="shared" ca="1" si="13"/>
        <v>0</v>
      </c>
      <c r="J78" s="490"/>
      <c r="K78" s="983" t="e">
        <f>K21</f>
        <v>#REF!</v>
      </c>
      <c r="M78" s="490" t="e">
        <f t="shared" si="14"/>
        <v>#REF!</v>
      </c>
      <c r="N78" s="490"/>
      <c r="O78" s="983" t="e">
        <f>O21</f>
        <v>#REF!</v>
      </c>
      <c r="Q78" s="490" t="e">
        <f t="shared" si="15"/>
        <v>#REF!</v>
      </c>
      <c r="R78" s="490"/>
      <c r="S78" s="983" t="e">
        <f>S21</f>
        <v>#REF!</v>
      </c>
      <c r="U78" s="490" t="e">
        <f t="shared" si="16"/>
        <v>#REF!</v>
      </c>
      <c r="V78" s="7"/>
      <c r="W78" s="165"/>
      <c r="X78" s="31"/>
      <c r="Y78" s="31"/>
      <c r="Z78" s="7"/>
      <c r="AA78" s="7"/>
      <c r="AB78" s="171"/>
      <c r="AC78" s="171"/>
      <c r="AD78" s="171"/>
      <c r="AE78" s="171"/>
      <c r="AF78" s="162"/>
      <c r="AG78" s="162"/>
      <c r="AH78" s="165"/>
      <c r="AI78" s="165"/>
      <c r="AJ78" s="165"/>
      <c r="AK78" s="165"/>
      <c r="AL78" s="7"/>
      <c r="AM78" s="7"/>
      <c r="AN78" s="7"/>
      <c r="AO78" s="7"/>
      <c r="AP78" s="7"/>
      <c r="AR78" s="496"/>
    </row>
    <row r="79" spans="1:44">
      <c r="A79" s="4" t="s">
        <v>349</v>
      </c>
      <c r="C79" s="419">
        <v>132.00024006469999</v>
      </c>
      <c r="D79" s="983">
        <f>$D$22</f>
        <v>1</v>
      </c>
      <c r="E79" s="7"/>
      <c r="F79" s="490">
        <f>D79*C79</f>
        <v>132.00024006469999</v>
      </c>
      <c r="G79" s="990">
        <f>$G$22</f>
        <v>1</v>
      </c>
      <c r="H79" s="7"/>
      <c r="I79" s="490">
        <f t="shared" si="13"/>
        <v>132.00024006469999</v>
      </c>
      <c r="J79" s="490"/>
      <c r="K79" s="983" t="e">
        <f>K22</f>
        <v>#REF!</v>
      </c>
      <c r="L79" s="7"/>
      <c r="M79" s="490" t="e">
        <f t="shared" si="14"/>
        <v>#REF!</v>
      </c>
      <c r="N79" s="490"/>
      <c r="O79" s="983" t="e">
        <f>O22</f>
        <v>#REF!</v>
      </c>
      <c r="P79" s="7"/>
      <c r="Q79" s="490" t="e">
        <f t="shared" si="15"/>
        <v>#REF!</v>
      </c>
      <c r="R79" s="490"/>
      <c r="S79" s="983" t="e">
        <f>S22</f>
        <v>#REF!</v>
      </c>
      <c r="T79" s="7"/>
      <c r="U79" s="490" t="e">
        <f t="shared" si="16"/>
        <v>#REF!</v>
      </c>
      <c r="V79" s="162"/>
      <c r="W79" s="165"/>
      <c r="X79" s="31"/>
      <c r="Y79" s="31"/>
      <c r="Z79" s="7"/>
      <c r="AA79" s="7"/>
      <c r="AB79" s="162"/>
      <c r="AC79" s="162"/>
      <c r="AD79" s="162"/>
      <c r="AE79" s="162"/>
      <c r="AF79" s="162"/>
      <c r="AG79" s="162"/>
      <c r="AH79" s="165"/>
      <c r="AI79" s="165"/>
      <c r="AJ79" s="165"/>
      <c r="AK79" s="165"/>
      <c r="AL79" s="7"/>
      <c r="AM79" s="7"/>
      <c r="AN79" s="7"/>
      <c r="AO79" s="7"/>
      <c r="AP79" s="7"/>
      <c r="AR79" s="496"/>
    </row>
    <row r="80" spans="1:44" s="588" customFormat="1" hidden="1">
      <c r="A80" s="588" t="s">
        <v>768</v>
      </c>
      <c r="C80" s="631">
        <f>C82</f>
        <v>123108</v>
      </c>
      <c r="D80" s="983">
        <f>$D$23</f>
        <v>0</v>
      </c>
      <c r="E80" s="635"/>
      <c r="F80" s="616"/>
      <c r="G80" s="987">
        <f>G23</f>
        <v>0</v>
      </c>
      <c r="H80" s="592" t="s">
        <v>362</v>
      </c>
      <c r="I80" s="616">
        <f>G80*C80/100</f>
        <v>0</v>
      </c>
      <c r="J80" s="616"/>
      <c r="K80" s="987" t="str">
        <f>K23</f>
        <v xml:space="preserve"> </v>
      </c>
      <c r="L80" s="592" t="s">
        <v>362</v>
      </c>
      <c r="M80" s="616" t="e">
        <f>K80*#REF!/100</f>
        <v>#REF!</v>
      </c>
      <c r="N80" s="616"/>
      <c r="O80" s="987" t="str">
        <f>O23</f>
        <v xml:space="preserve"> </v>
      </c>
      <c r="P80" s="592" t="s">
        <v>362</v>
      </c>
      <c r="Q80" s="616">
        <f>O80*G80/100</f>
        <v>0</v>
      </c>
      <c r="R80" s="616"/>
      <c r="S80" s="987">
        <f>S23</f>
        <v>0</v>
      </c>
      <c r="T80" s="592" t="s">
        <v>362</v>
      </c>
      <c r="U80" s="616">
        <f>S80*C80/100</f>
        <v>0</v>
      </c>
      <c r="W80" s="450"/>
      <c r="Z80" s="989"/>
      <c r="AA80" s="989"/>
      <c r="AF80" s="635"/>
      <c r="AG80" s="635"/>
      <c r="AH80" s="635"/>
      <c r="AI80" s="635"/>
      <c r="AJ80" s="635"/>
      <c r="AK80" s="635"/>
      <c r="AL80" s="635"/>
      <c r="AM80" s="635"/>
      <c r="AN80" s="635"/>
      <c r="AO80" s="635"/>
      <c r="AP80" s="635"/>
      <c r="AR80" s="988"/>
    </row>
    <row r="81" spans="1:44">
      <c r="A81" s="4" t="s">
        <v>350</v>
      </c>
      <c r="C81" s="419">
        <v>612</v>
      </c>
      <c r="D81" s="983"/>
      <c r="F81" s="490"/>
      <c r="G81" s="983"/>
      <c r="I81" s="490"/>
      <c r="J81" s="490"/>
      <c r="K81" s="983"/>
      <c r="M81" s="490"/>
      <c r="N81" s="490"/>
      <c r="O81" s="983"/>
      <c r="Q81" s="490"/>
      <c r="R81" s="490"/>
      <c r="S81" s="983"/>
      <c r="U81" s="490"/>
      <c r="V81" s="162"/>
      <c r="W81" s="162"/>
      <c r="X81" s="162"/>
      <c r="Y81" s="162"/>
      <c r="Z81" s="162"/>
      <c r="AA81" s="162"/>
      <c r="AB81" s="162"/>
      <c r="AC81" s="162"/>
      <c r="AD81" s="162"/>
      <c r="AE81" s="162"/>
      <c r="AF81" s="162"/>
      <c r="AG81" s="162"/>
      <c r="AH81" s="172"/>
      <c r="AI81" s="162"/>
      <c r="AJ81" s="162"/>
      <c r="AK81" s="162"/>
      <c r="AL81" s="7"/>
      <c r="AM81" s="7"/>
      <c r="AN81" s="7"/>
      <c r="AO81" s="7"/>
      <c r="AP81" s="7"/>
      <c r="AR81" s="496"/>
    </row>
    <row r="82" spans="1:44">
      <c r="A82" s="4" t="s">
        <v>35</v>
      </c>
      <c r="C82" s="419">
        <v>123108</v>
      </c>
      <c r="D82" s="990"/>
      <c r="E82" s="7"/>
      <c r="F82" s="723">
        <f>SUM(F72:F79)</f>
        <v>17063.96557430294</v>
      </c>
      <c r="G82" s="990"/>
      <c r="H82" s="7"/>
      <c r="I82" s="723">
        <f ca="1">SUM(I72:I80)</f>
        <v>16669.88638650842</v>
      </c>
      <c r="J82" s="723"/>
      <c r="K82" s="990"/>
      <c r="L82" s="7"/>
      <c r="M82" s="723" t="e">
        <f>SUM(M72:M80)</f>
        <v>#REF!</v>
      </c>
      <c r="N82" s="723"/>
      <c r="O82" s="990"/>
      <c r="P82" s="7"/>
      <c r="Q82" s="723" t="e">
        <f>SUM(Q72:Q80)</f>
        <v>#REF!</v>
      </c>
      <c r="R82" s="723"/>
      <c r="S82" s="990"/>
      <c r="T82" s="7"/>
      <c r="U82" s="723" t="e">
        <f>SUM(U72:U80)</f>
        <v>#REF!</v>
      </c>
      <c r="V82" s="162"/>
      <c r="W82" s="171"/>
      <c r="X82" s="162"/>
      <c r="Y82" s="162"/>
      <c r="Z82" s="7"/>
      <c r="AA82" s="7"/>
      <c r="AB82" s="7"/>
      <c r="AC82" s="7"/>
      <c r="AD82" s="7"/>
      <c r="AE82" s="7"/>
      <c r="AF82" s="7"/>
      <c r="AG82" s="162"/>
      <c r="AH82" s="162"/>
      <c r="AI82" s="162"/>
      <c r="AJ82" s="162"/>
      <c r="AK82" s="162"/>
      <c r="AL82" s="7"/>
      <c r="AM82" s="7"/>
      <c r="AN82" s="7"/>
      <c r="AO82" s="7"/>
      <c r="AP82" s="7"/>
      <c r="AR82" s="496"/>
    </row>
    <row r="83" spans="1:44">
      <c r="A83" s="4" t="s">
        <v>351</v>
      </c>
      <c r="C83" s="419">
        <f ca="1">'Table 2'!H85</f>
        <v>2301.1681452581602</v>
      </c>
      <c r="D83" s="990"/>
      <c r="E83" s="7"/>
      <c r="F83" s="723">
        <f ca="1">'Table 3'!E85</f>
        <v>102.11318336621031</v>
      </c>
      <c r="G83" s="990"/>
      <c r="H83" s="7"/>
      <c r="I83" s="723">
        <f ca="1">F83</f>
        <v>102.11318336621031</v>
      </c>
      <c r="J83" s="723"/>
      <c r="K83" s="990"/>
      <c r="L83" s="7"/>
      <c r="M83" s="723" t="e">
        <f ca="1">M26/I26*I83</f>
        <v>#DIV/0!</v>
      </c>
      <c r="N83" s="723"/>
      <c r="O83" s="990"/>
      <c r="P83" s="7"/>
      <c r="Q83" s="723" t="e">
        <f ca="1">Q26/I26*I83</f>
        <v>#DIV/0!</v>
      </c>
      <c r="R83" s="723"/>
      <c r="S83" s="990"/>
      <c r="T83" s="7"/>
      <c r="U83" s="723" t="e">
        <f ca="1">U26/I26*I83</f>
        <v>#DIV/0!</v>
      </c>
      <c r="V83" s="714"/>
      <c r="W83" s="171"/>
      <c r="X83" s="162"/>
      <c r="Y83" s="162"/>
      <c r="Z83" s="162"/>
      <c r="AA83" s="162"/>
      <c r="AB83" s="167"/>
      <c r="AC83" s="167"/>
      <c r="AD83" s="167"/>
      <c r="AE83" s="167"/>
      <c r="AF83" s="165"/>
      <c r="AG83" s="162"/>
      <c r="AH83" s="162"/>
      <c r="AI83" s="162"/>
      <c r="AJ83" s="162"/>
      <c r="AK83" s="162"/>
      <c r="AL83" s="7"/>
      <c r="AM83" s="7"/>
      <c r="AN83" s="7"/>
      <c r="AO83" s="7"/>
      <c r="AP83" s="7"/>
      <c r="AR83" s="496"/>
    </row>
    <row r="84" spans="1:44" ht="16.5" thickBot="1">
      <c r="A84" s="4" t="s">
        <v>9</v>
      </c>
      <c r="C84" s="994">
        <f ca="1">C82+C83</f>
        <v>125409.16814525815</v>
      </c>
      <c r="D84" s="995"/>
      <c r="E84" s="996"/>
      <c r="F84" s="996">
        <f ca="1">F82+F83</f>
        <v>17166.078757669151</v>
      </c>
      <c r="G84" s="995"/>
      <c r="H84" s="996"/>
      <c r="I84" s="996">
        <f ca="1">I82+I83</f>
        <v>16771.999569874632</v>
      </c>
      <c r="J84" s="723"/>
      <c r="K84" s="995"/>
      <c r="L84" s="996"/>
      <c r="M84" s="996" t="e">
        <f ca="1">M82+M83</f>
        <v>#REF!</v>
      </c>
      <c r="N84" s="995"/>
      <c r="O84" s="995"/>
      <c r="P84" s="996"/>
      <c r="Q84" s="996" t="e">
        <f ca="1">Q82+Q83</f>
        <v>#REF!</v>
      </c>
      <c r="R84" s="995"/>
      <c r="S84" s="995"/>
      <c r="T84" s="996"/>
      <c r="U84" s="996" t="e">
        <f ca="1">U82+U83</f>
        <v>#REF!</v>
      </c>
      <c r="V84" s="295"/>
      <c r="W84" s="354"/>
      <c r="X84" s="162"/>
      <c r="Y84" s="162"/>
      <c r="Z84" s="162"/>
      <c r="AA84" s="162"/>
      <c r="AB84" s="162"/>
      <c r="AC84" s="162"/>
      <c r="AD84" s="162"/>
      <c r="AE84" s="162"/>
      <c r="AF84" s="162"/>
      <c r="AG84" s="162"/>
      <c r="AH84" s="162"/>
      <c r="AI84" s="162"/>
      <c r="AJ84" s="162"/>
      <c r="AK84" s="162"/>
      <c r="AL84" s="7"/>
      <c r="AM84" s="7"/>
      <c r="AN84" s="7"/>
      <c r="AO84" s="7"/>
      <c r="AP84" s="7"/>
      <c r="AR84" s="496"/>
    </row>
    <row r="85" spans="1:44" ht="16.5" thickTop="1">
      <c r="C85" s="61"/>
      <c r="D85" s="305" t="s">
        <v>31</v>
      </c>
      <c r="E85" s="61"/>
      <c r="F85" s="490"/>
      <c r="G85" s="305" t="s">
        <v>31</v>
      </c>
      <c r="H85" s="61"/>
      <c r="I85" s="490" t="s">
        <v>31</v>
      </c>
      <c r="J85" s="490"/>
      <c r="K85" s="305" t="s">
        <v>31</v>
      </c>
      <c r="L85" s="61"/>
      <c r="M85" s="490" t="s">
        <v>31</v>
      </c>
      <c r="N85" s="490"/>
      <c r="O85" s="305" t="s">
        <v>31</v>
      </c>
      <c r="P85" s="61"/>
      <c r="Q85" s="490" t="s">
        <v>31</v>
      </c>
      <c r="R85" s="490"/>
      <c r="S85" s="305" t="s">
        <v>31</v>
      </c>
      <c r="T85" s="61"/>
      <c r="U85" s="490" t="s">
        <v>31</v>
      </c>
      <c r="V85" s="7"/>
      <c r="W85" s="31"/>
      <c r="X85" s="31"/>
      <c r="Y85" s="31"/>
      <c r="Z85" s="7"/>
      <c r="AA85" s="7"/>
      <c r="AB85" s="7"/>
      <c r="AC85" s="7"/>
      <c r="AD85" s="7"/>
      <c r="AE85" s="7"/>
      <c r="AF85" s="7"/>
      <c r="AG85" s="7"/>
      <c r="AH85" s="7"/>
      <c r="AI85" s="7"/>
      <c r="AJ85" s="7"/>
      <c r="AK85" s="7"/>
      <c r="AL85" s="7"/>
      <c r="AM85" s="7"/>
      <c r="AN85" s="7"/>
      <c r="AO85" s="7"/>
      <c r="AP85" s="7"/>
      <c r="AR85" s="496"/>
    </row>
    <row r="86" spans="1:44">
      <c r="A86" s="305" t="s">
        <v>356</v>
      </c>
      <c r="B86" s="305"/>
      <c r="C86" s="305"/>
      <c r="D86" s="61"/>
      <c r="E86" s="305"/>
      <c r="F86" s="305"/>
      <c r="G86" s="61"/>
      <c r="H86" s="305"/>
      <c r="I86" s="305"/>
      <c r="J86" s="305"/>
      <c r="K86" s="61"/>
      <c r="L86" s="305"/>
      <c r="M86" s="305"/>
      <c r="N86" s="305"/>
      <c r="O86" s="61"/>
      <c r="P86" s="305"/>
      <c r="Q86" s="305"/>
      <c r="R86" s="305"/>
      <c r="S86" s="61"/>
      <c r="T86" s="305"/>
      <c r="U86" s="305"/>
      <c r="V86" s="7"/>
      <c r="W86" s="31"/>
      <c r="X86" s="31"/>
      <c r="Y86" s="31"/>
      <c r="Z86" s="7"/>
      <c r="AA86" s="7"/>
      <c r="AB86" s="7"/>
      <c r="AC86" s="7"/>
      <c r="AD86" s="7"/>
      <c r="AE86" s="7"/>
      <c r="AF86" s="7"/>
      <c r="AG86" s="7"/>
      <c r="AH86" s="7"/>
      <c r="AI86" s="7"/>
      <c r="AJ86" s="7"/>
      <c r="AK86" s="7"/>
      <c r="AL86" s="7"/>
      <c r="AM86" s="7"/>
      <c r="AN86" s="7"/>
      <c r="AO86" s="7"/>
      <c r="AP86" s="7"/>
      <c r="AR86" s="496"/>
    </row>
    <row r="87" spans="1:44">
      <c r="A87" s="305" t="s">
        <v>357</v>
      </c>
      <c r="B87" s="305"/>
      <c r="C87" s="305"/>
      <c r="D87" s="61"/>
      <c r="E87" s="305"/>
      <c r="F87" s="305"/>
      <c r="G87" s="61"/>
      <c r="H87" s="305"/>
      <c r="I87" s="305"/>
      <c r="J87" s="305"/>
      <c r="K87" s="61"/>
      <c r="L87" s="305"/>
      <c r="M87" s="305"/>
      <c r="N87" s="305"/>
      <c r="O87" s="61"/>
      <c r="P87" s="305"/>
      <c r="Q87" s="305"/>
      <c r="R87" s="305"/>
      <c r="S87" s="61"/>
      <c r="T87" s="305"/>
      <c r="U87" s="305"/>
      <c r="V87" s="562"/>
      <c r="W87" s="31"/>
      <c r="X87" s="31"/>
      <c r="Y87" s="31"/>
      <c r="Z87" s="7"/>
      <c r="AA87" s="7"/>
      <c r="AB87" s="7"/>
      <c r="AC87" s="7"/>
      <c r="AD87" s="7"/>
      <c r="AE87" s="7"/>
      <c r="AF87" s="7"/>
      <c r="AG87" s="7"/>
      <c r="AH87" s="7"/>
      <c r="AI87" s="7"/>
      <c r="AJ87" s="7"/>
      <c r="AK87" s="7"/>
      <c r="AL87" s="7"/>
      <c r="AM87" s="7"/>
      <c r="AN87" s="7"/>
      <c r="AO87" s="7"/>
      <c r="AP87" s="7"/>
      <c r="AR87" s="496"/>
    </row>
    <row r="88" spans="1:44">
      <c r="A88" s="1004"/>
      <c r="B88" s="305"/>
      <c r="C88" s="305"/>
      <c r="D88" s="61"/>
      <c r="E88" s="305"/>
      <c r="F88" s="305"/>
      <c r="G88" s="61"/>
      <c r="H88" s="305"/>
      <c r="I88" s="305"/>
      <c r="J88" s="305"/>
      <c r="K88" s="61"/>
      <c r="L88" s="305"/>
      <c r="M88" s="305"/>
      <c r="N88" s="305"/>
      <c r="O88" s="61"/>
      <c r="P88" s="305"/>
      <c r="Q88" s="305"/>
      <c r="R88" s="305"/>
      <c r="S88" s="61"/>
      <c r="T88" s="305"/>
      <c r="U88" s="305"/>
      <c r="V88" s="7"/>
      <c r="W88" s="31"/>
      <c r="X88" s="445" t="s">
        <v>609</v>
      </c>
      <c r="Y88" s="445"/>
      <c r="Z88" s="7"/>
      <c r="AA88" s="7"/>
      <c r="AB88" s="7"/>
      <c r="AC88" s="7"/>
      <c r="AD88" s="7"/>
      <c r="AE88" s="7"/>
      <c r="AF88" s="7"/>
      <c r="AG88" s="7"/>
      <c r="AH88" s="7"/>
      <c r="AI88" s="7"/>
      <c r="AJ88" s="7"/>
      <c r="AK88" s="7"/>
      <c r="AL88" s="7"/>
      <c r="AM88" s="7"/>
      <c r="AN88" s="7"/>
      <c r="AO88" s="7"/>
      <c r="AP88" s="7"/>
      <c r="AR88" s="496"/>
    </row>
    <row r="89" spans="1:44">
      <c r="A89" s="305" t="s">
        <v>358</v>
      </c>
      <c r="B89" s="305"/>
      <c r="C89" s="61">
        <f t="shared" ref="C89:C94" si="17">C108+C124+C139+C154+C169</f>
        <v>1293476.4516128739</v>
      </c>
      <c r="D89" s="448">
        <v>7.75</v>
      </c>
      <c r="E89" s="305"/>
      <c r="F89" s="490">
        <f t="shared" ref="F89:F94" si="18">F108+F124+F139+F154+F169</f>
        <v>10024443</v>
      </c>
      <c r="G89" s="448">
        <f>D89</f>
        <v>7.75</v>
      </c>
      <c r="H89" s="305"/>
      <c r="I89" s="490">
        <f t="shared" ref="I89:I94" si="19">I108+I124+I139+I154+I169</f>
        <v>10024443</v>
      </c>
      <c r="J89" s="490"/>
      <c r="K89" s="448" t="e">
        <f>#REF!</f>
        <v>#REF!</v>
      </c>
      <c r="L89" s="305"/>
      <c r="M89" s="490" t="e">
        <f>M108+M139+M154+M169</f>
        <v>#REF!</v>
      </c>
      <c r="N89" s="490"/>
      <c r="O89" s="448" t="s">
        <v>31</v>
      </c>
      <c r="P89" s="305"/>
      <c r="Q89" s="490">
        <f>O89*C89</f>
        <v>0</v>
      </c>
      <c r="R89" s="490"/>
      <c r="S89" s="448" t="s">
        <v>31</v>
      </c>
      <c r="T89" s="305"/>
      <c r="U89" s="490">
        <f>S89*C89</f>
        <v>0</v>
      </c>
      <c r="X89" s="54">
        <f>(G89-D89)/D89</f>
        <v>0</v>
      </c>
      <c r="Y89" s="1005" t="s">
        <v>31</v>
      </c>
      <c r="AK89" s="7"/>
      <c r="AL89" s="7"/>
      <c r="AM89" s="7"/>
      <c r="AN89" s="7"/>
      <c r="AO89" s="7"/>
      <c r="AP89" s="7"/>
      <c r="AR89" s="496"/>
    </row>
    <row r="90" spans="1:44">
      <c r="A90" s="305" t="s">
        <v>361</v>
      </c>
      <c r="B90" s="305"/>
      <c r="C90" s="61">
        <f t="shared" si="17"/>
        <v>675973717.423473</v>
      </c>
      <c r="D90" s="1006">
        <v>6.7170000000000005</v>
      </c>
      <c r="E90" s="305" t="s">
        <v>362</v>
      </c>
      <c r="F90" s="490">
        <f t="shared" si="18"/>
        <v>45405155</v>
      </c>
      <c r="G90" s="1006">
        <f ca="1">ROUND(D90*(1+$X$101),3)+0.002</f>
        <v>6.8330000000000002</v>
      </c>
      <c r="H90" s="305" t="s">
        <v>362</v>
      </c>
      <c r="I90" s="490">
        <f t="shared" ca="1" si="19"/>
        <v>46189285</v>
      </c>
      <c r="J90" s="490"/>
      <c r="K90" s="1006" t="e">
        <f>#REF!</f>
        <v>#REF!</v>
      </c>
      <c r="L90" s="305" t="s">
        <v>362</v>
      </c>
      <c r="M90" s="490" t="e">
        <f>K90*C90/100</f>
        <v>#REF!</v>
      </c>
      <c r="N90" s="305" t="s">
        <v>31</v>
      </c>
      <c r="O90" s="1006" t="e">
        <f>#REF!</f>
        <v>#REF!</v>
      </c>
      <c r="P90" s="305" t="s">
        <v>362</v>
      </c>
      <c r="Q90" s="490" t="e">
        <f>O90*C90/100</f>
        <v>#REF!</v>
      </c>
      <c r="R90" s="490"/>
      <c r="S90" s="1006" t="e">
        <f>#REF!</f>
        <v>#REF!</v>
      </c>
      <c r="T90" s="305" t="s">
        <v>362</v>
      </c>
      <c r="U90" s="490" t="e">
        <f ca="1">(X104-U89-U92-U93-U94-U95-U96-U100)*I90/(I90+I91)</f>
        <v>#REF!</v>
      </c>
      <c r="W90" s="85" t="s">
        <v>31</v>
      </c>
      <c r="X90" s="54">
        <f ca="1">((G90+G95)-D90)/D90</f>
        <v>1.7269614411195421E-2</v>
      </c>
      <c r="Y90" s="446">
        <f>(D91-D90)/D90</f>
        <v>0.58002084263808229</v>
      </c>
      <c r="Z90" s="446"/>
      <c r="AB90" s="446"/>
      <c r="AD90" s="496"/>
      <c r="AE90" s="496"/>
      <c r="AF90" s="446"/>
      <c r="AK90" s="7"/>
      <c r="AL90" s="7"/>
      <c r="AM90" s="7"/>
      <c r="AN90" s="7"/>
      <c r="AO90" s="7"/>
      <c r="AP90" s="7"/>
      <c r="AR90" s="496"/>
    </row>
    <row r="91" spans="1:44">
      <c r="A91" s="305" t="s">
        <v>363</v>
      </c>
      <c r="B91" s="305"/>
      <c r="C91" s="61">
        <f t="shared" si="17"/>
        <v>869356277.72312701</v>
      </c>
      <c r="D91" s="1006">
        <v>10.613</v>
      </c>
      <c r="E91" s="305" t="s">
        <v>362</v>
      </c>
      <c r="F91" s="490">
        <f t="shared" si="18"/>
        <v>92264783</v>
      </c>
      <c r="G91" s="1006">
        <f ca="1">ROUND(D91*(1+$X$101),3)-0.003</f>
        <v>10.791</v>
      </c>
      <c r="H91" s="305" t="s">
        <v>362</v>
      </c>
      <c r="I91" s="490">
        <f t="shared" ca="1" si="19"/>
        <v>93812236</v>
      </c>
      <c r="J91" s="490"/>
      <c r="K91" s="1006" t="e">
        <f>#REF!</f>
        <v>#REF!</v>
      </c>
      <c r="L91" s="305" t="s">
        <v>362</v>
      </c>
      <c r="M91" s="490" t="e">
        <f>K91*C91/100</f>
        <v>#REF!</v>
      </c>
      <c r="N91" s="305" t="s">
        <v>31</v>
      </c>
      <c r="O91" s="1006" t="e">
        <f>#REF!</f>
        <v>#REF!</v>
      </c>
      <c r="P91" s="305" t="s">
        <v>362</v>
      </c>
      <c r="Q91" s="490" t="e">
        <f>O91*C91/100</f>
        <v>#REF!</v>
      </c>
      <c r="R91" s="490"/>
      <c r="S91" s="1006" t="e">
        <f>#REF!</f>
        <v>#REF!</v>
      </c>
      <c r="T91" s="305" t="s">
        <v>362</v>
      </c>
      <c r="U91" s="490" t="e">
        <f>S91*C91/100</f>
        <v>#REF!</v>
      </c>
      <c r="V91" s="1007"/>
      <c r="X91" s="54">
        <f ca="1">((G91+G96)-D91)/D91</f>
        <v>1.6771883539055954E-2</v>
      </c>
      <c r="Y91" s="446">
        <f ca="1">(G91-G90)/G90</f>
        <v>0.57924776818381385</v>
      </c>
      <c r="Z91" s="446">
        <v>0.72450000000000003</v>
      </c>
      <c r="AB91" s="446"/>
      <c r="AD91" s="921"/>
      <c r="AE91" s="921"/>
      <c r="AF91" s="446"/>
      <c r="AK91" s="7"/>
      <c r="AL91" s="7"/>
      <c r="AM91" s="7"/>
      <c r="AN91" s="7"/>
      <c r="AO91" s="7"/>
      <c r="AP91" s="7"/>
      <c r="AR91" s="496"/>
    </row>
    <row r="92" spans="1:44">
      <c r="A92" s="305" t="s">
        <v>365</v>
      </c>
      <c r="B92" s="305"/>
      <c r="C92" s="61">
        <f t="shared" si="17"/>
        <v>4989</v>
      </c>
      <c r="D92" s="448">
        <v>1.78</v>
      </c>
      <c r="E92" s="305"/>
      <c r="F92" s="490">
        <f t="shared" si="18"/>
        <v>8880</v>
      </c>
      <c r="G92" s="448">
        <f>ROUND(D92*(1+Z101),2)</f>
        <v>1.78</v>
      </c>
      <c r="H92" s="305"/>
      <c r="I92" s="490">
        <f t="shared" si="19"/>
        <v>8880</v>
      </c>
      <c r="J92" s="490"/>
      <c r="K92" s="448" t="e">
        <f>#REF!</f>
        <v>#REF!</v>
      </c>
      <c r="L92" s="305"/>
      <c r="M92" s="490" t="e">
        <f>K92*C92</f>
        <v>#REF!</v>
      </c>
      <c r="N92" s="490"/>
      <c r="O92" s="448" t="s">
        <v>31</v>
      </c>
      <c r="P92" s="305"/>
      <c r="Q92" s="490">
        <f>O92*C92</f>
        <v>0</v>
      </c>
      <c r="R92" s="490"/>
      <c r="S92" s="1006" t="e">
        <f>#REF!</f>
        <v>#REF!</v>
      </c>
      <c r="T92" s="305"/>
      <c r="U92" s="490" t="e">
        <f>S92*C92</f>
        <v>#REF!</v>
      </c>
      <c r="X92" s="54">
        <f>(G92-D92)/D92</f>
        <v>0</v>
      </c>
      <c r="AD92" s="496"/>
      <c r="AE92" s="496"/>
      <c r="AF92" s="446"/>
      <c r="AK92" s="7"/>
      <c r="AL92" s="7"/>
      <c r="AM92" s="7"/>
      <c r="AN92" s="7"/>
      <c r="AO92" s="7"/>
      <c r="AP92" s="7"/>
      <c r="AR92" s="496"/>
    </row>
    <row r="93" spans="1:44">
      <c r="A93" s="4" t="s">
        <v>367</v>
      </c>
      <c r="C93" s="61">
        <f t="shared" si="17"/>
        <v>696</v>
      </c>
      <c r="D93" s="448">
        <v>3.5</v>
      </c>
      <c r="F93" s="490">
        <f t="shared" si="18"/>
        <v>2436</v>
      </c>
      <c r="G93" s="448">
        <f>ROUND(G92/D92*D93,1)</f>
        <v>3.5</v>
      </c>
      <c r="I93" s="490">
        <f t="shared" si="19"/>
        <v>2436</v>
      </c>
      <c r="J93" s="490"/>
      <c r="K93" s="448" t="e">
        <f>#REF!</f>
        <v>#REF!</v>
      </c>
      <c r="M93" s="490" t="e">
        <f>K93*C93</f>
        <v>#REF!</v>
      </c>
      <c r="N93" s="490"/>
      <c r="O93" s="448" t="s">
        <v>31</v>
      </c>
      <c r="Q93" s="490">
        <f>O93*C93</f>
        <v>0</v>
      </c>
      <c r="R93" s="490"/>
      <c r="S93" s="448" t="e">
        <f>#REF!</f>
        <v>#REF!</v>
      </c>
      <c r="U93" s="490" t="e">
        <f>S93*C93</f>
        <v>#REF!</v>
      </c>
      <c r="X93" s="54">
        <f>(G93-D93)/D93</f>
        <v>0</v>
      </c>
      <c r="AK93" s="7"/>
      <c r="AL93" s="7"/>
      <c r="AM93" s="7"/>
      <c r="AN93" s="7"/>
      <c r="AO93" s="7"/>
      <c r="AP93" s="7"/>
      <c r="AR93" s="496"/>
    </row>
    <row r="94" spans="1:44">
      <c r="A94" s="4" t="s">
        <v>368</v>
      </c>
      <c r="C94" s="61">
        <f t="shared" si="17"/>
        <v>89</v>
      </c>
      <c r="D94" s="448">
        <v>-1.78</v>
      </c>
      <c r="F94" s="490">
        <f t="shared" si="18"/>
        <v>-159</v>
      </c>
      <c r="G94" s="448">
        <f>-G92</f>
        <v>-1.78</v>
      </c>
      <c r="I94" s="490">
        <f t="shared" si="19"/>
        <v>-159</v>
      </c>
      <c r="J94" s="490"/>
      <c r="K94" s="448" t="s">
        <v>31</v>
      </c>
      <c r="M94" s="490">
        <f>K94*C94</f>
        <v>0</v>
      </c>
      <c r="N94" s="490"/>
      <c r="O94" s="448" t="s">
        <v>31</v>
      </c>
      <c r="Q94" s="490">
        <f>O94*C94</f>
        <v>0</v>
      </c>
      <c r="R94" s="490"/>
      <c r="S94" s="448" t="e">
        <f>#REF!</f>
        <v>#REF!</v>
      </c>
      <c r="U94" s="490" t="e">
        <f>S94*C94</f>
        <v>#REF!</v>
      </c>
      <c r="X94" s="54">
        <f>(G94-D94)/D94</f>
        <v>0</v>
      </c>
      <c r="AK94" s="7"/>
      <c r="AL94" s="7"/>
      <c r="AM94" s="7"/>
      <c r="AN94" s="7"/>
      <c r="AO94" s="7"/>
      <c r="AP94" s="7"/>
      <c r="AR94" s="496"/>
    </row>
    <row r="95" spans="1:44" s="588" customFormat="1" hidden="1">
      <c r="A95" s="588" t="s">
        <v>769</v>
      </c>
      <c r="C95" s="604">
        <f>C90</f>
        <v>675973717.423473</v>
      </c>
      <c r="D95" s="1006">
        <v>0</v>
      </c>
      <c r="E95" s="305" t="s">
        <v>362</v>
      </c>
      <c r="F95" s="616"/>
      <c r="G95" s="1006">
        <v>0</v>
      </c>
      <c r="H95" s="592" t="s">
        <v>362</v>
      </c>
      <c r="I95" s="616"/>
      <c r="J95" s="616"/>
      <c r="K95" s="987" t="e">
        <f>#REF!</f>
        <v>#REF!</v>
      </c>
      <c r="L95" s="592" t="s">
        <v>31</v>
      </c>
      <c r="M95" s="490" t="e">
        <f>K95*C95/100</f>
        <v>#REF!</v>
      </c>
      <c r="N95" s="616"/>
      <c r="O95" s="987" t="s">
        <v>31</v>
      </c>
      <c r="P95" s="592" t="s">
        <v>31</v>
      </c>
      <c r="Q95" s="490">
        <f>O95*C95/100</f>
        <v>0</v>
      </c>
      <c r="R95" s="616"/>
      <c r="S95" s="1006" t="e">
        <f>#REF!</f>
        <v>#REF!</v>
      </c>
      <c r="T95" s="592" t="s">
        <v>362</v>
      </c>
      <c r="U95" s="490" t="e">
        <f>S95*C95/100</f>
        <v>#REF!</v>
      </c>
      <c r="V95" s="988"/>
      <c r="W95" s="450"/>
      <c r="Z95" s="989"/>
      <c r="AA95" s="989"/>
      <c r="AF95" s="635"/>
      <c r="AG95" s="635"/>
      <c r="AH95" s="635"/>
      <c r="AI95" s="635"/>
      <c r="AJ95" s="635"/>
      <c r="AK95" s="635"/>
      <c r="AL95" s="635"/>
      <c r="AM95" s="635"/>
      <c r="AN95" s="635"/>
      <c r="AO95" s="635"/>
      <c r="AP95" s="635"/>
      <c r="AR95" s="988"/>
    </row>
    <row r="96" spans="1:44" s="588" customFormat="1" hidden="1">
      <c r="A96" s="588" t="s">
        <v>770</v>
      </c>
      <c r="C96" s="604">
        <f>C91</f>
        <v>869356277.72312701</v>
      </c>
      <c r="D96" s="1006">
        <v>0</v>
      </c>
      <c r="E96" s="305" t="s">
        <v>362</v>
      </c>
      <c r="F96" s="616"/>
      <c r="G96" s="1006">
        <v>0</v>
      </c>
      <c r="H96" s="592" t="s">
        <v>362</v>
      </c>
      <c r="I96" s="616"/>
      <c r="J96" s="616"/>
      <c r="K96" s="987" t="e">
        <f>#REF!</f>
        <v>#REF!</v>
      </c>
      <c r="L96" s="592" t="s">
        <v>31</v>
      </c>
      <c r="M96" s="490" t="e">
        <f>K96*C96/100</f>
        <v>#REF!</v>
      </c>
      <c r="N96" s="616"/>
      <c r="O96" s="987" t="s">
        <v>31</v>
      </c>
      <c r="P96" s="592" t="s">
        <v>31</v>
      </c>
      <c r="Q96" s="490">
        <f>O96*C96/100</f>
        <v>0</v>
      </c>
      <c r="R96" s="616"/>
      <c r="S96" s="1006" t="e">
        <f>#REF!</f>
        <v>#REF!</v>
      </c>
      <c r="T96" s="592" t="s">
        <v>362</v>
      </c>
      <c r="U96" s="490" t="e">
        <f>S96*C96/100</f>
        <v>#REF!</v>
      </c>
      <c r="V96" s="988"/>
      <c r="W96" s="450"/>
      <c r="Z96" s="446" t="s">
        <v>31</v>
      </c>
      <c r="AA96" s="989"/>
      <c r="AF96" s="635"/>
      <c r="AG96" s="635"/>
      <c r="AH96" s="635"/>
      <c r="AI96" s="635"/>
      <c r="AJ96" s="635"/>
      <c r="AK96" s="635"/>
      <c r="AL96" s="635"/>
      <c r="AM96" s="635"/>
      <c r="AN96" s="635"/>
      <c r="AO96" s="635"/>
      <c r="AP96" s="635"/>
      <c r="AR96" s="988"/>
    </row>
    <row r="97" spans="1:44" s="588" customFormat="1" hidden="1">
      <c r="A97" s="588" t="s">
        <v>753</v>
      </c>
      <c r="C97" s="604"/>
      <c r="D97" s="987">
        <f>D90</f>
        <v>6.7170000000000005</v>
      </c>
      <c r="E97" s="592" t="s">
        <v>362</v>
      </c>
      <c r="F97" s="616"/>
      <c r="G97" s="987">
        <f ca="1">G90</f>
        <v>6.8330000000000002</v>
      </c>
      <c r="H97" s="592" t="s">
        <v>362</v>
      </c>
      <c r="I97" s="616"/>
      <c r="J97" s="616"/>
      <c r="K97" s="987" t="e">
        <f>K90+K95</f>
        <v>#REF!</v>
      </c>
      <c r="L97" s="592" t="s">
        <v>362</v>
      </c>
      <c r="M97" s="616"/>
      <c r="N97" s="616"/>
      <c r="O97" s="987" t="e">
        <f>O90+O95</f>
        <v>#REF!</v>
      </c>
      <c r="P97" s="592" t="s">
        <v>362</v>
      </c>
      <c r="Q97" s="616"/>
      <c r="R97" s="616"/>
      <c r="S97" s="987" t="e">
        <f>S90+S95</f>
        <v>#REF!</v>
      </c>
      <c r="T97" s="592" t="s">
        <v>362</v>
      </c>
      <c r="U97" s="616"/>
      <c r="V97" s="988"/>
      <c r="W97" s="450"/>
      <c r="Z97" s="989"/>
      <c r="AA97" s="989"/>
      <c r="AF97" s="635"/>
      <c r="AG97" s="635"/>
      <c r="AH97" s="635"/>
      <c r="AI97" s="635"/>
      <c r="AJ97" s="635"/>
      <c r="AK97" s="635"/>
      <c r="AL97" s="635"/>
      <c r="AM97" s="635"/>
      <c r="AN97" s="635"/>
      <c r="AO97" s="635"/>
      <c r="AP97" s="635"/>
      <c r="AR97" s="988"/>
    </row>
    <row r="98" spans="1:44" s="588" customFormat="1" hidden="1">
      <c r="A98" s="588" t="s">
        <v>754</v>
      </c>
      <c r="C98" s="604"/>
      <c r="D98" s="987">
        <f>D91</f>
        <v>10.613</v>
      </c>
      <c r="E98" s="592" t="s">
        <v>362</v>
      </c>
      <c r="F98" s="616"/>
      <c r="G98" s="987">
        <f ca="1">G91</f>
        <v>10.791</v>
      </c>
      <c r="H98" s="592" t="s">
        <v>362</v>
      </c>
      <c r="I98" s="616"/>
      <c r="J98" s="616"/>
      <c r="K98" s="987" t="e">
        <f>K91+K96</f>
        <v>#REF!</v>
      </c>
      <c r="L98" s="592" t="s">
        <v>362</v>
      </c>
      <c r="M98" s="616"/>
      <c r="N98" s="616"/>
      <c r="O98" s="987" t="e">
        <f>O91+O96</f>
        <v>#REF!</v>
      </c>
      <c r="P98" s="592" t="s">
        <v>362</v>
      </c>
      <c r="Q98" s="616"/>
      <c r="R98" s="616"/>
      <c r="S98" s="987" t="e">
        <f>S91+S96</f>
        <v>#REF!</v>
      </c>
      <c r="T98" s="592" t="s">
        <v>362</v>
      </c>
      <c r="U98" s="616"/>
      <c r="V98" s="988"/>
      <c r="W98" s="450"/>
      <c r="Z98" s="446" t="s">
        <v>31</v>
      </c>
      <c r="AA98" s="989"/>
      <c r="AF98" s="635"/>
      <c r="AG98" s="635"/>
      <c r="AH98" s="635"/>
      <c r="AI98" s="635"/>
      <c r="AJ98" s="635"/>
      <c r="AK98" s="635"/>
      <c r="AL98" s="635"/>
      <c r="AM98" s="635"/>
      <c r="AN98" s="635"/>
      <c r="AO98" s="635"/>
      <c r="AP98" s="635"/>
      <c r="AR98" s="988"/>
    </row>
    <row r="99" spans="1:44">
      <c r="A99" s="305" t="s">
        <v>369</v>
      </c>
      <c r="B99" s="1008"/>
      <c r="C99" s="61">
        <f>C116+C132+C147+C162+C177</f>
        <v>1545329995.1466</v>
      </c>
      <c r="D99" s="1009"/>
      <c r="E99" s="490"/>
      <c r="F99" s="490">
        <f>F116+F132+F147+F162+F177</f>
        <v>147705538</v>
      </c>
      <c r="G99" s="490"/>
      <c r="H99" s="490"/>
      <c r="I99" s="490">
        <f ca="1">I116+I132+I147+I162+I177</f>
        <v>150037121</v>
      </c>
      <c r="J99" s="490"/>
      <c r="K99" s="490"/>
      <c r="L99" s="490"/>
      <c r="M99" s="490" t="e">
        <f>SUM(M89:M98)</f>
        <v>#REF!</v>
      </c>
      <c r="N99" s="490"/>
      <c r="O99" s="490"/>
      <c r="P99" s="490"/>
      <c r="Q99" s="490" t="e">
        <f>SUM(Q89:Q98)</f>
        <v>#REF!</v>
      </c>
      <c r="R99" s="490"/>
      <c r="S99" s="490"/>
      <c r="T99" s="490"/>
      <c r="U99" s="490" t="e">
        <f ca="1">SUM(U89:U98)</f>
        <v>#REF!</v>
      </c>
      <c r="W99" s="54"/>
      <c r="AK99" s="7"/>
      <c r="AL99" s="7"/>
      <c r="AM99" s="7"/>
      <c r="AN99" s="7"/>
      <c r="AO99" s="7"/>
      <c r="AP99" s="7"/>
      <c r="AR99" s="496"/>
    </row>
    <row r="100" spans="1:44">
      <c r="A100" s="305" t="s">
        <v>351</v>
      </c>
      <c r="B100" s="1010"/>
      <c r="C100" s="1011">
        <f>C117+C133+C148+C163+C178</f>
        <v>-20611783.272717644</v>
      </c>
      <c r="D100" s="305"/>
      <c r="E100" s="305"/>
      <c r="F100" s="993">
        <f>F117+F133+F148+F163+F178</f>
        <v>579427.06268736452</v>
      </c>
      <c r="G100" s="305"/>
      <c r="H100" s="305"/>
      <c r="I100" s="993">
        <f>I117+I133+I148+I163+I178</f>
        <v>579427.06268736452</v>
      </c>
      <c r="J100" s="723"/>
      <c r="K100" s="305"/>
      <c r="L100" s="305"/>
      <c r="M100" s="993" t="e">
        <f>$I$100*V104/($V$104+$W$104+$X$104)</f>
        <v>#DIV/0!</v>
      </c>
      <c r="N100" s="723"/>
      <c r="O100" s="305"/>
      <c r="P100" s="305"/>
      <c r="Q100" s="993" t="e">
        <f>$I$100*W104/($V$104+$W$104+$X$104)</f>
        <v>#DIV/0!</v>
      </c>
      <c r="R100" s="723"/>
      <c r="S100" s="305"/>
      <c r="T100" s="305"/>
      <c r="U100" s="993" t="e">
        <f>$I$100*X104/($V$104+$W$104+$X$104)</f>
        <v>#DIV/0!</v>
      </c>
      <c r="AK100" s="7"/>
      <c r="AL100" s="7"/>
      <c r="AM100" s="7"/>
      <c r="AN100" s="7"/>
      <c r="AO100" s="7"/>
      <c r="AP100" s="7"/>
      <c r="AR100" s="496"/>
    </row>
    <row r="101" spans="1:44" ht="16.5" thickBot="1">
      <c r="A101" s="305" t="s">
        <v>370</v>
      </c>
      <c r="B101" s="305"/>
      <c r="C101" s="1012">
        <f>C99+C100</f>
        <v>1524718211.8738823</v>
      </c>
      <c r="D101" s="995"/>
      <c r="E101" s="995"/>
      <c r="F101" s="995">
        <f>F99+F100</f>
        <v>148284965.06268737</v>
      </c>
      <c r="G101" s="995"/>
      <c r="H101" s="995"/>
      <c r="I101" s="995">
        <f ca="1">I99+I100</f>
        <v>150616548.06268737</v>
      </c>
      <c r="J101" s="995"/>
      <c r="K101" s="995"/>
      <c r="L101" s="995"/>
      <c r="M101" s="995" t="e">
        <f>M99+M100</f>
        <v>#REF!</v>
      </c>
      <c r="N101" s="995"/>
      <c r="O101" s="995"/>
      <c r="P101" s="995"/>
      <c r="Q101" s="995" t="e">
        <f>Q99+Q100</f>
        <v>#REF!</v>
      </c>
      <c r="R101" s="995"/>
      <c r="S101" s="995"/>
      <c r="T101" s="995"/>
      <c r="U101" s="995" t="e">
        <f ca="1">U99+U100</f>
        <v>#REF!</v>
      </c>
      <c r="V101" s="442" t="s">
        <v>352</v>
      </c>
      <c r="W101" s="1013">
        <f ca="1">'Rate Spread targets'!Q18*1000</f>
        <v>150811651.64526105</v>
      </c>
      <c r="X101" s="998">
        <f ca="1">'Rate Spread targets'!V18</f>
        <v>1.7039398306534264E-2</v>
      </c>
      <c r="Y101" s="453"/>
      <c r="Z101" s="4" t="s">
        <v>31</v>
      </c>
      <c r="AA101" s="4" t="s">
        <v>31</v>
      </c>
      <c r="AK101" s="7"/>
      <c r="AL101" s="7"/>
      <c r="AM101" s="7"/>
      <c r="AN101" s="7"/>
      <c r="AO101" s="7"/>
      <c r="AP101" s="7"/>
      <c r="AR101" s="496"/>
    </row>
    <row r="102" spans="1:44" ht="16.5" thickTop="1">
      <c r="A102" s="305"/>
      <c r="B102" s="305"/>
      <c r="C102" s="999"/>
      <c r="D102" s="723"/>
      <c r="E102" s="723"/>
      <c r="F102" s="723"/>
      <c r="G102" s="723"/>
      <c r="H102" s="723"/>
      <c r="I102" s="723"/>
      <c r="J102" s="723"/>
      <c r="K102" s="723"/>
      <c r="L102" s="723"/>
      <c r="M102" s="723"/>
      <c r="N102" s="723"/>
      <c r="O102" s="723"/>
      <c r="P102" s="723"/>
      <c r="Q102" s="723"/>
      <c r="R102" s="723"/>
      <c r="S102" s="723"/>
      <c r="T102" s="723"/>
      <c r="U102" s="723" t="s">
        <v>31</v>
      </c>
      <c r="V102" s="568" t="s">
        <v>256</v>
      </c>
      <c r="W102" s="1001">
        <f ca="1">W101-I101</f>
        <v>195103.58257368207</v>
      </c>
      <c r="X102" s="1002">
        <v>1.6049999999999998E-2</v>
      </c>
      <c r="Y102" s="453"/>
      <c r="AK102" s="7"/>
      <c r="AL102" s="7"/>
      <c r="AM102" s="7"/>
      <c r="AN102" s="7"/>
      <c r="AO102" s="7"/>
      <c r="AP102" s="7"/>
      <c r="AR102" s="496"/>
    </row>
    <row r="103" spans="1:44">
      <c r="A103" s="305"/>
      <c r="B103" s="305"/>
      <c r="C103" s="999"/>
      <c r="D103" s="723"/>
      <c r="E103" s="723"/>
      <c r="F103" s="723"/>
      <c r="G103" s="723"/>
      <c r="H103" s="723"/>
      <c r="I103" s="723"/>
      <c r="J103" s="723"/>
      <c r="K103" s="723"/>
      <c r="L103" s="723"/>
      <c r="M103" s="723"/>
      <c r="N103" s="723"/>
      <c r="O103" s="723"/>
      <c r="P103" s="723"/>
      <c r="Q103" s="723"/>
      <c r="R103" s="723"/>
      <c r="S103" s="723"/>
      <c r="T103" s="723"/>
      <c r="U103" s="723">
        <f ca="1">U102-I101</f>
        <v>-150616548.06268737</v>
      </c>
      <c r="V103" s="1014"/>
      <c r="W103" s="540"/>
      <c r="X103" s="1015"/>
      <c r="Y103" s="453"/>
      <c r="AK103" s="7"/>
      <c r="AL103" s="7"/>
      <c r="AM103" s="7"/>
      <c r="AN103" s="7"/>
      <c r="AO103" s="7"/>
      <c r="AP103" s="7"/>
      <c r="AR103" s="496"/>
    </row>
    <row r="104" spans="1:44">
      <c r="A104" s="305"/>
      <c r="B104" s="1016"/>
      <c r="C104" s="61"/>
      <c r="D104" s="305" t="s">
        <v>31</v>
      </c>
      <c r="E104" s="305"/>
      <c r="G104" s="305" t="s">
        <v>31</v>
      </c>
      <c r="H104" s="305"/>
      <c r="I104" s="490"/>
      <c r="J104" s="490"/>
      <c r="K104" s="305" t="s">
        <v>31</v>
      </c>
      <c r="L104" s="305"/>
      <c r="V104" s="988"/>
      <c r="W104" s="988"/>
      <c r="X104" s="988"/>
      <c r="Y104" s="546"/>
      <c r="AK104" s="7"/>
      <c r="AL104" s="7"/>
      <c r="AM104" s="7"/>
      <c r="AN104" s="7"/>
      <c r="AO104" s="7"/>
      <c r="AP104" s="7"/>
      <c r="AR104" s="496"/>
    </row>
    <row r="105" spans="1:44">
      <c r="A105" s="305" t="s">
        <v>371</v>
      </c>
      <c r="B105" s="305"/>
      <c r="C105" s="305" t="s">
        <v>31</v>
      </c>
      <c r="D105" s="61"/>
      <c r="E105" s="305"/>
      <c r="F105" s="305"/>
      <c r="G105" s="61"/>
      <c r="H105" s="305"/>
      <c r="I105" s="391" t="s">
        <v>31</v>
      </c>
      <c r="J105" s="305"/>
      <c r="K105" s="61"/>
      <c r="L105" s="305"/>
      <c r="M105" s="305"/>
      <c r="N105" s="305"/>
      <c r="O105" s="61"/>
      <c r="P105" s="305"/>
      <c r="Q105" s="305"/>
      <c r="R105" s="305"/>
      <c r="S105" s="61"/>
      <c r="T105" s="305"/>
      <c r="U105" s="305"/>
      <c r="V105" s="490"/>
      <c r="W105" s="490"/>
      <c r="X105" s="490"/>
      <c r="Y105" s="305"/>
      <c r="AA105" s="490"/>
      <c r="AB105" s="305" t="s">
        <v>31</v>
      </c>
      <c r="AC105" s="305"/>
      <c r="AE105" s="7"/>
      <c r="AF105" s="7"/>
      <c r="AG105" s="7"/>
      <c r="AH105" s="7"/>
      <c r="AI105" s="7"/>
      <c r="AJ105" s="7"/>
      <c r="AK105" s="7"/>
      <c r="AL105" s="7"/>
      <c r="AM105" s="7"/>
      <c r="AN105" s="7"/>
      <c r="AO105" s="7"/>
      <c r="AP105" s="7"/>
      <c r="AR105" s="496"/>
    </row>
    <row r="106" spans="1:44">
      <c r="A106" s="305" t="s">
        <v>318</v>
      </c>
      <c r="B106" s="305"/>
      <c r="C106" s="305" t="s">
        <v>31</v>
      </c>
      <c r="D106" s="61"/>
      <c r="E106" s="305"/>
      <c r="F106" s="305"/>
      <c r="G106" s="61"/>
      <c r="H106" s="305"/>
      <c r="I106" s="305"/>
      <c r="J106" s="305"/>
      <c r="K106" s="61"/>
      <c r="L106" s="305"/>
      <c r="M106" s="305" t="s">
        <v>31</v>
      </c>
      <c r="N106" s="305"/>
      <c r="O106" s="61"/>
      <c r="P106" s="305"/>
      <c r="Q106" s="305"/>
      <c r="R106" s="305"/>
      <c r="S106" s="61"/>
      <c r="T106" s="305"/>
      <c r="U106" s="305"/>
      <c r="V106" s="7"/>
      <c r="W106" s="31"/>
      <c r="X106" s="31"/>
      <c r="Y106" s="31"/>
      <c r="Z106" s="7"/>
      <c r="AA106" s="7"/>
      <c r="AB106" s="7"/>
      <c r="AC106" s="7"/>
      <c r="AD106" s="7"/>
      <c r="AE106" s="7"/>
      <c r="AF106" s="7"/>
      <c r="AG106" s="7"/>
      <c r="AH106" s="7"/>
      <c r="AI106" s="7"/>
      <c r="AJ106" s="7"/>
      <c r="AK106" s="7"/>
      <c r="AL106" s="7"/>
      <c r="AM106" s="7"/>
      <c r="AN106" s="7"/>
      <c r="AO106" s="7"/>
      <c r="AP106" s="7"/>
      <c r="AR106" s="496"/>
    </row>
    <row r="107" spans="1:44">
      <c r="A107" s="305"/>
      <c r="B107" s="305"/>
      <c r="C107" s="305"/>
      <c r="D107" s="61"/>
      <c r="E107" s="305"/>
      <c r="F107" s="305"/>
      <c r="G107" s="61"/>
      <c r="H107" s="305"/>
      <c r="I107" s="305"/>
      <c r="J107" s="305"/>
      <c r="K107" s="61"/>
      <c r="L107" s="305"/>
      <c r="M107" s="305"/>
      <c r="N107" s="305"/>
      <c r="O107" s="61"/>
      <c r="P107" s="305"/>
      <c r="Q107" s="305"/>
      <c r="R107" s="305"/>
      <c r="S107" s="61"/>
      <c r="T107" s="305"/>
      <c r="U107" s="305"/>
      <c r="V107" s="7"/>
      <c r="W107" s="31"/>
      <c r="X107" s="31"/>
      <c r="Y107" s="31"/>
      <c r="Z107" s="7" t="s">
        <v>31</v>
      </c>
      <c r="AA107" s="7"/>
      <c r="AB107" s="7"/>
      <c r="AC107" s="7"/>
      <c r="AD107" s="7"/>
      <c r="AE107" s="7"/>
      <c r="AF107" s="7"/>
      <c r="AG107" s="7"/>
      <c r="AH107" s="7"/>
      <c r="AI107" s="7"/>
      <c r="AJ107" s="7"/>
      <c r="AK107" s="7"/>
      <c r="AL107" s="7"/>
      <c r="AM107" s="7"/>
      <c r="AN107" s="7"/>
      <c r="AO107" s="7"/>
      <c r="AP107" s="7"/>
      <c r="AR107" s="496"/>
    </row>
    <row r="108" spans="1:44">
      <c r="A108" s="305" t="s">
        <v>358</v>
      </c>
      <c r="B108" s="305"/>
      <c r="C108" s="61">
        <v>1217910.59483868</v>
      </c>
      <c r="D108" s="448">
        <f>$D$89</f>
        <v>7.75</v>
      </c>
      <c r="E108" s="305"/>
      <c r="F108" s="490">
        <f>ROUND(D108*C108,0)</f>
        <v>9438807</v>
      </c>
      <c r="G108" s="448">
        <f>$G$89</f>
        <v>7.75</v>
      </c>
      <c r="H108" s="305"/>
      <c r="I108" s="490">
        <f>ROUND(G108*$C108,0)</f>
        <v>9438807</v>
      </c>
      <c r="J108" s="490"/>
      <c r="K108" s="448" t="e">
        <f t="shared" ref="K108:K115" si="20">K89</f>
        <v>#REF!</v>
      </c>
      <c r="L108" s="305"/>
      <c r="M108" s="490" t="e">
        <f>#REF!</f>
        <v>#REF!</v>
      </c>
      <c r="N108" s="490"/>
      <c r="O108" s="448" t="str">
        <f>$O$89</f>
        <v xml:space="preserve"> </v>
      </c>
      <c r="P108" s="305"/>
      <c r="Q108" s="490" t="e">
        <f>#REF!</f>
        <v>#REF!</v>
      </c>
      <c r="R108" s="490"/>
      <c r="S108" s="448" t="str">
        <f>$S$89</f>
        <v xml:space="preserve"> </v>
      </c>
      <c r="T108" s="305"/>
      <c r="U108" s="490" t="e">
        <f>#REF!</f>
        <v>#REF!</v>
      </c>
      <c r="V108" s="7"/>
      <c r="W108" s="31"/>
      <c r="X108" s="31"/>
      <c r="Y108" s="31"/>
      <c r="Z108" s="7"/>
      <c r="AA108" s="7"/>
      <c r="AB108" s="7"/>
      <c r="AC108" s="7"/>
      <c r="AD108" s="7"/>
      <c r="AE108" s="7"/>
      <c r="AF108" s="7"/>
      <c r="AG108" s="7"/>
      <c r="AH108" s="7"/>
      <c r="AI108" s="7"/>
      <c r="AJ108" s="7"/>
      <c r="AK108" s="7"/>
      <c r="AL108" s="7"/>
      <c r="AM108" s="7"/>
      <c r="AN108" s="7"/>
      <c r="AO108" s="7"/>
      <c r="AP108" s="7"/>
      <c r="AR108" s="496"/>
    </row>
    <row r="109" spans="1:44">
      <c r="A109" s="305" t="s">
        <v>361</v>
      </c>
      <c r="B109" s="305"/>
      <c r="C109" s="61">
        <v>638778486.29178238</v>
      </c>
      <c r="D109" s="1006">
        <f>$D$90</f>
        <v>6.7170000000000005</v>
      </c>
      <c r="E109" s="305" t="s">
        <v>362</v>
      </c>
      <c r="F109" s="490">
        <f>ROUND(C109*D109/100,0)</f>
        <v>42906751</v>
      </c>
      <c r="G109" s="1006">
        <f ca="1">$G$90</f>
        <v>6.8330000000000002</v>
      </c>
      <c r="H109" s="305" t="s">
        <v>362</v>
      </c>
      <c r="I109" s="490">
        <f ca="1">ROUND(G109*$C109/100,0)</f>
        <v>43647734</v>
      </c>
      <c r="J109" s="490"/>
      <c r="K109" s="1006" t="e">
        <f t="shared" si="20"/>
        <v>#REF!</v>
      </c>
      <c r="L109" s="305" t="s">
        <v>362</v>
      </c>
      <c r="M109" s="490" t="e">
        <f>#REF!</f>
        <v>#REF!</v>
      </c>
      <c r="N109" s="490"/>
      <c r="O109" s="1006" t="e">
        <f>O90</f>
        <v>#REF!</v>
      </c>
      <c r="P109" s="305" t="s">
        <v>362</v>
      </c>
      <c r="Q109" s="490" t="e">
        <f>#REF!</f>
        <v>#REF!</v>
      </c>
      <c r="R109" s="490"/>
      <c r="S109" s="1006" t="e">
        <f>S90</f>
        <v>#REF!</v>
      </c>
      <c r="T109" s="305" t="s">
        <v>362</v>
      </c>
      <c r="U109" s="490" t="e">
        <f>#REF!</f>
        <v>#REF!</v>
      </c>
      <c r="V109" s="7"/>
      <c r="W109" s="31"/>
      <c r="X109" s="31"/>
      <c r="Y109" s="31"/>
      <c r="Z109" s="7"/>
      <c r="AA109" s="7"/>
      <c r="AB109" s="7"/>
      <c r="AC109" s="7"/>
      <c r="AD109" s="7"/>
      <c r="AE109" s="7"/>
      <c r="AF109" s="7"/>
      <c r="AG109" s="7"/>
      <c r="AH109" s="7"/>
      <c r="AI109" s="7"/>
      <c r="AJ109" s="7"/>
      <c r="AK109" s="7"/>
      <c r="AL109" s="7"/>
      <c r="AM109" s="7"/>
      <c r="AN109" s="7"/>
      <c r="AO109" s="7"/>
      <c r="AP109" s="7"/>
      <c r="AR109" s="496"/>
    </row>
    <row r="110" spans="1:44">
      <c r="A110" s="305" t="s">
        <v>363</v>
      </c>
      <c r="B110" s="61"/>
      <c r="C110" s="61">
        <v>815713648.78439105</v>
      </c>
      <c r="D110" s="1006">
        <f>$D$91</f>
        <v>10.613</v>
      </c>
      <c r="E110" s="305" t="s">
        <v>362</v>
      </c>
      <c r="F110" s="490">
        <f>ROUND(C110*D110/100,0)</f>
        <v>86571690</v>
      </c>
      <c r="G110" s="1006">
        <f ca="1">$G$91</f>
        <v>10.791</v>
      </c>
      <c r="H110" s="305" t="s">
        <v>362</v>
      </c>
      <c r="I110" s="490">
        <f ca="1">ROUND(G110*$C110/100,0)</f>
        <v>88023660</v>
      </c>
      <c r="J110" s="490"/>
      <c r="K110" s="1006" t="e">
        <f t="shared" si="20"/>
        <v>#REF!</v>
      </c>
      <c r="L110" s="305" t="s">
        <v>362</v>
      </c>
      <c r="M110" s="490" t="e">
        <f>#REF!</f>
        <v>#REF!</v>
      </c>
      <c r="N110" s="490"/>
      <c r="O110" s="1006" t="e">
        <f>O91</f>
        <v>#REF!</v>
      </c>
      <c r="P110" s="305" t="s">
        <v>362</v>
      </c>
      <c r="Q110" s="490" t="e">
        <f>#REF!</f>
        <v>#REF!</v>
      </c>
      <c r="R110" s="490"/>
      <c r="S110" s="1006" t="e">
        <f>S91</f>
        <v>#REF!</v>
      </c>
      <c r="T110" s="305" t="s">
        <v>362</v>
      </c>
      <c r="U110" s="490" t="e">
        <f>#REF!</f>
        <v>#REF!</v>
      </c>
      <c r="V110" s="7"/>
      <c r="W110" s="31"/>
      <c r="X110" s="31"/>
      <c r="Y110" s="31"/>
      <c r="Z110" s="7"/>
      <c r="AA110" s="7"/>
      <c r="AB110" s="7"/>
      <c r="AC110" s="7"/>
      <c r="AD110" s="7"/>
      <c r="AE110" s="7"/>
      <c r="AF110" s="7"/>
      <c r="AG110" s="7"/>
      <c r="AH110" s="7"/>
      <c r="AI110" s="7"/>
      <c r="AJ110" s="7"/>
      <c r="AK110" s="7"/>
      <c r="AL110" s="7"/>
      <c r="AM110" s="7"/>
      <c r="AN110" s="7"/>
      <c r="AO110" s="7"/>
      <c r="AP110" s="7"/>
      <c r="AR110" s="496"/>
    </row>
    <row r="111" spans="1:44">
      <c r="A111" s="305" t="s">
        <v>365</v>
      </c>
      <c r="B111" s="305"/>
      <c r="C111" s="61">
        <v>0</v>
      </c>
      <c r="D111" s="448">
        <f>$D$92</f>
        <v>1.78</v>
      </c>
      <c r="E111" s="305"/>
      <c r="F111" s="490">
        <v>0</v>
      </c>
      <c r="G111" s="448">
        <f>$G$92</f>
        <v>1.78</v>
      </c>
      <c r="H111" s="305"/>
      <c r="I111" s="490">
        <f>ROUND(G111*$C111,0)</f>
        <v>0</v>
      </c>
      <c r="J111" s="490"/>
      <c r="K111" s="448" t="e">
        <f t="shared" si="20"/>
        <v>#REF!</v>
      </c>
      <c r="L111" s="305"/>
      <c r="M111" s="490" t="e">
        <f>#REF!</f>
        <v>#REF!</v>
      </c>
      <c r="N111" s="490"/>
      <c r="O111" s="448" t="str">
        <f>O92</f>
        <v xml:space="preserve"> </v>
      </c>
      <c r="P111" s="305"/>
      <c r="Q111" s="490" t="e">
        <f>#REF!</f>
        <v>#REF!</v>
      </c>
      <c r="R111" s="490"/>
      <c r="S111" s="448" t="e">
        <f>S92</f>
        <v>#REF!</v>
      </c>
      <c r="T111" s="305"/>
      <c r="U111" s="490" t="e">
        <f>#REF!</f>
        <v>#REF!</v>
      </c>
      <c r="V111" s="7"/>
      <c r="W111" s="31"/>
      <c r="X111" s="31"/>
      <c r="Y111" s="31"/>
      <c r="Z111" s="7"/>
      <c r="AA111" s="7"/>
      <c r="AB111" s="7"/>
      <c r="AC111" s="7"/>
      <c r="AD111" s="7"/>
      <c r="AE111" s="7"/>
      <c r="AF111" s="7"/>
      <c r="AG111" s="7"/>
      <c r="AH111" s="7"/>
      <c r="AI111" s="7"/>
      <c r="AJ111" s="7"/>
      <c r="AK111" s="7"/>
      <c r="AL111" s="7"/>
      <c r="AM111" s="7"/>
      <c r="AN111" s="7"/>
      <c r="AO111" s="7"/>
      <c r="AP111" s="7"/>
      <c r="AR111" s="496"/>
    </row>
    <row r="112" spans="1:44">
      <c r="A112" s="4" t="s">
        <v>367</v>
      </c>
      <c r="C112" s="61">
        <v>0</v>
      </c>
      <c r="D112" s="448">
        <f>$D$93</f>
        <v>3.5</v>
      </c>
      <c r="F112" s="490">
        <v>0</v>
      </c>
      <c r="G112" s="448">
        <f>$G$93</f>
        <v>3.5</v>
      </c>
      <c r="I112" s="490">
        <f>ROUND(G112*$C112,0)</f>
        <v>0</v>
      </c>
      <c r="J112" s="490"/>
      <c r="K112" s="448" t="e">
        <f t="shared" si="20"/>
        <v>#REF!</v>
      </c>
      <c r="M112" s="490" t="e">
        <f>#REF!</f>
        <v>#REF!</v>
      </c>
      <c r="N112" s="490"/>
      <c r="O112" s="448" t="str">
        <f t="shared" ref="O112" si="21">O93</f>
        <v xml:space="preserve"> </v>
      </c>
      <c r="Q112" s="490" t="e">
        <f>#REF!</f>
        <v>#REF!</v>
      </c>
      <c r="R112" s="490"/>
      <c r="S112" s="448" t="e">
        <f>S93</f>
        <v>#REF!</v>
      </c>
      <c r="U112" s="490" t="e">
        <f>#REF!</f>
        <v>#REF!</v>
      </c>
      <c r="V112" s="7"/>
      <c r="W112" s="31"/>
      <c r="X112" s="31"/>
      <c r="Y112" s="31"/>
      <c r="Z112" s="7"/>
      <c r="AA112" s="7"/>
      <c r="AB112" s="7"/>
      <c r="AC112" s="7"/>
      <c r="AD112" s="7"/>
      <c r="AE112" s="7"/>
      <c r="AF112" s="7"/>
      <c r="AG112" s="7"/>
      <c r="AH112" s="7"/>
      <c r="AI112" s="7"/>
      <c r="AJ112" s="7"/>
      <c r="AK112" s="7"/>
      <c r="AL112" s="7"/>
      <c r="AM112" s="7"/>
      <c r="AN112" s="7"/>
      <c r="AO112" s="7"/>
      <c r="AP112" s="7"/>
      <c r="AR112" s="496"/>
    </row>
    <row r="113" spans="1:44">
      <c r="A113" s="4" t="s">
        <v>368</v>
      </c>
      <c r="C113" s="61">
        <v>0</v>
      </c>
      <c r="D113" s="448">
        <f>$D$94</f>
        <v>-1.78</v>
      </c>
      <c r="F113" s="490">
        <v>0</v>
      </c>
      <c r="G113" s="448">
        <f>-G111</f>
        <v>-1.78</v>
      </c>
      <c r="I113" s="490">
        <f>ROUND(G113*$C113,0)</f>
        <v>0</v>
      </c>
      <c r="J113" s="490"/>
      <c r="K113" s="448" t="str">
        <f t="shared" si="20"/>
        <v xml:space="preserve"> </v>
      </c>
      <c r="M113" s="490" t="e">
        <f>#REF!</f>
        <v>#REF!</v>
      </c>
      <c r="N113" s="490"/>
      <c r="O113" s="448" t="str">
        <f>O96</f>
        <v xml:space="preserve"> </v>
      </c>
      <c r="Q113" s="490" t="e">
        <f>#REF!</f>
        <v>#REF!</v>
      </c>
      <c r="R113" s="490"/>
      <c r="S113" s="448" t="e">
        <f>-S111</f>
        <v>#REF!</v>
      </c>
      <c r="U113" s="490" t="e">
        <f>#REF!</f>
        <v>#REF!</v>
      </c>
      <c r="V113" s="7"/>
      <c r="W113" s="31"/>
      <c r="X113" s="31"/>
      <c r="Y113" s="31"/>
      <c r="Z113" s="7"/>
      <c r="AA113" s="7"/>
      <c r="AB113" s="7"/>
      <c r="AC113" s="7"/>
      <c r="AD113" s="7"/>
      <c r="AE113" s="7"/>
      <c r="AF113" s="7"/>
      <c r="AG113" s="7"/>
      <c r="AH113" s="7"/>
      <c r="AI113" s="7"/>
      <c r="AJ113" s="7"/>
      <c r="AK113" s="7"/>
      <c r="AL113" s="7"/>
      <c r="AM113" s="7"/>
      <c r="AN113" s="7"/>
      <c r="AO113" s="7"/>
      <c r="AP113" s="7"/>
      <c r="AR113" s="496"/>
    </row>
    <row r="114" spans="1:44" s="588" customFormat="1" hidden="1">
      <c r="A114" s="588" t="s">
        <v>769</v>
      </c>
      <c r="C114" s="631">
        <f>C109</f>
        <v>638778486.29178238</v>
      </c>
      <c r="D114" s="990">
        <v>0</v>
      </c>
      <c r="E114" s="635"/>
      <c r="F114" s="616"/>
      <c r="G114" s="987">
        <v>0</v>
      </c>
      <c r="H114" s="592" t="s">
        <v>362</v>
      </c>
      <c r="I114" s="616">
        <f>G114*C114/100</f>
        <v>0</v>
      </c>
      <c r="J114" s="616"/>
      <c r="K114" s="987" t="e">
        <f t="shared" si="20"/>
        <v>#REF!</v>
      </c>
      <c r="L114" s="592" t="s">
        <v>31</v>
      </c>
      <c r="M114" s="490" t="e">
        <f>#REF!</f>
        <v>#REF!</v>
      </c>
      <c r="N114" s="616"/>
      <c r="O114" s="448" t="str">
        <f>O94</f>
        <v xml:space="preserve"> </v>
      </c>
      <c r="P114" s="592" t="s">
        <v>31</v>
      </c>
      <c r="Q114" s="490" t="e">
        <f>#REF!</f>
        <v>#REF!</v>
      </c>
      <c r="R114" s="616"/>
      <c r="S114" s="987">
        <f>G114</f>
        <v>0</v>
      </c>
      <c r="T114" s="592" t="s">
        <v>362</v>
      </c>
      <c r="U114" s="490" t="e">
        <f>#REF!</f>
        <v>#REF!</v>
      </c>
      <c r="W114" s="450"/>
      <c r="Z114" s="989"/>
      <c r="AA114" s="989"/>
      <c r="AF114" s="635"/>
      <c r="AG114" s="635"/>
      <c r="AH114" s="635"/>
      <c r="AI114" s="635"/>
      <c r="AJ114" s="635"/>
      <c r="AK114" s="635"/>
      <c r="AL114" s="635"/>
      <c r="AM114" s="635"/>
      <c r="AN114" s="635"/>
      <c r="AO114" s="635"/>
      <c r="AP114" s="635"/>
      <c r="AR114" s="988"/>
    </row>
    <row r="115" spans="1:44" s="588" customFormat="1" hidden="1">
      <c r="A115" s="588" t="s">
        <v>770</v>
      </c>
      <c r="C115" s="631">
        <f>C110</f>
        <v>815713648.78439105</v>
      </c>
      <c r="D115" s="990">
        <v>0</v>
      </c>
      <c r="E115" s="635"/>
      <c r="F115" s="616"/>
      <c r="G115" s="987">
        <v>0</v>
      </c>
      <c r="H115" s="592" t="s">
        <v>362</v>
      </c>
      <c r="I115" s="616">
        <f>G115*C115/100</f>
        <v>0</v>
      </c>
      <c r="J115" s="616"/>
      <c r="K115" s="987" t="e">
        <f t="shared" si="20"/>
        <v>#REF!</v>
      </c>
      <c r="L115" s="592" t="s">
        <v>31</v>
      </c>
      <c r="M115" s="490" t="e">
        <f>#REF!</f>
        <v>#REF!</v>
      </c>
      <c r="N115" s="616"/>
      <c r="O115" s="448" t="str">
        <f>O95</f>
        <v xml:space="preserve"> </v>
      </c>
      <c r="P115" s="592" t="s">
        <v>31</v>
      </c>
      <c r="Q115" s="490" t="e">
        <f>#REF!</f>
        <v>#REF!</v>
      </c>
      <c r="R115" s="616"/>
      <c r="S115" s="987">
        <f>G115</f>
        <v>0</v>
      </c>
      <c r="T115" s="592" t="s">
        <v>362</v>
      </c>
      <c r="U115" s="490" t="e">
        <f>#REF!</f>
        <v>#REF!</v>
      </c>
      <c r="W115" s="450"/>
      <c r="Z115" s="989"/>
      <c r="AA115" s="989"/>
      <c r="AF115" s="635"/>
      <c r="AG115" s="635"/>
      <c r="AH115" s="635"/>
      <c r="AI115" s="635"/>
      <c r="AJ115" s="635"/>
      <c r="AK115" s="635"/>
      <c r="AL115" s="635"/>
      <c r="AM115" s="635"/>
      <c r="AN115" s="635"/>
      <c r="AO115" s="635"/>
      <c r="AP115" s="635"/>
      <c r="AR115" s="988"/>
    </row>
    <row r="116" spans="1:44">
      <c r="A116" s="305" t="s">
        <v>369</v>
      </c>
      <c r="B116" s="1008"/>
      <c r="C116" s="61">
        <f>SUM(C109:C110)</f>
        <v>1454492135.0761733</v>
      </c>
      <c r="D116" s="1009"/>
      <c r="E116" s="490"/>
      <c r="F116" s="490">
        <f>SUM(F108:F115)</f>
        <v>138917248</v>
      </c>
      <c r="G116" s="490"/>
      <c r="H116" s="490"/>
      <c r="I116" s="490">
        <f ca="1">SUM(I108:I115)</f>
        <v>141110201</v>
      </c>
      <c r="J116" s="490"/>
      <c r="K116" s="490"/>
      <c r="L116" s="490"/>
      <c r="M116" s="490" t="e">
        <f>SUM(M108:M115)</f>
        <v>#REF!</v>
      </c>
      <c r="N116" s="490"/>
      <c r="O116" s="490"/>
      <c r="P116" s="490"/>
      <c r="Q116" s="490" t="e">
        <f>SUM(Q108:Q115)</f>
        <v>#REF!</v>
      </c>
      <c r="R116" s="490"/>
      <c r="S116" s="490"/>
      <c r="T116" s="490"/>
      <c r="U116" s="490" t="e">
        <f>SUM(U108:U115)</f>
        <v>#REF!</v>
      </c>
      <c r="V116" s="7"/>
      <c r="W116" s="723"/>
      <c r="X116" s="31"/>
      <c r="Y116" s="31"/>
      <c r="Z116" s="7"/>
      <c r="AA116" s="7"/>
      <c r="AB116" s="7"/>
      <c r="AC116" s="7"/>
      <c r="AD116" s="7"/>
      <c r="AE116" s="7"/>
      <c r="AF116" s="7"/>
      <c r="AG116" s="7"/>
      <c r="AH116" s="7"/>
      <c r="AI116" s="7"/>
      <c r="AJ116" s="7"/>
      <c r="AK116" s="7"/>
      <c r="AL116" s="7"/>
      <c r="AM116" s="7"/>
      <c r="AN116" s="7"/>
      <c r="AO116" s="7"/>
      <c r="AP116" s="7"/>
      <c r="AR116" s="496"/>
    </row>
    <row r="117" spans="1:44">
      <c r="A117" s="305" t="s">
        <v>351</v>
      </c>
      <c r="B117" s="1010"/>
      <c r="C117" s="1017">
        <f>'Table 2'!H13</f>
        <v>-19398896.755837858</v>
      </c>
      <c r="D117" s="305"/>
      <c r="E117" s="305"/>
      <c r="F117" s="993">
        <f>'Table 3'!E13</f>
        <v>545022.73549619329</v>
      </c>
      <c r="G117" s="305"/>
      <c r="H117" s="305"/>
      <c r="I117" s="993">
        <f>F117</f>
        <v>545022.73549619329</v>
      </c>
      <c r="J117" s="723"/>
      <c r="K117" s="305"/>
      <c r="L117" s="305"/>
      <c r="M117" s="993" t="e">
        <f>I117/$I$100*$M$100</f>
        <v>#DIV/0!</v>
      </c>
      <c r="N117" s="723"/>
      <c r="O117" s="305"/>
      <c r="P117" s="305"/>
      <c r="Q117" s="993" t="e">
        <f>I117/$I$100*$Q$100</f>
        <v>#DIV/0!</v>
      </c>
      <c r="R117" s="723"/>
      <c r="S117" s="305"/>
      <c r="T117" s="305"/>
      <c r="U117" s="993" t="e">
        <f>I117/$I$100*$U$100</f>
        <v>#DIV/0!</v>
      </c>
      <c r="V117" s="714"/>
      <c r="W117" s="171"/>
      <c r="X117" s="31"/>
      <c r="Y117" s="31"/>
      <c r="Z117" s="7"/>
      <c r="AA117" s="7"/>
      <c r="AB117" s="7"/>
      <c r="AC117" s="7"/>
      <c r="AD117" s="7"/>
      <c r="AE117" s="7"/>
      <c r="AF117" s="7"/>
      <c r="AG117" s="7"/>
      <c r="AH117" s="7"/>
      <c r="AI117" s="7"/>
      <c r="AJ117" s="7"/>
      <c r="AK117" s="7"/>
      <c r="AL117" s="7"/>
      <c r="AM117" s="7"/>
      <c r="AN117" s="7"/>
      <c r="AO117" s="7"/>
      <c r="AP117" s="7"/>
      <c r="AR117" s="496"/>
    </row>
    <row r="118" spans="1:44" ht="16.5" thickBot="1">
      <c r="A118" s="305" t="s">
        <v>370</v>
      </c>
      <c r="B118" s="305"/>
      <c r="C118" s="1012">
        <f>C116+C117</f>
        <v>1435093238.3203354</v>
      </c>
      <c r="D118" s="995"/>
      <c r="E118" s="995"/>
      <c r="F118" s="995">
        <f>SUM(F116:F117)</f>
        <v>139462270.73549619</v>
      </c>
      <c r="G118" s="995"/>
      <c r="H118" s="995"/>
      <c r="I118" s="995">
        <f ca="1">I116+I117</f>
        <v>141655223.73549619</v>
      </c>
      <c r="J118" s="723"/>
      <c r="K118" s="995"/>
      <c r="L118" s="995"/>
      <c r="M118" s="995" t="e">
        <f>M116+M117</f>
        <v>#REF!</v>
      </c>
      <c r="N118" s="995"/>
      <c r="O118" s="995"/>
      <c r="P118" s="995"/>
      <c r="Q118" s="995" t="e">
        <f>Q116+Q117</f>
        <v>#REF!</v>
      </c>
      <c r="R118" s="995"/>
      <c r="S118" s="995"/>
      <c r="T118" s="995"/>
      <c r="U118" s="995" t="e">
        <f>U116+$U$117</f>
        <v>#REF!</v>
      </c>
      <c r="V118" s="295"/>
      <c r="W118" s="354"/>
      <c r="X118" s="31"/>
      <c r="Y118" s="31"/>
      <c r="Z118" s="7"/>
      <c r="AA118" s="7"/>
      <c r="AB118" s="7"/>
      <c r="AC118" s="7"/>
      <c r="AD118" s="7"/>
      <c r="AE118" s="7"/>
      <c r="AF118" s="7"/>
      <c r="AG118" s="7"/>
      <c r="AH118" s="7"/>
      <c r="AI118" s="7"/>
      <c r="AJ118" s="7"/>
      <c r="AK118" s="7"/>
      <c r="AL118" s="7"/>
      <c r="AM118" s="7"/>
      <c r="AN118" s="7"/>
      <c r="AO118" s="7"/>
      <c r="AP118" s="7"/>
      <c r="AR118" s="496"/>
    </row>
    <row r="119" spans="1:44" ht="16.5" thickTop="1">
      <c r="A119" s="305"/>
      <c r="B119" s="1016"/>
      <c r="C119" s="61"/>
      <c r="D119" s="305" t="s">
        <v>31</v>
      </c>
      <c r="E119" s="305"/>
      <c r="F119" s="496" t="s">
        <v>31</v>
      </c>
      <c r="G119" s="305" t="s">
        <v>31</v>
      </c>
      <c r="H119" s="305"/>
      <c r="I119" s="490" t="s">
        <v>31</v>
      </c>
      <c r="J119" s="490"/>
      <c r="K119" s="305" t="s">
        <v>31</v>
      </c>
      <c r="L119" s="305"/>
      <c r="M119" s="490" t="s">
        <v>31</v>
      </c>
      <c r="N119" s="490"/>
      <c r="O119" s="305" t="s">
        <v>31</v>
      </c>
      <c r="P119" s="305"/>
      <c r="Q119" s="490" t="s">
        <v>31</v>
      </c>
      <c r="R119" s="490"/>
      <c r="S119" s="305" t="s">
        <v>31</v>
      </c>
      <c r="T119" s="305"/>
      <c r="U119" s="490" t="s">
        <v>31</v>
      </c>
      <c r="V119" s="7"/>
      <c r="W119" s="31"/>
      <c r="X119" s="31"/>
      <c r="Y119" s="31"/>
      <c r="Z119" s="7"/>
      <c r="AA119" s="7"/>
      <c r="AB119" s="7"/>
      <c r="AC119" s="7"/>
      <c r="AD119" s="7"/>
      <c r="AE119" s="7"/>
      <c r="AF119" s="7"/>
      <c r="AG119" s="7"/>
      <c r="AH119" s="7"/>
      <c r="AI119" s="7"/>
      <c r="AJ119" s="7"/>
      <c r="AK119" s="7"/>
      <c r="AL119" s="7"/>
      <c r="AM119" s="7"/>
      <c r="AN119" s="7"/>
      <c r="AO119" s="7"/>
      <c r="AP119" s="7"/>
      <c r="AR119" s="496"/>
    </row>
    <row r="120" spans="1:44">
      <c r="A120" s="305"/>
      <c r="B120" s="1016"/>
      <c r="C120" s="61"/>
      <c r="D120" s="305" t="s">
        <v>31</v>
      </c>
      <c r="E120" s="305"/>
      <c r="G120" s="305" t="s">
        <v>31</v>
      </c>
      <c r="H120" s="305"/>
      <c r="I120" s="490"/>
      <c r="J120" s="490"/>
      <c r="K120" s="305" t="s">
        <v>31</v>
      </c>
      <c r="L120" s="305"/>
      <c r="V120" s="988"/>
      <c r="W120" s="988"/>
      <c r="X120" s="988"/>
      <c r="Y120" s="546"/>
      <c r="AK120" s="7"/>
      <c r="AL120" s="7"/>
      <c r="AM120" s="7"/>
      <c r="AN120" s="7"/>
      <c r="AO120" s="7"/>
      <c r="AP120" s="7"/>
      <c r="AR120" s="496"/>
    </row>
    <row r="121" spans="1:44">
      <c r="A121" s="305" t="s">
        <v>896</v>
      </c>
      <c r="B121" s="305"/>
      <c r="C121" s="305" t="s">
        <v>31</v>
      </c>
      <c r="D121" s="61"/>
      <c r="E121" s="305"/>
      <c r="F121" s="305"/>
      <c r="G121" s="61"/>
      <c r="H121" s="305"/>
      <c r="I121" s="391" t="s">
        <v>31</v>
      </c>
      <c r="J121" s="305"/>
      <c r="K121" s="61"/>
      <c r="L121" s="305"/>
      <c r="M121" s="305"/>
      <c r="N121" s="305"/>
      <c r="O121" s="61"/>
      <c r="P121" s="305"/>
      <c r="Q121" s="305"/>
      <c r="R121" s="305"/>
      <c r="S121" s="61"/>
      <c r="T121" s="305"/>
      <c r="U121" s="305"/>
      <c r="V121" s="490"/>
      <c r="W121" s="490"/>
      <c r="X121" s="490"/>
      <c r="Y121" s="305"/>
      <c r="AA121" s="490"/>
      <c r="AB121" s="305" t="s">
        <v>31</v>
      </c>
      <c r="AC121" s="305"/>
      <c r="AE121" s="7"/>
      <c r="AF121" s="7"/>
      <c r="AG121" s="7"/>
      <c r="AH121" s="7"/>
      <c r="AI121" s="7"/>
      <c r="AJ121" s="7"/>
      <c r="AK121" s="7"/>
      <c r="AL121" s="7"/>
      <c r="AM121" s="7"/>
      <c r="AN121" s="7"/>
      <c r="AO121" s="7"/>
      <c r="AP121" s="7"/>
      <c r="AR121" s="496"/>
    </row>
    <row r="122" spans="1:44">
      <c r="A122" s="305" t="s">
        <v>318</v>
      </c>
      <c r="B122" s="305"/>
      <c r="C122" s="305" t="s">
        <v>31</v>
      </c>
      <c r="D122" s="61"/>
      <c r="E122" s="305"/>
      <c r="F122" s="305"/>
      <c r="G122" s="61"/>
      <c r="H122" s="305"/>
      <c r="I122" s="305"/>
      <c r="J122" s="305"/>
      <c r="K122" s="61"/>
      <c r="L122" s="305"/>
      <c r="M122" s="305" t="s">
        <v>31</v>
      </c>
      <c r="N122" s="305"/>
      <c r="O122" s="61"/>
      <c r="P122" s="305"/>
      <c r="Q122" s="305"/>
      <c r="R122" s="305"/>
      <c r="S122" s="61"/>
      <c r="T122" s="305"/>
      <c r="U122" s="305"/>
      <c r="V122" s="7"/>
      <c r="W122" s="31"/>
      <c r="X122" s="31"/>
      <c r="Y122" s="31"/>
      <c r="Z122" s="7"/>
      <c r="AA122" s="7"/>
      <c r="AB122" s="7"/>
      <c r="AC122" s="7"/>
      <c r="AD122" s="7"/>
      <c r="AE122" s="7"/>
      <c r="AF122" s="7"/>
      <c r="AG122" s="7"/>
      <c r="AH122" s="7"/>
      <c r="AI122" s="7"/>
      <c r="AJ122" s="7"/>
      <c r="AK122" s="7"/>
      <c r="AL122" s="7"/>
      <c r="AM122" s="7"/>
      <c r="AN122" s="7"/>
      <c r="AO122" s="7"/>
      <c r="AP122" s="7"/>
      <c r="AR122" s="496"/>
    </row>
    <row r="123" spans="1:44">
      <c r="A123" s="305"/>
      <c r="B123" s="305"/>
      <c r="C123" s="305"/>
      <c r="D123" s="61"/>
      <c r="E123" s="305"/>
      <c r="F123" s="305"/>
      <c r="G123" s="61"/>
      <c r="H123" s="305"/>
      <c r="I123" s="305"/>
      <c r="J123" s="305"/>
      <c r="K123" s="61"/>
      <c r="L123" s="305"/>
      <c r="M123" s="305"/>
      <c r="N123" s="305"/>
      <c r="O123" s="61"/>
      <c r="P123" s="305"/>
      <c r="Q123" s="305"/>
      <c r="R123" s="305"/>
      <c r="S123" s="61"/>
      <c r="T123" s="305"/>
      <c r="U123" s="305"/>
      <c r="V123" s="7"/>
      <c r="W123" s="31"/>
      <c r="X123" s="31"/>
      <c r="Y123" s="31"/>
      <c r="Z123" s="7" t="s">
        <v>31</v>
      </c>
      <c r="AA123" s="7"/>
      <c r="AB123" s="7"/>
      <c r="AC123" s="7"/>
      <c r="AD123" s="7"/>
      <c r="AE123" s="7"/>
      <c r="AF123" s="7"/>
      <c r="AG123" s="7"/>
      <c r="AH123" s="7"/>
      <c r="AI123" s="7"/>
      <c r="AJ123" s="7"/>
      <c r="AK123" s="7"/>
      <c r="AL123" s="7"/>
      <c r="AM123" s="7"/>
      <c r="AN123" s="7"/>
      <c r="AO123" s="7"/>
      <c r="AP123" s="7"/>
      <c r="AR123" s="496"/>
    </row>
    <row r="124" spans="1:44">
      <c r="A124" s="305" t="s">
        <v>358</v>
      </c>
      <c r="B124" s="305"/>
      <c r="C124" s="61">
        <v>13729.1432258065</v>
      </c>
      <c r="D124" s="448">
        <f>$D$89</f>
        <v>7.75</v>
      </c>
      <c r="E124" s="305"/>
      <c r="F124" s="490">
        <f>ROUND(D124*C124,0)</f>
        <v>106401</v>
      </c>
      <c r="G124" s="448">
        <f>$G$89</f>
        <v>7.75</v>
      </c>
      <c r="H124" s="305"/>
      <c r="I124" s="490">
        <f>ROUND(G124*$C124,0)</f>
        <v>106401</v>
      </c>
      <c r="J124" s="490"/>
      <c r="K124" s="448">
        <f t="shared" ref="K124:K131" si="22">K105</f>
        <v>0</v>
      </c>
      <c r="L124" s="305"/>
      <c r="M124" s="490" t="e">
        <f>#REF!</f>
        <v>#REF!</v>
      </c>
      <c r="N124" s="490"/>
      <c r="O124" s="448" t="str">
        <f>$O$89</f>
        <v xml:space="preserve"> </v>
      </c>
      <c r="P124" s="305"/>
      <c r="Q124" s="490" t="e">
        <f>#REF!</f>
        <v>#REF!</v>
      </c>
      <c r="R124" s="490"/>
      <c r="S124" s="448" t="str">
        <f>$S$89</f>
        <v xml:space="preserve"> </v>
      </c>
      <c r="T124" s="305"/>
      <c r="U124" s="490" t="e">
        <f>#REF!</f>
        <v>#REF!</v>
      </c>
      <c r="V124" s="7"/>
      <c r="W124" s="31"/>
      <c r="X124" s="31"/>
      <c r="Y124" s="31"/>
      <c r="Z124" s="7"/>
      <c r="AA124" s="7"/>
      <c r="AB124" s="7"/>
      <c r="AC124" s="7"/>
      <c r="AD124" s="7"/>
      <c r="AE124" s="7"/>
      <c r="AF124" s="7"/>
      <c r="AG124" s="7"/>
      <c r="AH124" s="7"/>
      <c r="AI124" s="7"/>
      <c r="AJ124" s="7"/>
      <c r="AK124" s="7"/>
      <c r="AL124" s="7"/>
      <c r="AM124" s="7"/>
      <c r="AN124" s="7"/>
      <c r="AO124" s="7"/>
      <c r="AP124" s="7"/>
      <c r="AR124" s="496"/>
    </row>
    <row r="125" spans="1:44">
      <c r="A125" s="305" t="s">
        <v>361</v>
      </c>
      <c r="B125" s="305"/>
      <c r="C125" s="61">
        <v>4099624</v>
      </c>
      <c r="D125" s="1006">
        <f>$D$90</f>
        <v>6.7170000000000005</v>
      </c>
      <c r="E125" s="305" t="s">
        <v>362</v>
      </c>
      <c r="F125" s="490">
        <f>ROUND(C125*D125/100,0)</f>
        <v>275372</v>
      </c>
      <c r="G125" s="1006">
        <f ca="1">$G$90</f>
        <v>6.8330000000000002</v>
      </c>
      <c r="H125" s="305" t="s">
        <v>362</v>
      </c>
      <c r="I125" s="490">
        <f ca="1">ROUND(G125*$C125/100,0)</f>
        <v>280127</v>
      </c>
      <c r="J125" s="490"/>
      <c r="K125" s="1006">
        <f t="shared" si="22"/>
        <v>0</v>
      </c>
      <c r="L125" s="305" t="s">
        <v>362</v>
      </c>
      <c r="M125" s="490" t="e">
        <f>#REF!</f>
        <v>#REF!</v>
      </c>
      <c r="N125" s="490"/>
      <c r="O125" s="1006">
        <f>O106</f>
        <v>0</v>
      </c>
      <c r="P125" s="305" t="s">
        <v>362</v>
      </c>
      <c r="Q125" s="490" t="e">
        <f>#REF!</f>
        <v>#REF!</v>
      </c>
      <c r="R125" s="490"/>
      <c r="S125" s="1006">
        <f>S106</f>
        <v>0</v>
      </c>
      <c r="T125" s="305" t="s">
        <v>362</v>
      </c>
      <c r="U125" s="490" t="e">
        <f>#REF!</f>
        <v>#REF!</v>
      </c>
      <c r="V125" s="7"/>
      <c r="W125" s="31"/>
      <c r="X125" s="31"/>
      <c r="Y125" s="31"/>
      <c r="Z125" s="7"/>
      <c r="AA125" s="7"/>
      <c r="AB125" s="7"/>
      <c r="AC125" s="7"/>
      <c r="AD125" s="7"/>
      <c r="AE125" s="7"/>
      <c r="AF125" s="7"/>
      <c r="AG125" s="7"/>
      <c r="AH125" s="7"/>
      <c r="AI125" s="7"/>
      <c r="AJ125" s="7"/>
      <c r="AK125" s="7"/>
      <c r="AL125" s="7"/>
      <c r="AM125" s="7"/>
      <c r="AN125" s="7"/>
      <c r="AO125" s="7"/>
      <c r="AP125" s="7"/>
      <c r="AR125" s="496"/>
    </row>
    <row r="126" spans="1:44">
      <c r="A126" s="305" t="s">
        <v>363</v>
      </c>
      <c r="B126" s="61"/>
      <c r="C126" s="61">
        <v>8294016</v>
      </c>
      <c r="D126" s="1006">
        <f>$D$91</f>
        <v>10.613</v>
      </c>
      <c r="E126" s="305" t="s">
        <v>362</v>
      </c>
      <c r="F126" s="490">
        <f>ROUND(C126*D126/100,0)</f>
        <v>880244</v>
      </c>
      <c r="G126" s="1006">
        <f ca="1">$G$91</f>
        <v>10.791</v>
      </c>
      <c r="H126" s="305" t="s">
        <v>362</v>
      </c>
      <c r="I126" s="490">
        <f ca="1">ROUND(G126*$C126/100,0)</f>
        <v>895007</v>
      </c>
      <c r="J126" s="490"/>
      <c r="K126" s="1006">
        <f t="shared" si="22"/>
        <v>0</v>
      </c>
      <c r="L126" s="305" t="s">
        <v>362</v>
      </c>
      <c r="M126" s="490" t="e">
        <f>#REF!</f>
        <v>#REF!</v>
      </c>
      <c r="N126" s="490"/>
      <c r="O126" s="1006">
        <f>O107</f>
        <v>0</v>
      </c>
      <c r="P126" s="305" t="s">
        <v>362</v>
      </c>
      <c r="Q126" s="490" t="e">
        <f>#REF!</f>
        <v>#REF!</v>
      </c>
      <c r="R126" s="490"/>
      <c r="S126" s="1006">
        <f>S107</f>
        <v>0</v>
      </c>
      <c r="T126" s="305" t="s">
        <v>362</v>
      </c>
      <c r="U126" s="490" t="e">
        <f>#REF!</f>
        <v>#REF!</v>
      </c>
      <c r="V126" s="7"/>
      <c r="W126" s="31"/>
      <c r="X126" s="31"/>
      <c r="Y126" s="31"/>
      <c r="Z126" s="7"/>
      <c r="AA126" s="7"/>
      <c r="AB126" s="7"/>
      <c r="AC126" s="7"/>
      <c r="AD126" s="7"/>
      <c r="AE126" s="7"/>
      <c r="AF126" s="7"/>
      <c r="AG126" s="7"/>
      <c r="AH126" s="7"/>
      <c r="AI126" s="7"/>
      <c r="AJ126" s="7"/>
      <c r="AK126" s="7"/>
      <c r="AL126" s="7"/>
      <c r="AM126" s="7"/>
      <c r="AN126" s="7"/>
      <c r="AO126" s="7"/>
      <c r="AP126" s="7"/>
      <c r="AR126" s="496"/>
    </row>
    <row r="127" spans="1:44">
      <c r="A127" s="305" t="s">
        <v>365</v>
      </c>
      <c r="B127" s="305"/>
      <c r="C127" s="61">
        <v>0</v>
      </c>
      <c r="D127" s="448">
        <f>$D$92</f>
        <v>1.78</v>
      </c>
      <c r="E127" s="305"/>
      <c r="F127" s="490">
        <v>0</v>
      </c>
      <c r="G127" s="448">
        <f>$G$92</f>
        <v>1.78</v>
      </c>
      <c r="H127" s="305"/>
      <c r="I127" s="490">
        <f>ROUND(G127*$C127,0)</f>
        <v>0</v>
      </c>
      <c r="J127" s="490"/>
      <c r="K127" s="448" t="e">
        <f t="shared" si="22"/>
        <v>#REF!</v>
      </c>
      <c r="L127" s="305"/>
      <c r="M127" s="490" t="e">
        <f>#REF!</f>
        <v>#REF!</v>
      </c>
      <c r="N127" s="490"/>
      <c r="O127" s="448" t="str">
        <f>O108</f>
        <v xml:space="preserve"> </v>
      </c>
      <c r="P127" s="305"/>
      <c r="Q127" s="490" t="e">
        <f>#REF!</f>
        <v>#REF!</v>
      </c>
      <c r="R127" s="490"/>
      <c r="S127" s="448" t="str">
        <f>S108</f>
        <v xml:space="preserve"> </v>
      </c>
      <c r="T127" s="305"/>
      <c r="U127" s="490" t="e">
        <f>#REF!</f>
        <v>#REF!</v>
      </c>
      <c r="V127" s="7"/>
      <c r="W127" s="31"/>
      <c r="X127" s="31"/>
      <c r="Y127" s="31"/>
      <c r="Z127" s="7"/>
      <c r="AA127" s="7"/>
      <c r="AB127" s="7"/>
      <c r="AC127" s="7"/>
      <c r="AD127" s="7"/>
      <c r="AE127" s="7"/>
      <c r="AF127" s="7"/>
      <c r="AG127" s="7"/>
      <c r="AH127" s="7"/>
      <c r="AI127" s="7"/>
      <c r="AJ127" s="7"/>
      <c r="AK127" s="7"/>
      <c r="AL127" s="7"/>
      <c r="AM127" s="7"/>
      <c r="AN127" s="7"/>
      <c r="AO127" s="7"/>
      <c r="AP127" s="7"/>
      <c r="AR127" s="496"/>
    </row>
    <row r="128" spans="1:44">
      <c r="A128" s="4" t="s">
        <v>367</v>
      </c>
      <c r="C128" s="61">
        <v>0</v>
      </c>
      <c r="D128" s="448">
        <f>$D$93</f>
        <v>3.5</v>
      </c>
      <c r="F128" s="490">
        <v>0</v>
      </c>
      <c r="G128" s="448">
        <f>$G$93</f>
        <v>3.5</v>
      </c>
      <c r="I128" s="490">
        <f>ROUND(G128*$C128,0)</f>
        <v>0</v>
      </c>
      <c r="J128" s="490"/>
      <c r="K128" s="448" t="e">
        <f t="shared" si="22"/>
        <v>#REF!</v>
      </c>
      <c r="M128" s="490" t="e">
        <f>#REF!</f>
        <v>#REF!</v>
      </c>
      <c r="N128" s="490"/>
      <c r="O128" s="448" t="e">
        <f t="shared" ref="O128" si="23">O109</f>
        <v>#REF!</v>
      </c>
      <c r="Q128" s="490" t="e">
        <f>#REF!</f>
        <v>#REF!</v>
      </c>
      <c r="R128" s="490"/>
      <c r="S128" s="448" t="e">
        <f>S109</f>
        <v>#REF!</v>
      </c>
      <c r="U128" s="490" t="e">
        <f>#REF!</f>
        <v>#REF!</v>
      </c>
      <c r="V128" s="7"/>
      <c r="W128" s="31"/>
      <c r="X128" s="31"/>
      <c r="Y128" s="31"/>
      <c r="Z128" s="7"/>
      <c r="AA128" s="7"/>
      <c r="AB128" s="7"/>
      <c r="AC128" s="7"/>
      <c r="AD128" s="7"/>
      <c r="AE128" s="7"/>
      <c r="AF128" s="7"/>
      <c r="AG128" s="7"/>
      <c r="AH128" s="7"/>
      <c r="AI128" s="7"/>
      <c r="AJ128" s="7"/>
      <c r="AK128" s="7"/>
      <c r="AL128" s="7"/>
      <c r="AM128" s="7"/>
      <c r="AN128" s="7"/>
      <c r="AO128" s="7"/>
      <c r="AP128" s="7"/>
      <c r="AR128" s="496"/>
    </row>
    <row r="129" spans="1:44">
      <c r="A129" s="4" t="s">
        <v>368</v>
      </c>
      <c r="C129" s="61">
        <v>0</v>
      </c>
      <c r="D129" s="448">
        <f>$D$94</f>
        <v>-1.78</v>
      </c>
      <c r="F129" s="490">
        <v>0</v>
      </c>
      <c r="G129" s="448">
        <f>-G127</f>
        <v>-1.78</v>
      </c>
      <c r="I129" s="490">
        <f>ROUND(G129*$C129,0)</f>
        <v>0</v>
      </c>
      <c r="J129" s="490"/>
      <c r="K129" s="448" t="e">
        <f t="shared" si="22"/>
        <v>#REF!</v>
      </c>
      <c r="M129" s="490" t="e">
        <f>#REF!</f>
        <v>#REF!</v>
      </c>
      <c r="N129" s="490"/>
      <c r="O129" s="448" t="str">
        <f>O112</f>
        <v xml:space="preserve"> </v>
      </c>
      <c r="Q129" s="490" t="e">
        <f>#REF!</f>
        <v>#REF!</v>
      </c>
      <c r="R129" s="490"/>
      <c r="S129" s="448">
        <f>-S127</f>
        <v>0</v>
      </c>
      <c r="U129" s="490" t="e">
        <f>#REF!</f>
        <v>#REF!</v>
      </c>
      <c r="V129" s="7"/>
      <c r="W129" s="31"/>
      <c r="X129" s="31"/>
      <c r="Y129" s="31"/>
      <c r="Z129" s="7"/>
      <c r="AA129" s="7"/>
      <c r="AB129" s="7"/>
      <c r="AC129" s="7"/>
      <c r="AD129" s="7"/>
      <c r="AE129" s="7"/>
      <c r="AF129" s="7"/>
      <c r="AG129" s="7"/>
      <c r="AH129" s="7"/>
      <c r="AI129" s="7"/>
      <c r="AJ129" s="7"/>
      <c r="AK129" s="7"/>
      <c r="AL129" s="7"/>
      <c r="AM129" s="7"/>
      <c r="AN129" s="7"/>
      <c r="AO129" s="7"/>
      <c r="AP129" s="7"/>
      <c r="AR129" s="496"/>
    </row>
    <row r="130" spans="1:44" s="588" customFormat="1" hidden="1">
      <c r="A130" s="588" t="s">
        <v>769</v>
      </c>
      <c r="C130" s="631">
        <f>C125</f>
        <v>4099624</v>
      </c>
      <c r="D130" s="990">
        <v>0</v>
      </c>
      <c r="E130" s="635"/>
      <c r="F130" s="616"/>
      <c r="G130" s="987">
        <v>0</v>
      </c>
      <c r="H130" s="592" t="s">
        <v>362</v>
      </c>
      <c r="I130" s="616">
        <f>G130*C130/100</f>
        <v>0</v>
      </c>
      <c r="J130" s="616"/>
      <c r="K130" s="987" t="e">
        <f t="shared" si="22"/>
        <v>#REF!</v>
      </c>
      <c r="L130" s="592" t="s">
        <v>31</v>
      </c>
      <c r="M130" s="490" t="e">
        <f>#REF!</f>
        <v>#REF!</v>
      </c>
      <c r="N130" s="616"/>
      <c r="O130" s="448" t="e">
        <f>O110</f>
        <v>#REF!</v>
      </c>
      <c r="P130" s="592" t="s">
        <v>31</v>
      </c>
      <c r="Q130" s="490" t="e">
        <f>#REF!</f>
        <v>#REF!</v>
      </c>
      <c r="R130" s="616"/>
      <c r="S130" s="987">
        <f>G130</f>
        <v>0</v>
      </c>
      <c r="T130" s="592" t="s">
        <v>362</v>
      </c>
      <c r="U130" s="490" t="e">
        <f>#REF!</f>
        <v>#REF!</v>
      </c>
      <c r="W130" s="450"/>
      <c r="Z130" s="989"/>
      <c r="AA130" s="989"/>
      <c r="AF130" s="635"/>
      <c r="AG130" s="635"/>
      <c r="AH130" s="635"/>
      <c r="AI130" s="635"/>
      <c r="AJ130" s="635"/>
      <c r="AK130" s="635"/>
      <c r="AL130" s="635"/>
      <c r="AM130" s="635"/>
      <c r="AN130" s="635"/>
      <c r="AO130" s="635"/>
      <c r="AP130" s="635"/>
      <c r="AR130" s="988"/>
    </row>
    <row r="131" spans="1:44" s="588" customFormat="1" hidden="1">
      <c r="A131" s="588" t="s">
        <v>770</v>
      </c>
      <c r="C131" s="631">
        <f>C126</f>
        <v>8294016</v>
      </c>
      <c r="D131" s="990">
        <v>0</v>
      </c>
      <c r="E131" s="635"/>
      <c r="F131" s="616"/>
      <c r="G131" s="987">
        <v>0</v>
      </c>
      <c r="H131" s="592" t="s">
        <v>362</v>
      </c>
      <c r="I131" s="616">
        <f>G131*C131/100</f>
        <v>0</v>
      </c>
      <c r="J131" s="616"/>
      <c r="K131" s="987" t="e">
        <f t="shared" si="22"/>
        <v>#REF!</v>
      </c>
      <c r="L131" s="592" t="s">
        <v>31</v>
      </c>
      <c r="M131" s="490" t="e">
        <f>#REF!</f>
        <v>#REF!</v>
      </c>
      <c r="N131" s="616"/>
      <c r="O131" s="448" t="str">
        <f>O111</f>
        <v xml:space="preserve"> </v>
      </c>
      <c r="P131" s="592" t="s">
        <v>31</v>
      </c>
      <c r="Q131" s="490" t="e">
        <f>#REF!</f>
        <v>#REF!</v>
      </c>
      <c r="R131" s="616"/>
      <c r="S131" s="987">
        <f>G131</f>
        <v>0</v>
      </c>
      <c r="T131" s="592" t="s">
        <v>362</v>
      </c>
      <c r="U131" s="490" t="e">
        <f>#REF!</f>
        <v>#REF!</v>
      </c>
      <c r="W131" s="450"/>
      <c r="Z131" s="989"/>
      <c r="AA131" s="989"/>
      <c r="AF131" s="635"/>
      <c r="AG131" s="635"/>
      <c r="AH131" s="635"/>
      <c r="AI131" s="635"/>
      <c r="AJ131" s="635"/>
      <c r="AK131" s="635"/>
      <c r="AL131" s="635"/>
      <c r="AM131" s="635"/>
      <c r="AN131" s="635"/>
      <c r="AO131" s="635"/>
      <c r="AP131" s="635"/>
      <c r="AR131" s="988"/>
    </row>
    <row r="132" spans="1:44">
      <c r="A132" s="305" t="s">
        <v>369</v>
      </c>
      <c r="B132" s="1008"/>
      <c r="C132" s="61">
        <f>SUM(C125:C126)</f>
        <v>12393640</v>
      </c>
      <c r="D132" s="1009"/>
      <c r="E132" s="490"/>
      <c r="F132" s="490">
        <f>SUM(F124:F131)</f>
        <v>1262017</v>
      </c>
      <c r="G132" s="490"/>
      <c r="H132" s="490"/>
      <c r="I132" s="490">
        <f ca="1">SUM(I124:I131)</f>
        <v>1281535</v>
      </c>
      <c r="J132" s="490"/>
      <c r="K132" s="490"/>
      <c r="L132" s="490"/>
      <c r="M132" s="490" t="e">
        <f>SUM(M124:M131)</f>
        <v>#REF!</v>
      </c>
      <c r="N132" s="490"/>
      <c r="O132" s="490"/>
      <c r="P132" s="490"/>
      <c r="Q132" s="490" t="e">
        <f>SUM(Q124:Q131)</f>
        <v>#REF!</v>
      </c>
      <c r="R132" s="490"/>
      <c r="S132" s="490"/>
      <c r="T132" s="490"/>
      <c r="U132" s="490" t="e">
        <f>SUM(U124:U131)</f>
        <v>#REF!</v>
      </c>
      <c r="V132" s="7"/>
      <c r="W132" s="723"/>
      <c r="X132" s="31"/>
      <c r="Y132" s="31"/>
      <c r="Z132" s="7"/>
      <c r="AA132" s="7"/>
      <c r="AB132" s="7"/>
      <c r="AC132" s="7"/>
      <c r="AD132" s="7"/>
      <c r="AE132" s="7"/>
      <c r="AF132" s="7"/>
      <c r="AG132" s="7"/>
      <c r="AH132" s="7"/>
      <c r="AI132" s="7"/>
      <c r="AJ132" s="7"/>
      <c r="AK132" s="7"/>
      <c r="AL132" s="7"/>
      <c r="AM132" s="7"/>
      <c r="AN132" s="7"/>
      <c r="AO132" s="7"/>
      <c r="AP132" s="7"/>
      <c r="AR132" s="496"/>
    </row>
    <row r="133" spans="1:44">
      <c r="A133" s="305" t="s">
        <v>351</v>
      </c>
      <c r="B133" s="1010"/>
      <c r="C133" s="1017">
        <f>'Table 2'!H29+'Table 2'!H17</f>
        <v>-159066.50768614683</v>
      </c>
      <c r="D133" s="305"/>
      <c r="E133" s="305"/>
      <c r="F133" s="993">
        <f>'Table 3'!E17</f>
        <v>4772.6604979275762</v>
      </c>
      <c r="G133" s="305"/>
      <c r="H133" s="305"/>
      <c r="I133" s="993">
        <f>F133</f>
        <v>4772.6604979275762</v>
      </c>
      <c r="J133" s="723"/>
      <c r="K133" s="305"/>
      <c r="L133" s="305"/>
      <c r="M133" s="993" t="e">
        <f>I133/$I$100*$M$100</f>
        <v>#DIV/0!</v>
      </c>
      <c r="N133" s="723"/>
      <c r="O133" s="305"/>
      <c r="P133" s="305"/>
      <c r="Q133" s="993" t="e">
        <f>I133/$I$100*$Q$100</f>
        <v>#DIV/0!</v>
      </c>
      <c r="R133" s="723"/>
      <c r="S133" s="305"/>
      <c r="T133" s="305"/>
      <c r="U133" s="993" t="e">
        <f>I133/$I$100*$U$100</f>
        <v>#DIV/0!</v>
      </c>
      <c r="V133" s="714"/>
      <c r="W133" s="171"/>
      <c r="X133" s="31"/>
      <c r="Y133" s="31"/>
      <c r="Z133" s="7"/>
      <c r="AA133" s="7"/>
      <c r="AB133" s="7"/>
      <c r="AC133" s="7"/>
      <c r="AD133" s="7"/>
      <c r="AE133" s="7"/>
      <c r="AF133" s="7"/>
      <c r="AG133" s="7"/>
      <c r="AH133" s="7"/>
      <c r="AI133" s="7"/>
      <c r="AJ133" s="7"/>
      <c r="AK133" s="7"/>
      <c r="AL133" s="7"/>
      <c r="AM133" s="7"/>
      <c r="AN133" s="7"/>
      <c r="AO133" s="7"/>
      <c r="AP133" s="7"/>
      <c r="AR133" s="496"/>
    </row>
    <row r="134" spans="1:44" ht="16.5" thickBot="1">
      <c r="A134" s="305" t="s">
        <v>370</v>
      </c>
      <c r="B134" s="305"/>
      <c r="C134" s="1012">
        <f>C132+C133</f>
        <v>12234573.492313853</v>
      </c>
      <c r="D134" s="995"/>
      <c r="E134" s="995"/>
      <c r="F134" s="995">
        <f>SUM(F132:F133)</f>
        <v>1266789.6604979276</v>
      </c>
      <c r="G134" s="995"/>
      <c r="H134" s="995"/>
      <c r="I134" s="995">
        <f ca="1">I132+I133</f>
        <v>1286307.6604979276</v>
      </c>
      <c r="J134" s="723"/>
      <c r="K134" s="995"/>
      <c r="L134" s="995"/>
      <c r="M134" s="995" t="e">
        <f>M132+M133</f>
        <v>#REF!</v>
      </c>
      <c r="N134" s="995"/>
      <c r="O134" s="995"/>
      <c r="P134" s="995"/>
      <c r="Q134" s="995" t="e">
        <f>Q132+Q133</f>
        <v>#REF!</v>
      </c>
      <c r="R134" s="995"/>
      <c r="S134" s="995"/>
      <c r="T134" s="995"/>
      <c r="U134" s="995" t="e">
        <f>U132+$U$117</f>
        <v>#REF!</v>
      </c>
      <c r="V134" s="295"/>
      <c r="W134" s="354"/>
      <c r="X134" s="31"/>
      <c r="Y134" s="31"/>
      <c r="Z134" s="7"/>
      <c r="AA134" s="7"/>
      <c r="AB134" s="7"/>
      <c r="AC134" s="7"/>
      <c r="AD134" s="7"/>
      <c r="AE134" s="7"/>
      <c r="AF134" s="7"/>
      <c r="AG134" s="7"/>
      <c r="AH134" s="7"/>
      <c r="AI134" s="7"/>
      <c r="AJ134" s="7"/>
      <c r="AK134" s="7"/>
      <c r="AL134" s="7"/>
      <c r="AM134" s="7"/>
      <c r="AN134" s="7"/>
      <c r="AO134" s="7"/>
      <c r="AP134" s="7"/>
      <c r="AR134" s="496"/>
    </row>
    <row r="135" spans="1:44" ht="16.5" thickTop="1">
      <c r="A135" s="305"/>
      <c r="B135" s="1016"/>
      <c r="C135" s="61"/>
      <c r="D135" s="305" t="s">
        <v>31</v>
      </c>
      <c r="E135" s="305"/>
      <c r="F135" s="496" t="s">
        <v>31</v>
      </c>
      <c r="G135" s="305" t="s">
        <v>31</v>
      </c>
      <c r="H135" s="305"/>
      <c r="I135" s="490" t="s">
        <v>31</v>
      </c>
      <c r="J135" s="490"/>
      <c r="K135" s="305" t="s">
        <v>31</v>
      </c>
      <c r="L135" s="305"/>
      <c r="M135" s="490" t="s">
        <v>31</v>
      </c>
      <c r="N135" s="490"/>
      <c r="O135" s="305" t="s">
        <v>31</v>
      </c>
      <c r="P135" s="305"/>
      <c r="Q135" s="490" t="s">
        <v>31</v>
      </c>
      <c r="R135" s="490"/>
      <c r="S135" s="305" t="s">
        <v>31</v>
      </c>
      <c r="T135" s="305"/>
      <c r="U135" s="490" t="s">
        <v>31</v>
      </c>
      <c r="V135" s="7"/>
      <c r="W135" s="31"/>
      <c r="X135" s="31"/>
      <c r="Y135" s="31"/>
      <c r="Z135" s="7"/>
      <c r="AA135" s="7"/>
      <c r="AB135" s="7"/>
      <c r="AC135" s="7"/>
      <c r="AD135" s="7"/>
      <c r="AE135" s="7"/>
      <c r="AF135" s="7"/>
      <c r="AG135" s="7"/>
      <c r="AH135" s="7"/>
      <c r="AI135" s="7"/>
      <c r="AJ135" s="7"/>
      <c r="AK135" s="7"/>
      <c r="AL135" s="7"/>
      <c r="AM135" s="7"/>
      <c r="AN135" s="7"/>
      <c r="AO135" s="7"/>
      <c r="AP135" s="7"/>
      <c r="AR135" s="496"/>
    </row>
    <row r="136" spans="1:44">
      <c r="A136" s="305" t="s">
        <v>372</v>
      </c>
      <c r="B136" s="305"/>
      <c r="C136" s="305" t="s">
        <v>31</v>
      </c>
      <c r="D136" s="61"/>
      <c r="E136" s="305"/>
      <c r="F136" s="305"/>
      <c r="G136" s="61"/>
      <c r="H136" s="305"/>
      <c r="I136" s="305"/>
      <c r="J136" s="305"/>
      <c r="K136" s="61"/>
      <c r="L136" s="305"/>
      <c r="M136" s="305"/>
      <c r="N136" s="305"/>
      <c r="O136" s="61"/>
      <c r="P136" s="305"/>
      <c r="Q136" s="305"/>
      <c r="R136" s="305"/>
      <c r="S136" s="61"/>
      <c r="T136" s="305"/>
      <c r="U136" s="305"/>
      <c r="V136" s="7"/>
      <c r="W136" s="31"/>
      <c r="X136" s="31"/>
      <c r="Y136" s="31"/>
      <c r="Z136" s="7"/>
      <c r="AA136" s="7"/>
      <c r="AB136" s="7"/>
      <c r="AC136" s="7"/>
      <c r="AD136" s="7"/>
      <c r="AE136" s="7"/>
      <c r="AF136" s="7"/>
      <c r="AG136" s="7"/>
      <c r="AH136" s="7"/>
      <c r="AI136" s="7"/>
      <c r="AJ136" s="7"/>
      <c r="AK136" s="7"/>
      <c r="AL136" s="7"/>
      <c r="AM136" s="7"/>
      <c r="AN136" s="7"/>
      <c r="AO136" s="7"/>
      <c r="AP136" s="7"/>
      <c r="AR136" s="496"/>
    </row>
    <row r="137" spans="1:44">
      <c r="A137" s="305" t="s">
        <v>318</v>
      </c>
      <c r="B137" s="305"/>
      <c r="C137" s="305"/>
      <c r="D137" s="61"/>
      <c r="E137" s="305"/>
      <c r="F137" s="305"/>
      <c r="G137" s="61"/>
      <c r="H137" s="305"/>
      <c r="I137" s="305"/>
      <c r="J137" s="305"/>
      <c r="K137" s="61"/>
      <c r="L137" s="305"/>
      <c r="M137" s="305"/>
      <c r="N137" s="305"/>
      <c r="O137" s="61"/>
      <c r="P137" s="305"/>
      <c r="Q137" s="305"/>
      <c r="R137" s="305"/>
      <c r="S137" s="61"/>
      <c r="T137" s="305"/>
      <c r="U137" s="305"/>
      <c r="V137" s="7"/>
      <c r="W137" s="31"/>
      <c r="X137" s="31"/>
      <c r="Y137" s="31"/>
      <c r="Z137" s="7"/>
      <c r="AA137" s="7"/>
      <c r="AB137" s="7"/>
      <c r="AC137" s="7"/>
      <c r="AD137" s="7"/>
      <c r="AE137" s="7"/>
      <c r="AF137" s="7"/>
      <c r="AG137" s="7"/>
      <c r="AH137" s="7"/>
      <c r="AI137" s="7"/>
      <c r="AJ137" s="7"/>
      <c r="AK137" s="7"/>
      <c r="AL137" s="7"/>
      <c r="AM137" s="7"/>
      <c r="AN137" s="7"/>
      <c r="AO137" s="7"/>
      <c r="AP137" s="7"/>
      <c r="AR137" s="496"/>
    </row>
    <row r="138" spans="1:44">
      <c r="A138" s="1004"/>
      <c r="B138" s="305"/>
      <c r="C138" s="305"/>
      <c r="D138" s="61"/>
      <c r="E138" s="305"/>
      <c r="F138" s="305"/>
      <c r="G138" s="61"/>
      <c r="H138" s="305"/>
      <c r="I138" s="305"/>
      <c r="J138" s="305"/>
      <c r="K138" s="61"/>
      <c r="L138" s="305"/>
      <c r="M138" s="305"/>
      <c r="N138" s="305"/>
      <c r="O138" s="61"/>
      <c r="P138" s="305"/>
      <c r="Q138" s="305"/>
      <c r="R138" s="305"/>
      <c r="S138" s="61"/>
      <c r="T138" s="305"/>
      <c r="U138" s="305"/>
      <c r="V138" s="7"/>
      <c r="W138" s="31"/>
      <c r="X138" s="31"/>
      <c r="Y138" s="31"/>
      <c r="Z138" s="7"/>
      <c r="AA138" s="7"/>
      <c r="AB138" s="7"/>
      <c r="AC138" s="7"/>
      <c r="AD138" s="7"/>
      <c r="AE138" s="7"/>
      <c r="AF138" s="7"/>
      <c r="AG138" s="7"/>
      <c r="AH138" s="7"/>
      <c r="AI138" s="7"/>
      <c r="AJ138" s="7"/>
      <c r="AK138" s="7"/>
      <c r="AL138" s="7"/>
      <c r="AM138" s="7"/>
      <c r="AN138" s="7"/>
      <c r="AO138" s="7"/>
      <c r="AP138" s="7"/>
      <c r="AR138" s="496"/>
    </row>
    <row r="139" spans="1:44">
      <c r="A139" s="305" t="s">
        <v>358</v>
      </c>
      <c r="B139" s="305"/>
      <c r="C139" s="61">
        <v>60732.110967742003</v>
      </c>
      <c r="D139" s="448">
        <f>$D$89</f>
        <v>7.75</v>
      </c>
      <c r="E139" s="305"/>
      <c r="F139" s="490">
        <f>ROUND(D139*C139,0)</f>
        <v>470674</v>
      </c>
      <c r="G139" s="448">
        <f>D139</f>
        <v>7.75</v>
      </c>
      <c r="H139" s="305"/>
      <c r="I139" s="490">
        <f>ROUND(G139*$C139,0)</f>
        <v>470674</v>
      </c>
      <c r="J139" s="490"/>
      <c r="K139" s="448">
        <f>G139</f>
        <v>7.75</v>
      </c>
      <c r="L139" s="305"/>
      <c r="M139" s="490" t="e">
        <f>#REF!</f>
        <v>#REF!</v>
      </c>
      <c r="N139" s="490"/>
      <c r="O139" s="448" t="str">
        <f>$O$89</f>
        <v xml:space="preserve"> </v>
      </c>
      <c r="P139" s="305"/>
      <c r="Q139" s="490" t="e">
        <f>#REF!</f>
        <v>#REF!</v>
      </c>
      <c r="R139" s="490"/>
      <c r="S139" s="448" t="str">
        <f>$S$89</f>
        <v xml:space="preserve"> </v>
      </c>
      <c r="T139" s="305"/>
      <c r="U139" s="490" t="e">
        <f>#REF!</f>
        <v>#REF!</v>
      </c>
      <c r="V139" s="7"/>
      <c r="W139" s="31"/>
      <c r="X139" s="31"/>
      <c r="Y139" s="31"/>
      <c r="Z139" s="7"/>
      <c r="AA139" s="7"/>
      <c r="AB139" s="7"/>
      <c r="AC139" s="7"/>
      <c r="AD139" s="7"/>
      <c r="AE139" s="7"/>
      <c r="AF139" s="7"/>
      <c r="AG139" s="7"/>
      <c r="AH139" s="7"/>
      <c r="AI139" s="7"/>
      <c r="AJ139" s="7"/>
      <c r="AK139" s="7"/>
      <c r="AL139" s="7"/>
      <c r="AM139" s="7"/>
      <c r="AN139" s="7"/>
      <c r="AO139" s="7"/>
      <c r="AP139" s="7"/>
      <c r="AR139" s="496"/>
    </row>
    <row r="140" spans="1:44">
      <c r="A140" s="305" t="s">
        <v>361</v>
      </c>
      <c r="B140" s="305"/>
      <c r="C140" s="61">
        <v>32494683.088578962</v>
      </c>
      <c r="D140" s="1006">
        <f>$D$90</f>
        <v>6.7170000000000005</v>
      </c>
      <c r="E140" s="305" t="s">
        <v>362</v>
      </c>
      <c r="F140" s="490">
        <f>ROUND(C140*D140/100,0)</f>
        <v>2182668</v>
      </c>
      <c r="G140" s="1006">
        <f ca="1">$G$90</f>
        <v>6.8330000000000002</v>
      </c>
      <c r="H140" s="305" t="s">
        <v>362</v>
      </c>
      <c r="I140" s="490">
        <f ca="1">ROUND(G140*$C140/100,0)</f>
        <v>2220362</v>
      </c>
      <c r="J140" s="490"/>
      <c r="K140" s="1006" t="e">
        <f>K90</f>
        <v>#REF!</v>
      </c>
      <c r="L140" s="305" t="s">
        <v>362</v>
      </c>
      <c r="M140" s="490" t="e">
        <f>#REF!</f>
        <v>#REF!</v>
      </c>
      <c r="N140" s="490"/>
      <c r="O140" s="1006" t="e">
        <f>O90</f>
        <v>#REF!</v>
      </c>
      <c r="P140" s="305" t="s">
        <v>362</v>
      </c>
      <c r="Q140" s="490" t="e">
        <f>#REF!</f>
        <v>#REF!</v>
      </c>
      <c r="R140" s="490"/>
      <c r="S140" s="1006" t="e">
        <f>S90</f>
        <v>#REF!</v>
      </c>
      <c r="T140" s="305" t="s">
        <v>362</v>
      </c>
      <c r="U140" s="490" t="e">
        <f>#REF!</f>
        <v>#REF!</v>
      </c>
      <c r="V140" s="7"/>
      <c r="W140" s="31"/>
      <c r="X140" s="31"/>
      <c r="Y140" s="31"/>
      <c r="Z140" s="7"/>
      <c r="AA140" s="7"/>
      <c r="AB140" s="7"/>
      <c r="AC140" s="7"/>
      <c r="AD140" s="7"/>
      <c r="AE140" s="7"/>
      <c r="AF140" s="7"/>
      <c r="AG140" s="7"/>
      <c r="AH140" s="7"/>
      <c r="AI140" s="7"/>
      <c r="AJ140" s="7"/>
      <c r="AK140" s="7"/>
      <c r="AL140" s="7"/>
      <c r="AM140" s="7"/>
      <c r="AN140" s="7"/>
      <c r="AO140" s="7"/>
      <c r="AP140" s="7"/>
      <c r="AR140" s="496"/>
    </row>
    <row r="141" spans="1:44">
      <c r="A141" s="305" t="s">
        <v>363</v>
      </c>
      <c r="B141" s="305"/>
      <c r="C141" s="61">
        <v>43594753.416123003</v>
      </c>
      <c r="D141" s="1006">
        <f>$D$91</f>
        <v>10.613</v>
      </c>
      <c r="E141" s="305" t="s">
        <v>362</v>
      </c>
      <c r="F141" s="490">
        <f>ROUND(C141*D141/100,0)</f>
        <v>4626711</v>
      </c>
      <c r="G141" s="1006">
        <f ca="1">$G$91</f>
        <v>10.791</v>
      </c>
      <c r="H141" s="305" t="s">
        <v>362</v>
      </c>
      <c r="I141" s="490">
        <f ca="1">ROUND(G141*$C141/100,0)</f>
        <v>4704310</v>
      </c>
      <c r="J141" s="490"/>
      <c r="K141" s="1006" t="e">
        <f>K91</f>
        <v>#REF!</v>
      </c>
      <c r="L141" s="305" t="s">
        <v>362</v>
      </c>
      <c r="M141" s="490" t="e">
        <f>#REF!</f>
        <v>#REF!</v>
      </c>
      <c r="N141" s="490"/>
      <c r="O141" s="1006" t="e">
        <f>O91</f>
        <v>#REF!</v>
      </c>
      <c r="P141" s="305" t="s">
        <v>362</v>
      </c>
      <c r="Q141" s="490" t="e">
        <f>#REF!</f>
        <v>#REF!</v>
      </c>
      <c r="R141" s="490"/>
      <c r="S141" s="1006" t="e">
        <f>S91</f>
        <v>#REF!</v>
      </c>
      <c r="T141" s="305" t="s">
        <v>362</v>
      </c>
      <c r="U141" s="490" t="e">
        <f>#REF!</f>
        <v>#REF!</v>
      </c>
      <c r="V141" s="7"/>
      <c r="W141" s="31"/>
      <c r="X141" s="31"/>
      <c r="Y141" s="31"/>
      <c r="Z141" s="7"/>
      <c r="AA141" s="7"/>
      <c r="AB141" s="7"/>
      <c r="AC141" s="7"/>
      <c r="AD141" s="7"/>
      <c r="AE141" s="7"/>
      <c r="AF141" s="7"/>
      <c r="AG141" s="7"/>
      <c r="AH141" s="7"/>
      <c r="AI141" s="7"/>
      <c r="AJ141" s="7"/>
      <c r="AK141" s="7"/>
      <c r="AL141" s="7"/>
      <c r="AM141" s="7"/>
      <c r="AN141" s="7"/>
      <c r="AO141" s="7"/>
      <c r="AP141" s="7"/>
      <c r="AR141" s="496"/>
    </row>
    <row r="142" spans="1:44">
      <c r="A142" s="305" t="s">
        <v>365</v>
      </c>
      <c r="B142" s="305"/>
      <c r="C142" s="61">
        <v>0</v>
      </c>
      <c r="D142" s="448">
        <f>$D$92</f>
        <v>1.78</v>
      </c>
      <c r="E142" s="305"/>
      <c r="F142" s="490">
        <v>0</v>
      </c>
      <c r="G142" s="448">
        <f>$G$92</f>
        <v>1.78</v>
      </c>
      <c r="H142" s="305"/>
      <c r="I142" s="490">
        <f>ROUND(G142*$C142,0)</f>
        <v>0</v>
      </c>
      <c r="J142" s="490"/>
      <c r="K142" s="448">
        <v>0</v>
      </c>
      <c r="L142" s="305"/>
      <c r="M142" s="490" t="e">
        <f>#REF!</f>
        <v>#REF!</v>
      </c>
      <c r="N142" s="490"/>
      <c r="O142" s="448">
        <v>0</v>
      </c>
      <c r="P142" s="305"/>
      <c r="Q142" s="490" t="e">
        <f>#REF!</f>
        <v>#REF!</v>
      </c>
      <c r="R142" s="490"/>
      <c r="S142" s="448" t="e">
        <f>S92</f>
        <v>#REF!</v>
      </c>
      <c r="T142" s="305"/>
      <c r="U142" s="490" t="e">
        <f>#REF!</f>
        <v>#REF!</v>
      </c>
      <c r="V142" s="7"/>
      <c r="W142" s="31"/>
      <c r="X142" s="31"/>
      <c r="Y142" s="31"/>
      <c r="Z142" s="7"/>
      <c r="AA142" s="7"/>
      <c r="AB142" s="7"/>
      <c r="AC142" s="7"/>
      <c r="AD142" s="7"/>
      <c r="AE142" s="7"/>
      <c r="AF142" s="7"/>
      <c r="AG142" s="7"/>
      <c r="AH142" s="7"/>
      <c r="AI142" s="7"/>
      <c r="AJ142" s="7"/>
      <c r="AK142" s="7"/>
      <c r="AL142" s="7"/>
      <c r="AM142" s="7"/>
      <c r="AN142" s="7"/>
      <c r="AO142" s="7"/>
      <c r="AP142" s="7"/>
      <c r="AR142" s="496"/>
    </row>
    <row r="143" spans="1:44">
      <c r="A143" s="4" t="s">
        <v>367</v>
      </c>
      <c r="C143" s="61">
        <v>0</v>
      </c>
      <c r="D143" s="448">
        <f>$D$93</f>
        <v>3.5</v>
      </c>
      <c r="F143" s="490">
        <v>0</v>
      </c>
      <c r="G143" s="448">
        <f>$G$93</f>
        <v>3.5</v>
      </c>
      <c r="I143" s="490">
        <f>ROUND(G143*$C143,0)</f>
        <v>0</v>
      </c>
      <c r="J143" s="490"/>
      <c r="K143" s="448">
        <v>0</v>
      </c>
      <c r="M143" s="490" t="e">
        <f>#REF!</f>
        <v>#REF!</v>
      </c>
      <c r="N143" s="490"/>
      <c r="O143" s="448">
        <v>0</v>
      </c>
      <c r="Q143" s="490" t="e">
        <f>#REF!</f>
        <v>#REF!</v>
      </c>
      <c r="R143" s="490"/>
      <c r="S143" s="448" t="e">
        <f>S93</f>
        <v>#REF!</v>
      </c>
      <c r="U143" s="490" t="e">
        <f>#REF!</f>
        <v>#REF!</v>
      </c>
      <c r="V143" s="7"/>
      <c r="W143" s="31"/>
      <c r="X143" s="31"/>
      <c r="Y143" s="31"/>
      <c r="Z143" s="7"/>
      <c r="AA143" s="7"/>
      <c r="AB143" s="7"/>
      <c r="AC143" s="7"/>
      <c r="AD143" s="7"/>
      <c r="AE143" s="7"/>
      <c r="AF143" s="7"/>
      <c r="AG143" s="7"/>
      <c r="AH143" s="7"/>
      <c r="AI143" s="7"/>
      <c r="AJ143" s="7"/>
      <c r="AK143" s="7"/>
      <c r="AL143" s="7"/>
      <c r="AM143" s="7"/>
      <c r="AN143" s="7"/>
      <c r="AO143" s="7"/>
      <c r="AP143" s="7"/>
      <c r="AR143" s="496"/>
    </row>
    <row r="144" spans="1:44">
      <c r="A144" s="4" t="s">
        <v>368</v>
      </c>
      <c r="C144" s="61">
        <v>0</v>
      </c>
      <c r="D144" s="448">
        <f>$D$94</f>
        <v>-1.78</v>
      </c>
      <c r="F144" s="490">
        <v>0</v>
      </c>
      <c r="G144" s="448">
        <f>-G142</f>
        <v>-1.78</v>
      </c>
      <c r="I144" s="490">
        <f>ROUND(G144*$C144,0)</f>
        <v>0</v>
      </c>
      <c r="J144" s="490"/>
      <c r="K144" s="448">
        <f>-K142</f>
        <v>0</v>
      </c>
      <c r="M144" s="490" t="e">
        <f>#REF!</f>
        <v>#REF!</v>
      </c>
      <c r="N144" s="490"/>
      <c r="O144" s="448">
        <f>-O142</f>
        <v>0</v>
      </c>
      <c r="Q144" s="490" t="e">
        <f>#REF!</f>
        <v>#REF!</v>
      </c>
      <c r="R144" s="490"/>
      <c r="S144" s="448" t="e">
        <f>-S142</f>
        <v>#REF!</v>
      </c>
      <c r="U144" s="490" t="e">
        <f>#REF!</f>
        <v>#REF!</v>
      </c>
      <c r="V144" s="7"/>
      <c r="W144" s="31"/>
      <c r="X144" s="31"/>
      <c r="Y144" s="31"/>
      <c r="Z144" s="7"/>
      <c r="AA144" s="7"/>
      <c r="AB144" s="7"/>
      <c r="AC144" s="7"/>
      <c r="AD144" s="7"/>
      <c r="AE144" s="7"/>
      <c r="AF144" s="7"/>
      <c r="AG144" s="7"/>
      <c r="AH144" s="7"/>
      <c r="AI144" s="7"/>
      <c r="AJ144" s="7"/>
      <c r="AK144" s="7"/>
      <c r="AL144" s="7"/>
      <c r="AM144" s="7"/>
      <c r="AN144" s="7"/>
      <c r="AO144" s="7"/>
      <c r="AP144" s="7"/>
      <c r="AR144" s="496"/>
    </row>
    <row r="145" spans="1:44" s="588" customFormat="1" hidden="1">
      <c r="A145" s="588" t="s">
        <v>769</v>
      </c>
      <c r="C145" s="631">
        <f>C140</f>
        <v>32494683.088578962</v>
      </c>
      <c r="D145" s="990">
        <v>0</v>
      </c>
      <c r="E145" s="635"/>
      <c r="F145" s="616"/>
      <c r="G145" s="987">
        <f>G114</f>
        <v>0</v>
      </c>
      <c r="H145" s="592" t="s">
        <v>362</v>
      </c>
      <c r="I145" s="616">
        <f>G145*C145/100</f>
        <v>0</v>
      </c>
      <c r="J145" s="616"/>
      <c r="K145" s="987" t="e">
        <f>K114</f>
        <v>#REF!</v>
      </c>
      <c r="L145" s="592" t="s">
        <v>362</v>
      </c>
      <c r="M145" s="490" t="e">
        <f>#REF!</f>
        <v>#REF!</v>
      </c>
      <c r="N145" s="616"/>
      <c r="O145" s="987" t="str">
        <f>O114</f>
        <v xml:space="preserve"> </v>
      </c>
      <c r="P145" s="592" t="s">
        <v>362</v>
      </c>
      <c r="Q145" s="490" t="e">
        <f>#REF!</f>
        <v>#REF!</v>
      </c>
      <c r="R145" s="616"/>
      <c r="S145" s="987">
        <f>S114</f>
        <v>0</v>
      </c>
      <c r="T145" s="592" t="s">
        <v>362</v>
      </c>
      <c r="U145" s="490" t="e">
        <f>#REF!</f>
        <v>#REF!</v>
      </c>
      <c r="W145" s="450"/>
      <c r="Z145" s="989"/>
      <c r="AA145" s="989"/>
      <c r="AF145" s="635"/>
      <c r="AG145" s="635"/>
      <c r="AH145" s="635"/>
      <c r="AI145" s="635"/>
      <c r="AJ145" s="635"/>
      <c r="AK145" s="635"/>
      <c r="AL145" s="635"/>
      <c r="AM145" s="635"/>
      <c r="AN145" s="635"/>
      <c r="AO145" s="635"/>
      <c r="AP145" s="635"/>
      <c r="AR145" s="988"/>
    </row>
    <row r="146" spans="1:44" s="588" customFormat="1" hidden="1">
      <c r="A146" s="588" t="s">
        <v>770</v>
      </c>
      <c r="C146" s="631">
        <f>C141</f>
        <v>43594753.416123003</v>
      </c>
      <c r="D146" s="990">
        <v>0</v>
      </c>
      <c r="E146" s="635"/>
      <c r="F146" s="616"/>
      <c r="G146" s="987">
        <f>G115</f>
        <v>0</v>
      </c>
      <c r="H146" s="592" t="s">
        <v>362</v>
      </c>
      <c r="I146" s="616">
        <f>G146*C146/100</f>
        <v>0</v>
      </c>
      <c r="J146" s="616"/>
      <c r="K146" s="987" t="e">
        <f>K115</f>
        <v>#REF!</v>
      </c>
      <c r="L146" s="592" t="s">
        <v>362</v>
      </c>
      <c r="M146" s="490" t="e">
        <f>#REF!</f>
        <v>#REF!</v>
      </c>
      <c r="N146" s="616"/>
      <c r="O146" s="987" t="str">
        <f>O115</f>
        <v xml:space="preserve"> </v>
      </c>
      <c r="P146" s="592" t="s">
        <v>362</v>
      </c>
      <c r="Q146" s="490" t="e">
        <f>#REF!</f>
        <v>#REF!</v>
      </c>
      <c r="R146" s="616"/>
      <c r="S146" s="987">
        <f>S115</f>
        <v>0</v>
      </c>
      <c r="T146" s="592" t="s">
        <v>362</v>
      </c>
      <c r="U146" s="490" t="e">
        <f>#REF!</f>
        <v>#REF!</v>
      </c>
      <c r="W146" s="450"/>
      <c r="Z146" s="989"/>
      <c r="AA146" s="989"/>
      <c r="AF146" s="635"/>
      <c r="AG146" s="635"/>
      <c r="AH146" s="635"/>
      <c r="AI146" s="635"/>
      <c r="AJ146" s="635"/>
      <c r="AK146" s="635"/>
      <c r="AL146" s="635"/>
      <c r="AM146" s="635"/>
      <c r="AN146" s="635"/>
      <c r="AO146" s="635"/>
      <c r="AP146" s="635"/>
      <c r="AR146" s="988"/>
    </row>
    <row r="147" spans="1:44">
      <c r="A147" s="305" t="s">
        <v>369</v>
      </c>
      <c r="B147" s="305"/>
      <c r="C147" s="61">
        <f>SUM(C140:C141)</f>
        <v>76089436.504701972</v>
      </c>
      <c r="D147" s="1009"/>
      <c r="E147" s="490"/>
      <c r="F147" s="490">
        <f>SUM(F139:F144)</f>
        <v>7280053</v>
      </c>
      <c r="G147" s="490"/>
      <c r="H147" s="490"/>
      <c r="I147" s="490">
        <f ca="1">SUM(I139:I146)</f>
        <v>7395346</v>
      </c>
      <c r="J147" s="490"/>
      <c r="K147" s="490"/>
      <c r="L147" s="490"/>
      <c r="M147" s="490" t="e">
        <f>SUM(M139:M146)</f>
        <v>#REF!</v>
      </c>
      <c r="N147" s="490"/>
      <c r="O147" s="490"/>
      <c r="P147" s="490"/>
      <c r="Q147" s="490" t="e">
        <f>SUM(Q139:Q146)</f>
        <v>#REF!</v>
      </c>
      <c r="R147" s="490"/>
      <c r="S147" s="490"/>
      <c r="T147" s="490"/>
      <c r="U147" s="490" t="e">
        <f>SUM(U139:U146)</f>
        <v>#REF!</v>
      </c>
      <c r="V147" s="7"/>
      <c r="W147" s="31"/>
      <c r="X147" s="31"/>
      <c r="Y147" s="31"/>
      <c r="Z147" s="7"/>
      <c r="AA147" s="7"/>
      <c r="AB147" s="7"/>
      <c r="AC147" s="7"/>
      <c r="AD147" s="7"/>
      <c r="AE147" s="7"/>
      <c r="AF147" s="7"/>
      <c r="AG147" s="7"/>
      <c r="AH147" s="7"/>
      <c r="AI147" s="7"/>
      <c r="AJ147" s="7"/>
      <c r="AK147" s="7"/>
      <c r="AL147" s="7"/>
      <c r="AM147" s="7"/>
      <c r="AN147" s="7"/>
      <c r="AO147" s="7"/>
      <c r="AP147" s="7"/>
      <c r="AR147" s="496"/>
    </row>
    <row r="148" spans="1:44">
      <c r="A148" s="305" t="s">
        <v>351</v>
      </c>
      <c r="B148" s="305"/>
      <c r="C148" s="1017">
        <f>'Table 2'!H14</f>
        <v>-1022509.0872067123</v>
      </c>
      <c r="D148" s="305"/>
      <c r="E148" s="305"/>
      <c r="F148" s="993">
        <f>'Table 3'!E14</f>
        <v>28654.901740030542</v>
      </c>
      <c r="G148" s="305"/>
      <c r="H148" s="305"/>
      <c r="I148" s="993">
        <f>F148</f>
        <v>28654.901740030542</v>
      </c>
      <c r="J148" s="723"/>
      <c r="K148" s="305"/>
      <c r="L148" s="305"/>
      <c r="M148" s="993" t="e">
        <f>I148/$I$100*$M$100</f>
        <v>#DIV/0!</v>
      </c>
      <c r="N148" s="723"/>
      <c r="O148" s="305"/>
      <c r="P148" s="305"/>
      <c r="Q148" s="993" t="e">
        <f>I148/$I$100*$Q$100</f>
        <v>#DIV/0!</v>
      </c>
      <c r="R148" s="723"/>
      <c r="S148" s="305"/>
      <c r="T148" s="305"/>
      <c r="U148" s="993" t="e">
        <f>I148/$I$100*$U$100</f>
        <v>#DIV/0!</v>
      </c>
      <c r="V148" s="714"/>
      <c r="W148" s="171"/>
      <c r="X148" s="31"/>
      <c r="Y148" s="31"/>
      <c r="Z148" s="7"/>
      <c r="AA148" s="7"/>
      <c r="AB148" s="7"/>
      <c r="AC148" s="7"/>
      <c r="AD148" s="7"/>
      <c r="AE148" s="7"/>
      <c r="AF148" s="7"/>
      <c r="AG148" s="7"/>
      <c r="AH148" s="7"/>
      <c r="AI148" s="7"/>
      <c r="AJ148" s="7"/>
      <c r="AK148" s="7"/>
      <c r="AL148" s="7"/>
      <c r="AM148" s="7"/>
      <c r="AN148" s="7"/>
      <c r="AO148" s="7"/>
      <c r="AP148" s="7"/>
      <c r="AR148" s="496"/>
    </row>
    <row r="149" spans="1:44" ht="16.5" thickBot="1">
      <c r="A149" s="305" t="s">
        <v>370</v>
      </c>
      <c r="B149" s="305"/>
      <c r="C149" s="1012">
        <f>C147+C148</f>
        <v>75066927.417495266</v>
      </c>
      <c r="D149" s="995"/>
      <c r="E149" s="995"/>
      <c r="F149" s="995">
        <f>SUM(F147:F148)</f>
        <v>7308707.9017400304</v>
      </c>
      <c r="G149" s="995"/>
      <c r="H149" s="995"/>
      <c r="I149" s="995">
        <f ca="1">I147+I148</f>
        <v>7424000.9017400304</v>
      </c>
      <c r="J149" s="723"/>
      <c r="K149" s="995"/>
      <c r="L149" s="995"/>
      <c r="M149" s="995" t="e">
        <f>M147+M148</f>
        <v>#REF!</v>
      </c>
      <c r="N149" s="995"/>
      <c r="O149" s="995"/>
      <c r="P149" s="995"/>
      <c r="Q149" s="995" t="e">
        <f>Q147+Q148</f>
        <v>#REF!</v>
      </c>
      <c r="R149" s="995"/>
      <c r="S149" s="995"/>
      <c r="T149" s="995"/>
      <c r="U149" s="995" t="e">
        <f>U147+U148</f>
        <v>#REF!</v>
      </c>
      <c r="V149" s="295"/>
      <c r="W149" s="354"/>
      <c r="X149" s="31"/>
      <c r="Y149" s="31"/>
      <c r="Z149" s="7"/>
      <c r="AA149" s="7"/>
      <c r="AB149" s="7"/>
      <c r="AC149" s="7"/>
      <c r="AD149" s="7"/>
      <c r="AE149" s="7"/>
      <c r="AF149" s="7"/>
      <c r="AG149" s="7"/>
      <c r="AH149" s="7"/>
      <c r="AI149" s="7"/>
      <c r="AJ149" s="7"/>
      <c r="AK149" s="7"/>
      <c r="AL149" s="7"/>
      <c r="AM149" s="7"/>
      <c r="AN149" s="7"/>
      <c r="AO149" s="7"/>
      <c r="AP149" s="7"/>
      <c r="AR149" s="496"/>
    </row>
    <row r="150" spans="1:44" ht="16.5" thickTop="1">
      <c r="A150" s="305"/>
      <c r="B150" s="1016"/>
      <c r="C150" s="61"/>
      <c r="D150" s="305" t="s">
        <v>31</v>
      </c>
      <c r="E150" s="305"/>
      <c r="G150" s="305" t="s">
        <v>31</v>
      </c>
      <c r="H150" s="305"/>
      <c r="I150" s="490" t="s">
        <v>31</v>
      </c>
      <c r="J150" s="490"/>
      <c r="K150" s="305" t="s">
        <v>31</v>
      </c>
      <c r="L150" s="305"/>
      <c r="M150" s="490" t="s">
        <v>31</v>
      </c>
      <c r="N150" s="490"/>
      <c r="O150" s="305" t="s">
        <v>31</v>
      </c>
      <c r="P150" s="305"/>
      <c r="Q150" s="490" t="s">
        <v>31</v>
      </c>
      <c r="R150" s="490"/>
      <c r="S150" s="305" t="s">
        <v>31</v>
      </c>
      <c r="T150" s="305"/>
      <c r="U150" s="490" t="s">
        <v>31</v>
      </c>
      <c r="V150" s="7"/>
      <c r="W150" s="31"/>
      <c r="X150" s="31"/>
      <c r="Y150" s="31"/>
      <c r="Z150" s="7"/>
      <c r="AA150" s="7"/>
      <c r="AB150" s="7"/>
      <c r="AC150" s="7"/>
      <c r="AD150" s="7"/>
      <c r="AE150" s="7"/>
      <c r="AF150" s="7"/>
      <c r="AG150" s="7"/>
      <c r="AH150" s="7"/>
      <c r="AI150" s="7"/>
      <c r="AJ150" s="7"/>
      <c r="AK150" s="7"/>
      <c r="AL150" s="7"/>
      <c r="AM150" s="7"/>
      <c r="AN150" s="7"/>
      <c r="AO150" s="7"/>
      <c r="AP150" s="7"/>
      <c r="AR150" s="496"/>
    </row>
    <row r="151" spans="1:44">
      <c r="A151" s="305" t="s">
        <v>373</v>
      </c>
      <c r="B151" s="305"/>
      <c r="C151" s="305"/>
      <c r="D151" s="61"/>
      <c r="E151" s="305"/>
      <c r="F151" s="305"/>
      <c r="G151" s="61"/>
      <c r="H151" s="305"/>
      <c r="I151" s="305"/>
      <c r="J151" s="305"/>
      <c r="K151" s="61"/>
      <c r="L151" s="305"/>
      <c r="M151" s="305"/>
      <c r="N151" s="305"/>
      <c r="O151" s="61"/>
      <c r="P151" s="305"/>
      <c r="Q151" s="305"/>
      <c r="R151" s="305"/>
      <c r="S151" s="61"/>
      <c r="T151" s="305"/>
      <c r="U151" s="305"/>
      <c r="V151" s="7"/>
      <c r="W151" s="31"/>
      <c r="X151" s="31"/>
      <c r="Y151" s="31"/>
      <c r="Z151" s="7"/>
      <c r="AA151" s="7"/>
      <c r="AB151" s="7"/>
      <c r="AC151" s="7"/>
      <c r="AD151" s="7"/>
      <c r="AE151" s="7"/>
      <c r="AF151" s="7"/>
      <c r="AG151" s="7"/>
      <c r="AH151" s="7"/>
      <c r="AI151" s="7"/>
      <c r="AJ151" s="7"/>
      <c r="AK151" s="7"/>
      <c r="AL151" s="7"/>
      <c r="AM151" s="7"/>
      <c r="AN151" s="7"/>
      <c r="AO151" s="7"/>
      <c r="AP151" s="7"/>
      <c r="AR151" s="496"/>
    </row>
    <row r="152" spans="1:44">
      <c r="A152" s="305" t="s">
        <v>318</v>
      </c>
      <c r="B152" s="305"/>
      <c r="C152" s="305"/>
      <c r="D152" s="61"/>
      <c r="E152" s="305"/>
      <c r="F152" s="305"/>
      <c r="G152" s="61"/>
      <c r="H152" s="305"/>
      <c r="I152" s="305"/>
      <c r="J152" s="305"/>
      <c r="K152" s="61"/>
      <c r="L152" s="305"/>
      <c r="M152" s="305"/>
      <c r="N152" s="305"/>
      <c r="O152" s="61"/>
      <c r="P152" s="305"/>
      <c r="Q152" s="305"/>
      <c r="R152" s="305"/>
      <c r="S152" s="61"/>
      <c r="T152" s="305"/>
      <c r="U152" s="305"/>
      <c r="V152" s="7"/>
      <c r="W152" s="31"/>
      <c r="X152" s="31"/>
      <c r="Y152" s="31"/>
      <c r="Z152" s="7"/>
      <c r="AA152" s="7"/>
      <c r="AB152" s="7"/>
      <c r="AC152" s="7"/>
      <c r="AD152" s="7"/>
      <c r="AE152" s="7"/>
      <c r="AF152" s="7"/>
      <c r="AG152" s="7"/>
      <c r="AH152" s="7"/>
      <c r="AI152" s="7"/>
      <c r="AJ152" s="7"/>
      <c r="AK152" s="7"/>
      <c r="AL152" s="7"/>
      <c r="AM152" s="7"/>
      <c r="AN152" s="7"/>
      <c r="AO152" s="7"/>
      <c r="AP152" s="7"/>
      <c r="AR152" s="496"/>
    </row>
    <row r="153" spans="1:44">
      <c r="A153" s="1004"/>
      <c r="B153" s="305"/>
      <c r="C153" s="305"/>
      <c r="D153" s="61"/>
      <c r="E153" s="305"/>
      <c r="F153" s="305"/>
      <c r="G153" s="61"/>
      <c r="H153" s="305"/>
      <c r="I153" s="305"/>
      <c r="J153" s="305"/>
      <c r="K153" s="61"/>
      <c r="L153" s="305"/>
      <c r="M153" s="305"/>
      <c r="N153" s="305"/>
      <c r="O153" s="61"/>
      <c r="P153" s="305"/>
      <c r="Q153" s="305"/>
      <c r="R153" s="305"/>
      <c r="S153" s="61"/>
      <c r="T153" s="305"/>
      <c r="U153" s="305"/>
      <c r="V153" s="7"/>
      <c r="W153" s="31"/>
      <c r="X153" s="31"/>
      <c r="Y153" s="31"/>
      <c r="Z153" s="7"/>
      <c r="AA153" s="7"/>
      <c r="AB153" s="7"/>
      <c r="AC153" s="7"/>
      <c r="AD153" s="7"/>
      <c r="AE153" s="7"/>
      <c r="AF153" s="7"/>
      <c r="AG153" s="7"/>
      <c r="AH153" s="7"/>
      <c r="AI153" s="7"/>
      <c r="AJ153" s="7"/>
      <c r="AK153" s="7"/>
      <c r="AL153" s="7"/>
      <c r="AM153" s="7"/>
      <c r="AN153" s="7"/>
      <c r="AO153" s="7"/>
      <c r="AP153" s="7"/>
      <c r="AR153" s="496"/>
    </row>
    <row r="154" spans="1:44">
      <c r="A154" s="305" t="s">
        <v>358</v>
      </c>
      <c r="B154" s="305"/>
      <c r="C154" s="61">
        <v>948.63612903225805</v>
      </c>
      <c r="D154" s="448">
        <f>$D$89</f>
        <v>7.75</v>
      </c>
      <c r="E154" s="305"/>
      <c r="F154" s="490">
        <f>ROUND(D154*C154,0)</f>
        <v>7352</v>
      </c>
      <c r="G154" s="448">
        <f>$G$89</f>
        <v>7.75</v>
      </c>
      <c r="H154" s="305"/>
      <c r="I154" s="490">
        <f>ROUND(G154*$C154,0)</f>
        <v>7352</v>
      </c>
      <c r="J154" s="490"/>
      <c r="K154" s="448" t="e">
        <f>$K$89</f>
        <v>#REF!</v>
      </c>
      <c r="L154" s="305"/>
      <c r="M154" s="490" t="e">
        <f>K154*$C154</f>
        <v>#REF!</v>
      </c>
      <c r="N154" s="490"/>
      <c r="O154" s="448" t="str">
        <f>$O$89</f>
        <v xml:space="preserve"> </v>
      </c>
      <c r="P154" s="305"/>
      <c r="Q154" s="490">
        <f>ROUND(O154*$C154,0)</f>
        <v>0</v>
      </c>
      <c r="R154" s="490"/>
      <c r="S154" s="448" t="str">
        <f>$S$89</f>
        <v xml:space="preserve"> </v>
      </c>
      <c r="T154" s="305"/>
      <c r="U154" s="490">
        <f>ROUND(S154*$C154,0)</f>
        <v>0</v>
      </c>
      <c r="V154" s="7"/>
      <c r="W154" s="31"/>
      <c r="X154" s="31"/>
      <c r="Y154" s="31"/>
      <c r="Z154" s="7"/>
      <c r="AA154" s="7"/>
      <c r="AB154" s="7"/>
      <c r="AC154" s="7"/>
      <c r="AD154" s="7"/>
      <c r="AE154" s="7"/>
      <c r="AF154" s="7"/>
      <c r="AG154" s="7"/>
      <c r="AH154" s="7"/>
      <c r="AI154" s="7"/>
      <c r="AJ154" s="7"/>
      <c r="AK154" s="7"/>
      <c r="AL154" s="7"/>
      <c r="AM154" s="7"/>
      <c r="AN154" s="7"/>
      <c r="AO154" s="7"/>
      <c r="AP154" s="7"/>
      <c r="AR154" s="496"/>
    </row>
    <row r="155" spans="1:44">
      <c r="A155" s="305" t="s">
        <v>361</v>
      </c>
      <c r="B155" s="305"/>
      <c r="C155" s="61">
        <v>507458.17214397719</v>
      </c>
      <c r="D155" s="1006">
        <f>$D$90</f>
        <v>6.7170000000000005</v>
      </c>
      <c r="E155" s="305" t="s">
        <v>362</v>
      </c>
      <c r="F155" s="490">
        <f>ROUND(C155*D155/100,0)</f>
        <v>34086</v>
      </c>
      <c r="G155" s="1006">
        <f ca="1">$G$90</f>
        <v>6.8330000000000002</v>
      </c>
      <c r="H155" s="305" t="s">
        <v>362</v>
      </c>
      <c r="I155" s="490">
        <f ca="1">ROUND(G155*$C155/100,0)</f>
        <v>34675</v>
      </c>
      <c r="J155" s="490"/>
      <c r="K155" s="1006" t="e">
        <f>K90</f>
        <v>#REF!</v>
      </c>
      <c r="L155" s="305" t="s">
        <v>362</v>
      </c>
      <c r="M155" s="490" t="e">
        <f>K155*$C155/100</f>
        <v>#REF!</v>
      </c>
      <c r="N155" s="490"/>
      <c r="O155" s="1006" t="e">
        <f>O90</f>
        <v>#REF!</v>
      </c>
      <c r="P155" s="305" t="s">
        <v>362</v>
      </c>
      <c r="Q155" s="490" t="e">
        <f>ROUND(O155*$C155/100,0)</f>
        <v>#REF!</v>
      </c>
      <c r="R155" s="490"/>
      <c r="S155" s="1006" t="e">
        <f>S90</f>
        <v>#REF!</v>
      </c>
      <c r="T155" s="305" t="s">
        <v>362</v>
      </c>
      <c r="U155" s="490" t="e">
        <f>ROUND(S155*$C155/100,0)</f>
        <v>#REF!</v>
      </c>
      <c r="V155" s="7"/>
      <c r="W155" s="31"/>
      <c r="X155" s="31"/>
      <c r="Y155" s="31"/>
      <c r="Z155" s="7"/>
      <c r="AA155" s="7"/>
      <c r="AB155" s="7"/>
      <c r="AC155" s="7"/>
      <c r="AD155" s="7"/>
      <c r="AE155" s="7"/>
      <c r="AF155" s="7"/>
      <c r="AG155" s="7"/>
      <c r="AH155" s="7"/>
      <c r="AI155" s="7"/>
      <c r="AJ155" s="7"/>
      <c r="AK155" s="7"/>
      <c r="AL155" s="7"/>
      <c r="AM155" s="7"/>
      <c r="AN155" s="7"/>
      <c r="AO155" s="7"/>
      <c r="AP155" s="7"/>
      <c r="AR155" s="496"/>
    </row>
    <row r="156" spans="1:44">
      <c r="A156" s="305" t="s">
        <v>363</v>
      </c>
      <c r="B156" s="305"/>
      <c r="C156" s="61">
        <v>1526171.3935806504</v>
      </c>
      <c r="D156" s="1006">
        <f>$D$91</f>
        <v>10.613</v>
      </c>
      <c r="E156" s="305" t="s">
        <v>362</v>
      </c>
      <c r="F156" s="490">
        <f>ROUND(C156*D156/100,0)</f>
        <v>161973</v>
      </c>
      <c r="G156" s="1006">
        <f ca="1">$G$91</f>
        <v>10.791</v>
      </c>
      <c r="H156" s="305" t="s">
        <v>362</v>
      </c>
      <c r="I156" s="490">
        <f ca="1">ROUND(G156*$C156/100,0)</f>
        <v>164689</v>
      </c>
      <c r="J156" s="490"/>
      <c r="K156" s="1006" t="e">
        <f>K110</f>
        <v>#REF!</v>
      </c>
      <c r="L156" s="305" t="s">
        <v>362</v>
      </c>
      <c r="M156" s="490" t="e">
        <f>K156*$C156/100</f>
        <v>#REF!</v>
      </c>
      <c r="N156" s="490"/>
      <c r="O156" s="1006" t="e">
        <f>O110</f>
        <v>#REF!</v>
      </c>
      <c r="P156" s="305" t="s">
        <v>362</v>
      </c>
      <c r="Q156" s="490" t="e">
        <f>ROUND(O156*$C156/100,0)</f>
        <v>#REF!</v>
      </c>
      <c r="R156" s="490"/>
      <c r="S156" s="1006" t="e">
        <f>S110</f>
        <v>#REF!</v>
      </c>
      <c r="T156" s="305" t="s">
        <v>362</v>
      </c>
      <c r="U156" s="490" t="e">
        <f>ROUND(S156*$C156/100,0)</f>
        <v>#REF!</v>
      </c>
      <c r="V156" s="7"/>
      <c r="W156" s="31"/>
      <c r="X156" s="31"/>
      <c r="Y156" s="31"/>
      <c r="Z156" s="7"/>
      <c r="AA156" s="7"/>
      <c r="AB156" s="7"/>
      <c r="AC156" s="7"/>
      <c r="AD156" s="7"/>
      <c r="AE156" s="7"/>
      <c r="AF156" s="7"/>
      <c r="AG156" s="7"/>
      <c r="AH156" s="7"/>
      <c r="AI156" s="7"/>
      <c r="AJ156" s="7"/>
      <c r="AK156" s="7"/>
      <c r="AL156" s="7"/>
      <c r="AM156" s="7"/>
      <c r="AN156" s="7"/>
      <c r="AO156" s="7"/>
      <c r="AP156" s="7"/>
      <c r="AR156" s="496"/>
    </row>
    <row r="157" spans="1:44">
      <c r="A157" s="305" t="s">
        <v>365</v>
      </c>
      <c r="B157" s="305"/>
      <c r="C157" s="61">
        <v>4421</v>
      </c>
      <c r="D157" s="448">
        <f>$D$92</f>
        <v>1.78</v>
      </c>
      <c r="E157" s="305"/>
      <c r="F157" s="490">
        <f>ROUND(D157*C157,0)</f>
        <v>7869</v>
      </c>
      <c r="G157" s="448">
        <f>$G$92</f>
        <v>1.78</v>
      </c>
      <c r="H157" s="305"/>
      <c r="I157" s="490">
        <f>ROUND(G157*$C157,0)</f>
        <v>7869</v>
      </c>
      <c r="J157" s="490"/>
      <c r="K157" s="448">
        <v>0</v>
      </c>
      <c r="L157" s="305"/>
      <c r="M157" s="490">
        <f>ROUND(K157*$C157,0)</f>
        <v>0</v>
      </c>
      <c r="N157" s="490"/>
      <c r="O157" s="448">
        <v>0</v>
      </c>
      <c r="P157" s="305"/>
      <c r="Q157" s="490">
        <f>ROUND(O157*$C157,0)</f>
        <v>0</v>
      </c>
      <c r="R157" s="490"/>
      <c r="S157" s="448" t="e">
        <f>S92</f>
        <v>#REF!</v>
      </c>
      <c r="T157" s="305"/>
      <c r="U157" s="490" t="e">
        <f>ROUND(S157*$C157,0)</f>
        <v>#REF!</v>
      </c>
      <c r="V157" s="7"/>
      <c r="W157" s="31"/>
      <c r="X157" s="31"/>
      <c r="Y157" s="31"/>
      <c r="Z157" s="7"/>
      <c r="AA157" s="7"/>
      <c r="AB157" s="7"/>
      <c r="AC157" s="7"/>
      <c r="AD157" s="7"/>
      <c r="AE157" s="7"/>
      <c r="AF157" s="7"/>
      <c r="AG157" s="7"/>
      <c r="AH157" s="7"/>
      <c r="AI157" s="7"/>
      <c r="AJ157" s="7"/>
      <c r="AK157" s="7"/>
      <c r="AL157" s="7"/>
      <c r="AM157" s="7"/>
      <c r="AN157" s="7"/>
      <c r="AO157" s="7"/>
      <c r="AP157" s="7"/>
      <c r="AR157" s="496"/>
    </row>
    <row r="158" spans="1:44">
      <c r="A158" s="4" t="s">
        <v>367</v>
      </c>
      <c r="C158" s="61">
        <v>594</v>
      </c>
      <c r="D158" s="448">
        <f>$D$93</f>
        <v>3.5</v>
      </c>
      <c r="F158" s="490">
        <f>ROUND(D158*C158,0)</f>
        <v>2079</v>
      </c>
      <c r="G158" s="448">
        <f>$G$93</f>
        <v>3.5</v>
      </c>
      <c r="I158" s="490">
        <f>ROUND(G158*$C158,0)</f>
        <v>2079</v>
      </c>
      <c r="J158" s="490"/>
      <c r="K158" s="448">
        <v>0</v>
      </c>
      <c r="M158" s="490">
        <f>ROUND(K158*$C158,0)</f>
        <v>0</v>
      </c>
      <c r="N158" s="490"/>
      <c r="O158" s="448">
        <v>0</v>
      </c>
      <c r="Q158" s="490">
        <f>ROUND(O158*$C158,0)</f>
        <v>0</v>
      </c>
      <c r="R158" s="490"/>
      <c r="S158" s="448" t="e">
        <f>S93</f>
        <v>#REF!</v>
      </c>
      <c r="U158" s="490" t="e">
        <f>ROUND(S158*$C158,0)</f>
        <v>#REF!</v>
      </c>
      <c r="V158" s="7"/>
      <c r="W158" s="31"/>
      <c r="X158" s="31"/>
      <c r="Y158" s="31"/>
      <c r="Z158" s="7"/>
      <c r="AA158" s="7"/>
      <c r="AB158" s="7"/>
      <c r="AC158" s="7"/>
      <c r="AD158" s="7"/>
      <c r="AE158" s="7"/>
      <c r="AF158" s="7"/>
      <c r="AG158" s="7"/>
      <c r="AH158" s="7"/>
      <c r="AI158" s="7"/>
      <c r="AJ158" s="7"/>
      <c r="AK158" s="7"/>
      <c r="AL158" s="7"/>
      <c r="AM158" s="7"/>
      <c r="AN158" s="7"/>
      <c r="AO158" s="7"/>
      <c r="AP158" s="7"/>
      <c r="AR158" s="496"/>
    </row>
    <row r="159" spans="1:44">
      <c r="A159" s="4" t="s">
        <v>368</v>
      </c>
      <c r="C159" s="61">
        <v>74</v>
      </c>
      <c r="D159" s="448">
        <f>$D$94</f>
        <v>-1.78</v>
      </c>
      <c r="F159" s="490">
        <f>ROUND(D159*C159,0)</f>
        <v>-132</v>
      </c>
      <c r="G159" s="448">
        <f>-G157</f>
        <v>-1.78</v>
      </c>
      <c r="I159" s="490">
        <f>ROUND(G159*$C159,0)</f>
        <v>-132</v>
      </c>
      <c r="J159" s="490"/>
      <c r="K159" s="448">
        <f>-K157</f>
        <v>0</v>
      </c>
      <c r="M159" s="490">
        <f>ROUND(K159*$C159,0)</f>
        <v>0</v>
      </c>
      <c r="N159" s="490"/>
      <c r="O159" s="448">
        <f>-O157</f>
        <v>0</v>
      </c>
      <c r="Q159" s="490">
        <f>ROUND(O159*$C159,0)</f>
        <v>0</v>
      </c>
      <c r="R159" s="490"/>
      <c r="S159" s="448" t="e">
        <f>-S157</f>
        <v>#REF!</v>
      </c>
      <c r="U159" s="490" t="e">
        <f>ROUND(S159*$C159,0)</f>
        <v>#REF!</v>
      </c>
      <c r="V159" s="7"/>
      <c r="W159" s="31"/>
      <c r="X159" s="31"/>
      <c r="Y159" s="31"/>
      <c r="Z159" s="7"/>
      <c r="AA159" s="7"/>
      <c r="AB159" s="7"/>
      <c r="AC159" s="7"/>
      <c r="AD159" s="7"/>
      <c r="AE159" s="7"/>
      <c r="AF159" s="7"/>
      <c r="AG159" s="7"/>
      <c r="AH159" s="7"/>
      <c r="AI159" s="7"/>
      <c r="AJ159" s="7"/>
      <c r="AK159" s="7"/>
      <c r="AL159" s="7"/>
      <c r="AM159" s="7"/>
      <c r="AN159" s="7"/>
      <c r="AO159" s="7"/>
      <c r="AP159" s="7"/>
      <c r="AR159" s="496"/>
    </row>
    <row r="160" spans="1:44" s="588" customFormat="1" hidden="1">
      <c r="A160" s="588" t="s">
        <v>769</v>
      </c>
      <c r="C160" s="631">
        <f>C155</f>
        <v>507458.17214397719</v>
      </c>
      <c r="D160" s="990">
        <v>0</v>
      </c>
      <c r="E160" s="635"/>
      <c r="F160" s="616"/>
      <c r="G160" s="987">
        <f>G145</f>
        <v>0</v>
      </c>
      <c r="H160" s="592" t="s">
        <v>362</v>
      </c>
      <c r="I160" s="616">
        <f>G160*C160/100</f>
        <v>0</v>
      </c>
      <c r="J160" s="616"/>
      <c r="K160" s="987" t="e">
        <f>K145</f>
        <v>#REF!</v>
      </c>
      <c r="L160" s="592" t="s">
        <v>362</v>
      </c>
      <c r="M160" s="616" t="e">
        <f>K160*C160/100</f>
        <v>#REF!</v>
      </c>
      <c r="N160" s="616"/>
      <c r="O160" s="987" t="str">
        <f>O145</f>
        <v xml:space="preserve"> </v>
      </c>
      <c r="P160" s="592" t="s">
        <v>362</v>
      </c>
      <c r="Q160" s="616">
        <f>O160*C160/100</f>
        <v>0</v>
      </c>
      <c r="R160" s="616"/>
      <c r="S160" s="987">
        <f>S145</f>
        <v>0</v>
      </c>
      <c r="T160" s="592" t="s">
        <v>362</v>
      </c>
      <c r="U160" s="616">
        <f>S160*C160/100</f>
        <v>0</v>
      </c>
      <c r="W160" s="450"/>
      <c r="Z160" s="989"/>
      <c r="AA160" s="989"/>
      <c r="AF160" s="635"/>
      <c r="AG160" s="635"/>
      <c r="AH160" s="635"/>
      <c r="AI160" s="635"/>
      <c r="AJ160" s="635"/>
      <c r="AK160" s="635"/>
      <c r="AL160" s="635"/>
      <c r="AM160" s="635"/>
      <c r="AN160" s="635"/>
      <c r="AO160" s="635"/>
      <c r="AP160" s="635"/>
      <c r="AR160" s="988"/>
    </row>
    <row r="161" spans="1:44" s="588" customFormat="1" hidden="1">
      <c r="A161" s="588" t="s">
        <v>770</v>
      </c>
      <c r="C161" s="631">
        <f>C156</f>
        <v>1526171.3935806504</v>
      </c>
      <c r="D161" s="990">
        <v>0</v>
      </c>
      <c r="E161" s="635"/>
      <c r="F161" s="616"/>
      <c r="G161" s="987">
        <f>G146</f>
        <v>0</v>
      </c>
      <c r="H161" s="592" t="s">
        <v>362</v>
      </c>
      <c r="I161" s="616">
        <f>G161*C161/100</f>
        <v>0</v>
      </c>
      <c r="J161" s="616"/>
      <c r="K161" s="987" t="e">
        <f>K146</f>
        <v>#REF!</v>
      </c>
      <c r="L161" s="592" t="s">
        <v>362</v>
      </c>
      <c r="M161" s="616" t="e">
        <f>K161*C161/100</f>
        <v>#REF!</v>
      </c>
      <c r="N161" s="616"/>
      <c r="O161" s="987" t="str">
        <f>O146</f>
        <v xml:space="preserve"> </v>
      </c>
      <c r="P161" s="592" t="s">
        <v>362</v>
      </c>
      <c r="Q161" s="616">
        <f>O161*C161/100</f>
        <v>0</v>
      </c>
      <c r="R161" s="616"/>
      <c r="S161" s="987">
        <f>S146</f>
        <v>0</v>
      </c>
      <c r="T161" s="592" t="s">
        <v>362</v>
      </c>
      <c r="U161" s="616">
        <f>S161*C161/100</f>
        <v>0</v>
      </c>
      <c r="W161" s="450"/>
      <c r="Z161" s="989"/>
      <c r="AA161" s="989"/>
      <c r="AF161" s="635"/>
      <c r="AG161" s="635"/>
      <c r="AH161" s="635"/>
      <c r="AI161" s="635"/>
      <c r="AJ161" s="635"/>
      <c r="AK161" s="635"/>
      <c r="AL161" s="635"/>
      <c r="AM161" s="635"/>
      <c r="AN161" s="635"/>
      <c r="AO161" s="635"/>
      <c r="AP161" s="635"/>
      <c r="AR161" s="988"/>
    </row>
    <row r="162" spans="1:44">
      <c r="A162" s="305" t="s">
        <v>369</v>
      </c>
      <c r="B162" s="1008"/>
      <c r="C162" s="61">
        <f>SUM(C155:C156)</f>
        <v>2033629.5657246276</v>
      </c>
      <c r="D162" s="1009"/>
      <c r="E162" s="490"/>
      <c r="F162" s="490">
        <f>SUM(F154:F159)</f>
        <v>213227</v>
      </c>
      <c r="G162" s="490"/>
      <c r="H162" s="490"/>
      <c r="I162" s="490">
        <f ca="1">SUM(I154:I161)</f>
        <v>216532</v>
      </c>
      <c r="J162" s="490"/>
      <c r="K162" s="490"/>
      <c r="L162" s="490"/>
      <c r="M162" s="490" t="e">
        <f>SUM(M154:M161)</f>
        <v>#REF!</v>
      </c>
      <c r="N162" s="490"/>
      <c r="O162" s="490"/>
      <c r="P162" s="490"/>
      <c r="Q162" s="490" t="e">
        <f>SUM(Q154:Q161)</f>
        <v>#REF!</v>
      </c>
      <c r="R162" s="490"/>
      <c r="S162" s="490"/>
      <c r="T162" s="490"/>
      <c r="U162" s="490" t="e">
        <f>SUM(U154:U161)</f>
        <v>#REF!</v>
      </c>
      <c r="V162" s="7"/>
      <c r="W162" s="31"/>
      <c r="X162" s="31"/>
      <c r="Y162" s="31"/>
      <c r="Z162" s="7"/>
      <c r="AA162" s="7"/>
      <c r="AB162" s="7"/>
      <c r="AC162" s="7"/>
      <c r="AD162" s="7"/>
      <c r="AE162" s="7"/>
      <c r="AF162" s="7"/>
      <c r="AG162" s="7"/>
      <c r="AH162" s="7"/>
      <c r="AI162" s="7"/>
      <c r="AJ162" s="7"/>
      <c r="AK162" s="7"/>
      <c r="AL162" s="7"/>
      <c r="AM162" s="7"/>
      <c r="AN162" s="7"/>
      <c r="AO162" s="7"/>
      <c r="AP162" s="7"/>
      <c r="AR162" s="496"/>
    </row>
    <row r="163" spans="1:44">
      <c r="A163" s="305" t="s">
        <v>351</v>
      </c>
      <c r="B163" s="577"/>
      <c r="C163" s="1017">
        <f>'Table 2'!H15</f>
        <v>-27187.606745109897</v>
      </c>
      <c r="D163" s="305"/>
      <c r="E163" s="305"/>
      <c r="F163" s="993">
        <f>'Table 3'!E15</f>
        <v>849.76750150481053</v>
      </c>
      <c r="G163" s="305"/>
      <c r="H163" s="305"/>
      <c r="I163" s="993">
        <f>F163</f>
        <v>849.76750150481053</v>
      </c>
      <c r="J163" s="723"/>
      <c r="K163" s="305"/>
      <c r="L163" s="305"/>
      <c r="M163" s="993" t="e">
        <f>I163/$I$100*$M$100</f>
        <v>#DIV/0!</v>
      </c>
      <c r="N163" s="723"/>
      <c r="O163" s="305"/>
      <c r="P163" s="305"/>
      <c r="Q163" s="993" t="e">
        <f>I163/$I$100*$Q$100</f>
        <v>#DIV/0!</v>
      </c>
      <c r="R163" s="723"/>
      <c r="S163" s="305"/>
      <c r="T163" s="305"/>
      <c r="U163" s="993" t="e">
        <f>I163/$I$100*$U$100</f>
        <v>#DIV/0!</v>
      </c>
      <c r="V163" s="714"/>
      <c r="W163" s="171"/>
      <c r="X163" s="31"/>
      <c r="Y163" s="31"/>
      <c r="Z163" s="7"/>
      <c r="AA163" s="7"/>
      <c r="AB163" s="7"/>
      <c r="AC163" s="7"/>
      <c r="AD163" s="7"/>
      <c r="AE163" s="7"/>
      <c r="AF163" s="7"/>
      <c r="AG163" s="7"/>
      <c r="AH163" s="7"/>
      <c r="AI163" s="7"/>
      <c r="AJ163" s="7"/>
      <c r="AK163" s="7"/>
      <c r="AL163" s="7"/>
      <c r="AM163" s="7"/>
      <c r="AN163" s="7"/>
      <c r="AO163" s="7"/>
      <c r="AP163" s="7"/>
      <c r="AR163" s="496"/>
    </row>
    <row r="164" spans="1:44" ht="16.5" thickBot="1">
      <c r="A164" s="305" t="s">
        <v>370</v>
      </c>
      <c r="B164" s="305"/>
      <c r="C164" s="1012">
        <f>C162+C163</f>
        <v>2006441.9589795177</v>
      </c>
      <c r="D164" s="995"/>
      <c r="E164" s="995"/>
      <c r="F164" s="995">
        <f>F162+F163</f>
        <v>214076.7675015048</v>
      </c>
      <c r="G164" s="995"/>
      <c r="H164" s="995"/>
      <c r="I164" s="995">
        <f ca="1">I162+I163</f>
        <v>217381.7675015048</v>
      </c>
      <c r="J164" s="723"/>
      <c r="K164" s="995"/>
      <c r="L164" s="995"/>
      <c r="M164" s="995" t="e">
        <f>M162+M163</f>
        <v>#REF!</v>
      </c>
      <c r="N164" s="995"/>
      <c r="O164" s="995"/>
      <c r="P164" s="995"/>
      <c r="Q164" s="995" t="e">
        <f>Q162+Q163</f>
        <v>#REF!</v>
      </c>
      <c r="R164" s="995"/>
      <c r="S164" s="995"/>
      <c r="T164" s="995"/>
      <c r="U164" s="995" t="e">
        <f>U162+U163</f>
        <v>#REF!</v>
      </c>
      <c r="V164" s="295"/>
      <c r="W164" s="354"/>
      <c r="X164" s="31"/>
      <c r="Y164" s="31"/>
      <c r="Z164" s="7"/>
      <c r="AA164" s="7"/>
      <c r="AB164" s="7"/>
      <c r="AC164" s="7"/>
      <c r="AD164" s="7"/>
      <c r="AE164" s="7"/>
      <c r="AF164" s="7"/>
      <c r="AG164" s="7"/>
      <c r="AH164" s="7"/>
      <c r="AI164" s="7"/>
      <c r="AJ164" s="7"/>
      <c r="AK164" s="7"/>
      <c r="AL164" s="7"/>
      <c r="AM164" s="7"/>
      <c r="AN164" s="7"/>
      <c r="AO164" s="7"/>
      <c r="AP164" s="7"/>
      <c r="AR164" s="496"/>
    </row>
    <row r="165" spans="1:44" ht="16.5" thickTop="1">
      <c r="A165" s="305"/>
      <c r="B165" s="1016"/>
      <c r="C165" s="61"/>
      <c r="D165" s="305" t="s">
        <v>31</v>
      </c>
      <c r="E165" s="305"/>
      <c r="G165" s="305" t="s">
        <v>31</v>
      </c>
      <c r="H165" s="305"/>
      <c r="I165" s="490" t="s">
        <v>31</v>
      </c>
      <c r="J165" s="490"/>
      <c r="K165" s="305" t="s">
        <v>31</v>
      </c>
      <c r="L165" s="305"/>
      <c r="M165" s="490" t="s">
        <v>31</v>
      </c>
      <c r="N165" s="490"/>
      <c r="O165" s="305" t="s">
        <v>31</v>
      </c>
      <c r="P165" s="305"/>
      <c r="Q165" s="490" t="s">
        <v>31</v>
      </c>
      <c r="R165" s="490"/>
      <c r="S165" s="305" t="s">
        <v>31</v>
      </c>
      <c r="T165" s="305"/>
      <c r="U165" s="490" t="s">
        <v>31</v>
      </c>
      <c r="V165" s="7"/>
      <c r="W165" s="31"/>
      <c r="X165" s="31"/>
      <c r="Y165" s="31"/>
      <c r="Z165" s="7"/>
      <c r="AA165" s="7"/>
      <c r="AB165" s="7"/>
      <c r="AC165" s="7"/>
      <c r="AD165" s="7"/>
      <c r="AE165" s="7"/>
      <c r="AF165" s="7"/>
      <c r="AG165" s="7"/>
      <c r="AH165" s="7"/>
      <c r="AI165" s="7"/>
      <c r="AJ165" s="7"/>
      <c r="AK165" s="7"/>
      <c r="AL165" s="7"/>
      <c r="AM165" s="7"/>
      <c r="AN165" s="7"/>
      <c r="AO165" s="7"/>
      <c r="AP165" s="7"/>
      <c r="AR165" s="496"/>
    </row>
    <row r="166" spans="1:44">
      <c r="A166" s="305" t="s">
        <v>374</v>
      </c>
      <c r="B166" s="305"/>
      <c r="C166" s="305"/>
      <c r="D166" s="61"/>
      <c r="E166" s="305"/>
      <c r="F166" s="305"/>
      <c r="G166" s="61"/>
      <c r="H166" s="305"/>
      <c r="I166" s="305"/>
      <c r="J166" s="305"/>
      <c r="K166" s="61"/>
      <c r="L166" s="305"/>
      <c r="M166" s="305"/>
      <c r="N166" s="305"/>
      <c r="O166" s="61"/>
      <c r="P166" s="305"/>
      <c r="Q166" s="305"/>
      <c r="R166" s="305"/>
      <c r="S166" s="61"/>
      <c r="T166" s="305"/>
      <c r="U166" s="305"/>
      <c r="V166" s="7"/>
      <c r="W166" s="31"/>
      <c r="X166" s="31"/>
      <c r="Y166" s="31"/>
      <c r="Z166" s="7"/>
      <c r="AA166" s="7"/>
      <c r="AB166" s="7"/>
      <c r="AC166" s="7"/>
      <c r="AD166" s="7"/>
      <c r="AE166" s="7"/>
      <c r="AF166" s="7"/>
      <c r="AG166" s="7"/>
      <c r="AH166" s="7"/>
      <c r="AI166" s="7"/>
      <c r="AJ166" s="7"/>
      <c r="AK166" s="7"/>
      <c r="AL166" s="7"/>
      <c r="AM166" s="7"/>
      <c r="AN166" s="7"/>
      <c r="AO166" s="7"/>
      <c r="AP166" s="7"/>
      <c r="AR166" s="496"/>
    </row>
    <row r="167" spans="1:44">
      <c r="A167" s="305" t="s">
        <v>318</v>
      </c>
      <c r="B167" s="305"/>
      <c r="C167" s="305"/>
      <c r="D167" s="61"/>
      <c r="E167" s="305"/>
      <c r="F167" s="305"/>
      <c r="G167" s="61"/>
      <c r="H167" s="305"/>
      <c r="I167" s="305"/>
      <c r="J167" s="305"/>
      <c r="K167" s="61"/>
      <c r="L167" s="305"/>
      <c r="M167" s="305"/>
      <c r="N167" s="305"/>
      <c r="O167" s="61"/>
      <c r="P167" s="305"/>
      <c r="Q167" s="305"/>
      <c r="R167" s="305"/>
      <c r="S167" s="61"/>
      <c r="T167" s="305"/>
      <c r="U167" s="305"/>
      <c r="V167" s="7"/>
      <c r="W167" s="31"/>
      <c r="X167" s="31"/>
      <c r="Y167" s="31"/>
      <c r="Z167" s="7"/>
      <c r="AA167" s="7"/>
      <c r="AB167" s="7"/>
      <c r="AC167" s="7"/>
      <c r="AD167" s="7"/>
      <c r="AE167" s="7"/>
      <c r="AF167" s="7"/>
      <c r="AG167" s="7"/>
      <c r="AH167" s="7"/>
      <c r="AI167" s="7"/>
      <c r="AJ167" s="7"/>
      <c r="AK167" s="7"/>
      <c r="AL167" s="7"/>
      <c r="AM167" s="7"/>
      <c r="AN167" s="7"/>
      <c r="AO167" s="7"/>
      <c r="AP167" s="7"/>
      <c r="AR167" s="496"/>
    </row>
    <row r="168" spans="1:44">
      <c r="A168" s="1004"/>
      <c r="B168" s="305"/>
      <c r="C168" s="305"/>
      <c r="D168" s="61"/>
      <c r="E168" s="305"/>
      <c r="F168" s="305"/>
      <c r="G168" s="61"/>
      <c r="H168" s="305"/>
      <c r="I168" s="305"/>
      <c r="J168" s="305"/>
      <c r="K168" s="61"/>
      <c r="L168" s="305"/>
      <c r="M168" s="305"/>
      <c r="N168" s="305"/>
      <c r="O168" s="61"/>
      <c r="P168" s="305"/>
      <c r="Q168" s="305"/>
      <c r="R168" s="305"/>
      <c r="S168" s="61"/>
      <c r="T168" s="305"/>
      <c r="U168" s="305"/>
      <c r="V168" s="7"/>
      <c r="W168" s="31"/>
      <c r="X168" s="31"/>
      <c r="Y168" s="31"/>
      <c r="Z168" s="7"/>
      <c r="AA168" s="7"/>
      <c r="AB168" s="7"/>
      <c r="AC168" s="7"/>
      <c r="AD168" s="7"/>
      <c r="AE168" s="7"/>
      <c r="AF168" s="7"/>
      <c r="AG168" s="7"/>
      <c r="AH168" s="7"/>
      <c r="AI168" s="7"/>
      <c r="AJ168" s="7"/>
      <c r="AK168" s="7"/>
      <c r="AL168" s="7"/>
      <c r="AM168" s="7"/>
      <c r="AN168" s="7"/>
      <c r="AO168" s="7"/>
      <c r="AP168" s="7"/>
      <c r="AR168" s="496"/>
    </row>
    <row r="169" spans="1:44">
      <c r="A169" s="305" t="s">
        <v>358</v>
      </c>
      <c r="B169" s="305"/>
      <c r="C169" s="61">
        <v>155.966451612903</v>
      </c>
      <c r="D169" s="448">
        <f>$D$89</f>
        <v>7.75</v>
      </c>
      <c r="E169" s="305"/>
      <c r="F169" s="490">
        <f>ROUND(D169*C169,0)</f>
        <v>1209</v>
      </c>
      <c r="G169" s="448">
        <f>$G$89</f>
        <v>7.75</v>
      </c>
      <c r="H169" s="305"/>
      <c r="I169" s="490">
        <f>ROUND(G169*$C169,0)</f>
        <v>1209</v>
      </c>
      <c r="J169" s="490"/>
      <c r="K169" s="448" t="e">
        <f>$K$89</f>
        <v>#REF!</v>
      </c>
      <c r="L169" s="305"/>
      <c r="M169" s="490" t="e">
        <f>K169*$C169</f>
        <v>#REF!</v>
      </c>
      <c r="N169" s="490"/>
      <c r="O169" s="448" t="str">
        <f>$O$89</f>
        <v xml:space="preserve"> </v>
      </c>
      <c r="P169" s="305"/>
      <c r="Q169" s="490">
        <f>ROUND(O169*$C169,0)</f>
        <v>0</v>
      </c>
      <c r="R169" s="490"/>
      <c r="S169" s="448" t="str">
        <f>$S$89</f>
        <v xml:space="preserve"> </v>
      </c>
      <c r="T169" s="305"/>
      <c r="U169" s="490">
        <f>ROUND(S169*$C169,0)</f>
        <v>0</v>
      </c>
      <c r="V169" s="7"/>
      <c r="W169" s="31"/>
      <c r="X169" s="31"/>
      <c r="Y169" s="31"/>
      <c r="Z169" s="7"/>
      <c r="AA169" s="7"/>
      <c r="AB169" s="7"/>
      <c r="AC169" s="7"/>
      <c r="AD169" s="7"/>
      <c r="AE169" s="7"/>
      <c r="AF169" s="7"/>
      <c r="AG169" s="7"/>
      <c r="AH169" s="7"/>
      <c r="AI169" s="7"/>
      <c r="AJ169" s="7"/>
      <c r="AK169" s="7"/>
      <c r="AL169" s="7"/>
      <c r="AM169" s="7"/>
      <c r="AN169" s="7"/>
      <c r="AO169" s="7"/>
      <c r="AP169" s="7"/>
      <c r="AR169" s="496"/>
    </row>
    <row r="170" spans="1:44">
      <c r="A170" s="305" t="s">
        <v>361</v>
      </c>
      <c r="B170" s="305"/>
      <c r="C170" s="61">
        <v>93465.870967741896</v>
      </c>
      <c r="D170" s="1006">
        <f>$D$90</f>
        <v>6.7170000000000005</v>
      </c>
      <c r="E170" s="305" t="s">
        <v>362</v>
      </c>
      <c r="F170" s="490">
        <f>ROUND(C170*D170/100,0)</f>
        <v>6278</v>
      </c>
      <c r="G170" s="1006">
        <f ca="1">$G$90</f>
        <v>6.8330000000000002</v>
      </c>
      <c r="H170" s="305" t="s">
        <v>362</v>
      </c>
      <c r="I170" s="490">
        <f ca="1">ROUND(G170*$C170/100,0)</f>
        <v>6387</v>
      </c>
      <c r="J170" s="490"/>
      <c r="K170" s="1006" t="e">
        <f>K90</f>
        <v>#REF!</v>
      </c>
      <c r="L170" s="305" t="s">
        <v>362</v>
      </c>
      <c r="M170" s="490" t="e">
        <f>K170*$C170/100</f>
        <v>#REF!</v>
      </c>
      <c r="N170" s="490"/>
      <c r="O170" s="1006" t="e">
        <f>O90</f>
        <v>#REF!</v>
      </c>
      <c r="P170" s="305" t="s">
        <v>362</v>
      </c>
      <c r="Q170" s="490" t="e">
        <f>ROUND(O170*$C170/100,0)</f>
        <v>#REF!</v>
      </c>
      <c r="R170" s="490"/>
      <c r="S170" s="1006" t="e">
        <f>S90</f>
        <v>#REF!</v>
      </c>
      <c r="T170" s="305" t="s">
        <v>362</v>
      </c>
      <c r="U170" s="490" t="e">
        <f>ROUND(S170*$C170/100,0)</f>
        <v>#REF!</v>
      </c>
      <c r="V170" s="7"/>
      <c r="W170" s="31"/>
      <c r="X170" s="31"/>
      <c r="Y170" s="31"/>
      <c r="Z170" s="7"/>
      <c r="AA170" s="7"/>
      <c r="AB170" s="7"/>
      <c r="AC170" s="7"/>
      <c r="AD170" s="7"/>
      <c r="AE170" s="7"/>
      <c r="AF170" s="7"/>
      <c r="AG170" s="7"/>
      <c r="AH170" s="7"/>
      <c r="AI170" s="7"/>
      <c r="AJ170" s="7"/>
      <c r="AK170" s="7"/>
      <c r="AL170" s="7"/>
      <c r="AM170" s="7"/>
      <c r="AN170" s="7"/>
      <c r="AO170" s="7"/>
      <c r="AP170" s="7"/>
      <c r="AR170" s="496"/>
    </row>
    <row r="171" spans="1:44">
      <c r="A171" s="305" t="s">
        <v>363</v>
      </c>
      <c r="B171" s="305"/>
      <c r="C171" s="61">
        <v>227688.12903225812</v>
      </c>
      <c r="D171" s="1006">
        <f>$D$91</f>
        <v>10.613</v>
      </c>
      <c r="E171" s="305" t="s">
        <v>362</v>
      </c>
      <c r="F171" s="490">
        <f>ROUND(C171*D171/100,0)</f>
        <v>24165</v>
      </c>
      <c r="G171" s="1006">
        <f ca="1">$G$91</f>
        <v>10.791</v>
      </c>
      <c r="H171" s="305" t="s">
        <v>362</v>
      </c>
      <c r="I171" s="490">
        <f ca="1">ROUND(G171*$C171/100,0)</f>
        <v>24570</v>
      </c>
      <c r="J171" s="490"/>
      <c r="K171" s="1006" t="e">
        <f>K91</f>
        <v>#REF!</v>
      </c>
      <c r="L171" s="305" t="s">
        <v>362</v>
      </c>
      <c r="M171" s="490" t="e">
        <f>K171*$C171/100</f>
        <v>#REF!</v>
      </c>
      <c r="N171" s="490"/>
      <c r="O171" s="1006" t="e">
        <f>O91</f>
        <v>#REF!</v>
      </c>
      <c r="P171" s="305" t="s">
        <v>362</v>
      </c>
      <c r="Q171" s="490" t="e">
        <f>ROUND(O171*$C171/100,0)</f>
        <v>#REF!</v>
      </c>
      <c r="R171" s="490"/>
      <c r="S171" s="1006" t="e">
        <f>S91</f>
        <v>#REF!</v>
      </c>
      <c r="T171" s="305" t="s">
        <v>362</v>
      </c>
      <c r="U171" s="490" t="e">
        <f>ROUND(S171*$C171/100,0)</f>
        <v>#REF!</v>
      </c>
      <c r="V171" s="7"/>
      <c r="W171" s="31"/>
      <c r="X171" s="31"/>
      <c r="Y171" s="31"/>
      <c r="Z171" s="7"/>
      <c r="AA171" s="7"/>
      <c r="AB171" s="7"/>
      <c r="AC171" s="7"/>
      <c r="AD171" s="7"/>
      <c r="AE171" s="7"/>
      <c r="AF171" s="7"/>
      <c r="AG171" s="7"/>
      <c r="AH171" s="7"/>
      <c r="AI171" s="7"/>
      <c r="AJ171" s="7"/>
      <c r="AK171" s="7"/>
      <c r="AL171" s="7"/>
      <c r="AM171" s="7"/>
      <c r="AN171" s="7"/>
      <c r="AO171" s="7"/>
      <c r="AP171" s="7"/>
      <c r="AR171" s="496"/>
    </row>
    <row r="172" spans="1:44">
      <c r="A172" s="305" t="s">
        <v>365</v>
      </c>
      <c r="B172" s="305"/>
      <c r="C172" s="61">
        <v>568</v>
      </c>
      <c r="D172" s="448">
        <f>$D$92</f>
        <v>1.78</v>
      </c>
      <c r="E172" s="305"/>
      <c r="F172" s="490">
        <f>ROUND(D172*C172,0)</f>
        <v>1011</v>
      </c>
      <c r="G172" s="448">
        <f>$G$92</f>
        <v>1.78</v>
      </c>
      <c r="H172" s="305"/>
      <c r="I172" s="490">
        <f>ROUND(G172*$C172,0)</f>
        <v>1011</v>
      </c>
      <c r="J172" s="490"/>
      <c r="K172" s="448">
        <v>0</v>
      </c>
      <c r="L172" s="305"/>
      <c r="M172" s="490">
        <f>ROUND(K172*$C172,0)</f>
        <v>0</v>
      </c>
      <c r="N172" s="490"/>
      <c r="O172" s="448">
        <v>0</v>
      </c>
      <c r="P172" s="305"/>
      <c r="Q172" s="490">
        <f>ROUND(O172*$C172,0)</f>
        <v>0</v>
      </c>
      <c r="R172" s="490"/>
      <c r="S172" s="448" t="e">
        <f>S92</f>
        <v>#REF!</v>
      </c>
      <c r="T172" s="305"/>
      <c r="U172" s="490" t="e">
        <f>ROUND(S172*$C172,0)</f>
        <v>#REF!</v>
      </c>
      <c r="V172" s="7"/>
      <c r="W172" s="31"/>
      <c r="X172" s="31"/>
      <c r="Y172" s="31"/>
      <c r="Z172" s="7"/>
      <c r="AA172" s="7"/>
      <c r="AB172" s="7"/>
      <c r="AC172" s="7"/>
      <c r="AD172" s="7"/>
      <c r="AE172" s="7"/>
      <c r="AF172" s="7"/>
      <c r="AG172" s="7"/>
      <c r="AH172" s="7"/>
      <c r="AI172" s="7"/>
      <c r="AJ172" s="7"/>
      <c r="AK172" s="7"/>
      <c r="AL172" s="7"/>
      <c r="AM172" s="7"/>
      <c r="AN172" s="7"/>
      <c r="AO172" s="7"/>
      <c r="AP172" s="7"/>
      <c r="AR172" s="496"/>
    </row>
    <row r="173" spans="1:44">
      <c r="A173" s="4" t="s">
        <v>367</v>
      </c>
      <c r="C173" s="61">
        <v>102</v>
      </c>
      <c r="D173" s="448">
        <f>$D$93</f>
        <v>3.5</v>
      </c>
      <c r="F173" s="490">
        <f>ROUND(D173*C173,0)</f>
        <v>357</v>
      </c>
      <c r="G173" s="448">
        <f>$G$93</f>
        <v>3.5</v>
      </c>
      <c r="I173" s="490">
        <f>ROUND(G173*$C173,0)</f>
        <v>357</v>
      </c>
      <c r="J173" s="490"/>
      <c r="K173" s="448">
        <v>0</v>
      </c>
      <c r="M173" s="490">
        <f>ROUND(K173*$C173,0)</f>
        <v>0</v>
      </c>
      <c r="N173" s="490"/>
      <c r="O173" s="448">
        <v>0</v>
      </c>
      <c r="Q173" s="490">
        <f>ROUND(O173*$C173,0)</f>
        <v>0</v>
      </c>
      <c r="R173" s="490"/>
      <c r="S173" s="448" t="e">
        <f>S93</f>
        <v>#REF!</v>
      </c>
      <c r="U173" s="490" t="e">
        <f>ROUND(S173*$C173,0)</f>
        <v>#REF!</v>
      </c>
      <c r="V173" s="7"/>
      <c r="W173" s="31"/>
      <c r="X173" s="31"/>
      <c r="Y173" s="31"/>
      <c r="Z173" s="7"/>
      <c r="AA173" s="7"/>
      <c r="AB173" s="7"/>
      <c r="AC173" s="7"/>
      <c r="AD173" s="7"/>
      <c r="AE173" s="7"/>
      <c r="AF173" s="7"/>
      <c r="AG173" s="7"/>
      <c r="AH173" s="7"/>
      <c r="AI173" s="7"/>
      <c r="AJ173" s="7"/>
      <c r="AK173" s="7"/>
      <c r="AL173" s="7"/>
      <c r="AM173" s="7"/>
      <c r="AN173" s="7"/>
      <c r="AO173" s="7"/>
      <c r="AP173" s="7"/>
      <c r="AR173" s="496"/>
    </row>
    <row r="174" spans="1:44">
      <c r="A174" s="4" t="s">
        <v>368</v>
      </c>
      <c r="C174" s="61">
        <v>15</v>
      </c>
      <c r="D174" s="448">
        <f>$D$94</f>
        <v>-1.78</v>
      </c>
      <c r="F174" s="490">
        <f>ROUND(D174*C174,0)</f>
        <v>-27</v>
      </c>
      <c r="G174" s="448">
        <f>-G172</f>
        <v>-1.78</v>
      </c>
      <c r="I174" s="490">
        <f>ROUND(G174*$C174,0)</f>
        <v>-27</v>
      </c>
      <c r="J174" s="490"/>
      <c r="K174" s="448">
        <f>-K172</f>
        <v>0</v>
      </c>
      <c r="M174" s="490">
        <f>ROUND(K174*$C174,0)</f>
        <v>0</v>
      </c>
      <c r="N174" s="490"/>
      <c r="O174" s="448">
        <f>-O172</f>
        <v>0</v>
      </c>
      <c r="Q174" s="490">
        <f>ROUND(O174*$C174,0)</f>
        <v>0</v>
      </c>
      <c r="R174" s="490"/>
      <c r="S174" s="448" t="e">
        <f>-S172</f>
        <v>#REF!</v>
      </c>
      <c r="U174" s="490" t="e">
        <f>ROUND(S174*$C174,0)</f>
        <v>#REF!</v>
      </c>
      <c r="V174" s="7"/>
      <c r="W174" s="31"/>
      <c r="X174" s="31"/>
      <c r="Y174" s="31"/>
      <c r="Z174" s="7"/>
      <c r="AA174" s="7"/>
      <c r="AB174" s="7"/>
      <c r="AC174" s="7"/>
      <c r="AD174" s="7"/>
      <c r="AE174" s="7"/>
      <c r="AF174" s="7"/>
      <c r="AG174" s="7"/>
      <c r="AH174" s="7"/>
      <c r="AI174" s="7"/>
      <c r="AJ174" s="7"/>
      <c r="AK174" s="7"/>
      <c r="AL174" s="7"/>
      <c r="AM174" s="7"/>
      <c r="AN174" s="7"/>
      <c r="AO174" s="7"/>
      <c r="AP174" s="7"/>
      <c r="AR174" s="496"/>
    </row>
    <row r="175" spans="1:44" s="588" customFormat="1" hidden="1">
      <c r="A175" s="588" t="s">
        <v>769</v>
      </c>
      <c r="C175" s="631">
        <f>C170</f>
        <v>93465.870967741896</v>
      </c>
      <c r="D175" s="990">
        <v>0</v>
      </c>
      <c r="E175" s="635"/>
      <c r="F175" s="616"/>
      <c r="G175" s="987">
        <f>G160</f>
        <v>0</v>
      </c>
      <c r="H175" s="592" t="s">
        <v>362</v>
      </c>
      <c r="I175" s="616">
        <f>G175*C175/100</f>
        <v>0</v>
      </c>
      <c r="J175" s="616"/>
      <c r="K175" s="987" t="e">
        <f>K160</f>
        <v>#REF!</v>
      </c>
      <c r="L175" s="592" t="s">
        <v>362</v>
      </c>
      <c r="M175" s="616" t="e">
        <f>K175*C175/100</f>
        <v>#REF!</v>
      </c>
      <c r="N175" s="616"/>
      <c r="O175" s="987" t="str">
        <f>O160</f>
        <v xml:space="preserve"> </v>
      </c>
      <c r="P175" s="592" t="s">
        <v>362</v>
      </c>
      <c r="Q175" s="616">
        <f>O175*C175/100</f>
        <v>0</v>
      </c>
      <c r="R175" s="616"/>
      <c r="S175" s="987">
        <f>S160</f>
        <v>0</v>
      </c>
      <c r="T175" s="592" t="s">
        <v>362</v>
      </c>
      <c r="U175" s="616">
        <f>S175*C175/100</f>
        <v>0</v>
      </c>
      <c r="W175" s="450"/>
      <c r="Z175" s="989"/>
      <c r="AA175" s="989"/>
      <c r="AF175" s="635"/>
      <c r="AG175" s="635"/>
      <c r="AH175" s="635"/>
      <c r="AI175" s="635"/>
      <c r="AJ175" s="635"/>
      <c r="AK175" s="635"/>
      <c r="AL175" s="635"/>
      <c r="AM175" s="635"/>
      <c r="AN175" s="635"/>
      <c r="AO175" s="635"/>
      <c r="AP175" s="635"/>
      <c r="AR175" s="988"/>
    </row>
    <row r="176" spans="1:44" s="588" customFormat="1" hidden="1">
      <c r="A176" s="588" t="s">
        <v>770</v>
      </c>
      <c r="C176" s="631">
        <f>C171</f>
        <v>227688.12903225812</v>
      </c>
      <c r="D176" s="990">
        <v>0</v>
      </c>
      <c r="E176" s="635"/>
      <c r="F176" s="616"/>
      <c r="G176" s="987">
        <f>G161</f>
        <v>0</v>
      </c>
      <c r="H176" s="592" t="s">
        <v>362</v>
      </c>
      <c r="I176" s="616">
        <f>G176*C176/100</f>
        <v>0</v>
      </c>
      <c r="J176" s="616"/>
      <c r="K176" s="987" t="e">
        <f>K161</f>
        <v>#REF!</v>
      </c>
      <c r="L176" s="592" t="s">
        <v>362</v>
      </c>
      <c r="M176" s="616" t="e">
        <f>K176*C176/100</f>
        <v>#REF!</v>
      </c>
      <c r="N176" s="616"/>
      <c r="O176" s="987" t="str">
        <f>O161</f>
        <v xml:space="preserve"> </v>
      </c>
      <c r="P176" s="592" t="s">
        <v>362</v>
      </c>
      <c r="Q176" s="616">
        <f>O176*C176/100</f>
        <v>0</v>
      </c>
      <c r="R176" s="616"/>
      <c r="S176" s="987">
        <f>S161</f>
        <v>0</v>
      </c>
      <c r="T176" s="592" t="s">
        <v>362</v>
      </c>
      <c r="U176" s="616">
        <f>S176*C176/100</f>
        <v>0</v>
      </c>
      <c r="W176" s="450"/>
      <c r="Z176" s="989"/>
      <c r="AA176" s="989"/>
      <c r="AF176" s="635"/>
      <c r="AG176" s="635"/>
      <c r="AH176" s="635"/>
      <c r="AI176" s="635"/>
      <c r="AJ176" s="635"/>
      <c r="AK176" s="635"/>
      <c r="AL176" s="635"/>
      <c r="AM176" s="635"/>
      <c r="AN176" s="635"/>
      <c r="AO176" s="635"/>
      <c r="AP176" s="635"/>
      <c r="AR176" s="988"/>
    </row>
    <row r="177" spans="1:51">
      <c r="A177" s="305" t="s">
        <v>369</v>
      </c>
      <c r="B177" s="305"/>
      <c r="C177" s="61">
        <f>SUM(C170:C171)</f>
        <v>321154</v>
      </c>
      <c r="D177" s="1009"/>
      <c r="E177" s="490"/>
      <c r="F177" s="490">
        <f>SUM(F169:F174)</f>
        <v>32993</v>
      </c>
      <c r="G177" s="490"/>
      <c r="H177" s="490"/>
      <c r="I177" s="490">
        <f ca="1">SUM(I169:I176)</f>
        <v>33507</v>
      </c>
      <c r="J177" s="490"/>
      <c r="K177" s="490"/>
      <c r="L177" s="490"/>
      <c r="M177" s="490" t="e">
        <f>SUM(M169:M176)</f>
        <v>#REF!</v>
      </c>
      <c r="N177" s="490"/>
      <c r="O177" s="490"/>
      <c r="P177" s="490"/>
      <c r="Q177" s="490" t="e">
        <f>SUM(Q169:Q176)</f>
        <v>#REF!</v>
      </c>
      <c r="R177" s="490"/>
      <c r="S177" s="490"/>
      <c r="T177" s="490"/>
      <c r="U177" s="490" t="e">
        <f>SUM(U169:U176)</f>
        <v>#REF!</v>
      </c>
      <c r="V177" s="7"/>
      <c r="W177" s="31"/>
      <c r="X177" s="31"/>
      <c r="Y177" s="31"/>
      <c r="Z177" s="7"/>
      <c r="AA177" s="7"/>
      <c r="AB177" s="7"/>
      <c r="AC177" s="7"/>
      <c r="AD177" s="7"/>
      <c r="AE177" s="7"/>
      <c r="AF177" s="7"/>
      <c r="AG177" s="7"/>
      <c r="AH177" s="7"/>
      <c r="AI177" s="7"/>
      <c r="AJ177" s="7"/>
      <c r="AK177" s="7"/>
      <c r="AL177" s="7"/>
      <c r="AM177" s="7"/>
      <c r="AN177" s="7"/>
      <c r="AO177" s="7"/>
      <c r="AP177" s="7"/>
      <c r="AR177" s="496"/>
    </row>
    <row r="178" spans="1:51">
      <c r="A178" s="305" t="s">
        <v>351</v>
      </c>
      <c r="B178" s="305"/>
      <c r="C178" s="1017">
        <f>'Table 2'!H16</f>
        <v>-4123.3152418191712</v>
      </c>
      <c r="D178" s="305"/>
      <c r="E178" s="305"/>
      <c r="F178" s="993">
        <f>'Table 3'!E16</f>
        <v>126.9974517083012</v>
      </c>
      <c r="G178" s="305"/>
      <c r="H178" s="305"/>
      <c r="I178" s="993">
        <f>F178</f>
        <v>126.9974517083012</v>
      </c>
      <c r="J178" s="723"/>
      <c r="K178" s="305"/>
      <c r="L178" s="305"/>
      <c r="M178" s="993" t="e">
        <f>I178/$I$100*$M$100</f>
        <v>#DIV/0!</v>
      </c>
      <c r="N178" s="723"/>
      <c r="O178" s="305"/>
      <c r="P178" s="305"/>
      <c r="Q178" s="993" t="e">
        <f>I178/$I$100*$Q$100</f>
        <v>#DIV/0!</v>
      </c>
      <c r="R178" s="723"/>
      <c r="S178" s="305"/>
      <c r="T178" s="305"/>
      <c r="U178" s="993" t="e">
        <f>I178/$I$100*$U$100</f>
        <v>#DIV/0!</v>
      </c>
      <c r="V178" s="714"/>
      <c r="W178" s="171"/>
      <c r="X178" s="31"/>
      <c r="Y178" s="31"/>
      <c r="Z178" s="7"/>
      <c r="AA178" s="7"/>
      <c r="AB178" s="7"/>
      <c r="AC178" s="7"/>
      <c r="AD178" s="7"/>
      <c r="AE178" s="7"/>
      <c r="AF178" s="7"/>
      <c r="AG178" s="7"/>
      <c r="AH178" s="7"/>
      <c r="AI178" s="7"/>
      <c r="AJ178" s="7"/>
      <c r="AK178" s="7"/>
      <c r="AL178" s="7"/>
      <c r="AM178" s="7"/>
      <c r="AN178" s="7"/>
      <c r="AO178" s="7"/>
      <c r="AP178" s="7"/>
      <c r="AR178" s="496"/>
    </row>
    <row r="179" spans="1:51" ht="16.5" thickBot="1">
      <c r="A179" s="305" t="s">
        <v>370</v>
      </c>
      <c r="B179" s="305"/>
      <c r="C179" s="1012">
        <f>C177+C178</f>
        <v>317030.68475818081</v>
      </c>
      <c r="D179" s="995"/>
      <c r="E179" s="995"/>
      <c r="F179" s="995">
        <f>F177+F178</f>
        <v>33119.997451708303</v>
      </c>
      <c r="G179" s="995"/>
      <c r="H179" s="995"/>
      <c r="I179" s="995">
        <f ca="1">I177+I178</f>
        <v>33633.997451708303</v>
      </c>
      <c r="J179" s="723"/>
      <c r="K179" s="995"/>
      <c r="L179" s="995"/>
      <c r="M179" s="995" t="e">
        <f>M177+M178</f>
        <v>#REF!</v>
      </c>
      <c r="N179" s="995"/>
      <c r="O179" s="995"/>
      <c r="P179" s="995"/>
      <c r="Q179" s="995" t="e">
        <f>Q177+Q178</f>
        <v>#REF!</v>
      </c>
      <c r="R179" s="995"/>
      <c r="S179" s="995"/>
      <c r="T179" s="995"/>
      <c r="U179" s="995" t="e">
        <f>U177+U178</f>
        <v>#REF!</v>
      </c>
      <c r="V179" s="295"/>
      <c r="W179" s="354"/>
      <c r="X179" s="31"/>
      <c r="Y179" s="31"/>
      <c r="Z179" s="7"/>
      <c r="AA179" s="7"/>
      <c r="AB179" s="7"/>
      <c r="AC179" s="7"/>
      <c r="AD179" s="7"/>
      <c r="AE179" s="7"/>
      <c r="AF179" s="7"/>
      <c r="AG179" s="7"/>
      <c r="AH179" s="7"/>
      <c r="AI179" s="7"/>
      <c r="AJ179" s="7"/>
      <c r="AK179" s="7"/>
      <c r="AL179" s="7"/>
      <c r="AM179" s="7"/>
      <c r="AN179" s="7"/>
      <c r="AO179" s="7"/>
      <c r="AP179" s="7"/>
      <c r="AR179" s="496"/>
    </row>
    <row r="180" spans="1:51" ht="16.5" thickTop="1">
      <c r="A180" s="305"/>
      <c r="B180" s="1016"/>
      <c r="C180" s="61"/>
      <c r="D180" s="305" t="s">
        <v>31</v>
      </c>
      <c r="E180" s="305"/>
      <c r="G180" s="305" t="s">
        <v>31</v>
      </c>
      <c r="H180" s="305"/>
      <c r="I180" s="490" t="s">
        <v>31</v>
      </c>
      <c r="J180" s="490"/>
      <c r="K180" s="305" t="s">
        <v>31</v>
      </c>
      <c r="L180" s="305"/>
      <c r="M180" s="490" t="s">
        <v>31</v>
      </c>
      <c r="N180" s="490"/>
      <c r="O180" s="305" t="s">
        <v>31</v>
      </c>
      <c r="P180" s="305"/>
      <c r="Q180" s="490" t="s">
        <v>31</v>
      </c>
      <c r="R180" s="490"/>
      <c r="S180" s="305" t="s">
        <v>31</v>
      </c>
      <c r="T180" s="305"/>
      <c r="U180" s="490" t="s">
        <v>31</v>
      </c>
      <c r="V180" s="7"/>
      <c r="W180" s="31"/>
      <c r="X180" s="31"/>
      <c r="Y180" s="31"/>
      <c r="Z180" s="7"/>
      <c r="AA180" s="7"/>
      <c r="AB180" s="7"/>
      <c r="AC180" s="7"/>
      <c r="AD180" s="7"/>
      <c r="AE180" s="7"/>
      <c r="AF180" s="7"/>
      <c r="AG180" s="7"/>
      <c r="AH180" s="7"/>
      <c r="AI180" s="7"/>
      <c r="AJ180" s="7"/>
      <c r="AK180" s="7"/>
      <c r="AL180" s="7"/>
      <c r="AM180" s="7"/>
      <c r="AN180" s="7"/>
      <c r="AO180" s="7"/>
      <c r="AP180" s="7"/>
      <c r="AR180" s="496"/>
    </row>
    <row r="181" spans="1:51">
      <c r="A181" s="305" t="s">
        <v>375</v>
      </c>
      <c r="B181" s="305"/>
      <c r="C181" s="305" t="s">
        <v>31</v>
      </c>
      <c r="D181" s="490"/>
      <c r="E181" s="305"/>
      <c r="F181" s="305"/>
      <c r="G181" s="490"/>
      <c r="H181" s="305"/>
      <c r="I181" s="305"/>
      <c r="J181" s="305"/>
      <c r="K181" s="490"/>
      <c r="L181" s="305"/>
      <c r="M181" s="305"/>
      <c r="N181" s="305"/>
      <c r="O181" s="490"/>
      <c r="P181" s="305"/>
      <c r="Q181" s="305"/>
      <c r="R181" s="305"/>
      <c r="S181" s="490"/>
      <c r="T181" s="305"/>
      <c r="U181" s="305"/>
      <c r="V181" s="7"/>
      <c r="W181" s="31"/>
      <c r="X181" s="31"/>
      <c r="Y181" s="31"/>
      <c r="Z181" s="7"/>
      <c r="AA181" s="7"/>
      <c r="AB181" s="7"/>
      <c r="AC181" s="7"/>
      <c r="AD181" s="7"/>
      <c r="AE181" s="7"/>
      <c r="AF181" s="7"/>
      <c r="AG181" s="7"/>
      <c r="AH181" s="7"/>
      <c r="AI181" s="7"/>
      <c r="AJ181" s="7"/>
      <c r="AK181" s="7"/>
      <c r="AL181" s="7"/>
      <c r="AM181" s="7"/>
      <c r="AN181" s="7"/>
      <c r="AO181" s="7"/>
      <c r="AP181" s="7"/>
      <c r="AR181" s="496"/>
    </row>
    <row r="182" spans="1:51">
      <c r="A182" s="305" t="s">
        <v>376</v>
      </c>
      <c r="B182" s="305"/>
      <c r="C182" s="305"/>
      <c r="D182" s="490"/>
      <c r="E182" s="305"/>
      <c r="F182" s="305"/>
      <c r="G182" s="490"/>
      <c r="H182" s="305"/>
      <c r="I182" s="305"/>
      <c r="J182" s="305"/>
      <c r="K182" s="490"/>
      <c r="L182" s="305"/>
      <c r="M182" s="305"/>
      <c r="N182" s="305"/>
      <c r="O182" s="490"/>
      <c r="P182" s="305"/>
      <c r="Q182" s="305"/>
      <c r="R182" s="305"/>
      <c r="S182" s="490"/>
      <c r="T182" s="305"/>
      <c r="U182" s="305"/>
      <c r="V182" s="7"/>
      <c r="W182" s="31"/>
      <c r="X182" s="31"/>
      <c r="Y182" s="31"/>
      <c r="Z182" s="7"/>
      <c r="AA182" s="7"/>
      <c r="AB182" s="7"/>
      <c r="AC182" s="7"/>
      <c r="AD182" s="7"/>
      <c r="AE182" s="7"/>
      <c r="AF182" s="7"/>
      <c r="AG182" s="7"/>
      <c r="AH182" s="7"/>
      <c r="AI182" s="7"/>
      <c r="AJ182" s="7"/>
      <c r="AK182" s="7"/>
      <c r="AL182" s="7"/>
      <c r="AM182" s="7"/>
      <c r="AN182" s="7"/>
      <c r="AO182" s="7"/>
      <c r="AP182" s="7"/>
      <c r="AR182" s="496"/>
    </row>
    <row r="183" spans="1:51">
      <c r="A183" s="305"/>
      <c r="B183" s="305"/>
      <c r="C183" s="305"/>
      <c r="D183" s="490"/>
      <c r="E183" s="305"/>
      <c r="F183" s="305"/>
      <c r="G183" s="490"/>
      <c r="H183" s="305"/>
      <c r="I183" s="305"/>
      <c r="J183" s="305"/>
      <c r="K183" s="490"/>
      <c r="L183" s="305"/>
      <c r="M183" s="305"/>
      <c r="N183" s="305"/>
      <c r="O183" s="490"/>
      <c r="P183" s="305"/>
      <c r="Q183" s="305"/>
      <c r="R183" s="305"/>
      <c r="S183" s="490"/>
      <c r="T183" s="305"/>
      <c r="U183" s="305"/>
      <c r="V183" s="7"/>
      <c r="X183" s="31"/>
      <c r="Y183" s="31"/>
      <c r="Z183" s="7"/>
      <c r="AA183" s="7"/>
      <c r="AB183" s="7"/>
      <c r="AC183" s="7"/>
      <c r="AD183" s="7"/>
      <c r="AE183" s="7"/>
      <c r="AF183" s="7"/>
      <c r="AG183" s="7"/>
      <c r="AH183" s="7"/>
      <c r="AI183" s="7"/>
      <c r="AJ183" s="7"/>
      <c r="AK183" s="7"/>
      <c r="AL183" s="7"/>
      <c r="AM183" s="7"/>
      <c r="AN183" s="7"/>
      <c r="AO183" s="7"/>
      <c r="AP183" s="7"/>
      <c r="AR183" s="496"/>
    </row>
    <row r="184" spans="1:51">
      <c r="A184" s="305" t="s">
        <v>377</v>
      </c>
      <c r="B184" s="305"/>
      <c r="C184" s="305"/>
      <c r="D184" s="490"/>
      <c r="E184" s="305"/>
      <c r="F184" s="305"/>
      <c r="G184" s="490"/>
      <c r="H184" s="305"/>
      <c r="I184" s="305"/>
      <c r="J184" s="305"/>
      <c r="K184" s="490"/>
      <c r="L184" s="305"/>
      <c r="M184" s="305"/>
      <c r="N184" s="305"/>
      <c r="O184" s="490"/>
      <c r="P184" s="305"/>
      <c r="Q184" s="305"/>
      <c r="R184" s="305"/>
      <c r="S184" s="490"/>
      <c r="T184" s="305"/>
      <c r="U184" s="305"/>
      <c r="V184" s="7"/>
      <c r="W184" s="31"/>
      <c r="X184" s="445" t="s">
        <v>609</v>
      </c>
      <c r="Y184" s="445"/>
      <c r="Z184" s="7"/>
      <c r="AA184" s="7"/>
      <c r="AB184" s="7"/>
      <c r="AC184" s="7"/>
      <c r="AD184" s="7"/>
      <c r="AE184" s="7"/>
      <c r="AF184" s="7"/>
      <c r="AG184" s="7"/>
      <c r="AH184" s="7"/>
      <c r="AI184" s="7"/>
      <c r="AJ184" s="7"/>
      <c r="AK184" s="7"/>
      <c r="AL184" s="7"/>
      <c r="AM184" s="7"/>
      <c r="AN184" s="7"/>
      <c r="AO184" s="7"/>
      <c r="AP184" s="7"/>
      <c r="AR184" s="496"/>
    </row>
    <row r="185" spans="1:51">
      <c r="A185" s="305" t="s">
        <v>378</v>
      </c>
      <c r="B185" s="305"/>
      <c r="C185" s="61">
        <f>C508</f>
        <v>3</v>
      </c>
      <c r="D185" s="448">
        <v>119.88</v>
      </c>
      <c r="E185" s="305"/>
      <c r="F185" s="490">
        <f t="shared" ref="F185:F187" si="24">F473</f>
        <v>360</v>
      </c>
      <c r="G185" s="448">
        <f>G189*12</f>
        <v>119.88</v>
      </c>
      <c r="H185" s="305"/>
      <c r="I185" s="490">
        <f>I473</f>
        <v>360</v>
      </c>
      <c r="J185" s="490"/>
      <c r="K185" s="448" t="e">
        <f>#REF!</f>
        <v>#REF!</v>
      </c>
      <c r="L185" s="305"/>
      <c r="M185" s="490" t="e">
        <f>#REF!</f>
        <v>#REF!</v>
      </c>
      <c r="N185" s="490"/>
      <c r="O185" s="448" t="e">
        <f>#REF!</f>
        <v>#REF!</v>
      </c>
      <c r="P185" s="305"/>
      <c r="Q185" s="490" t="e">
        <f>O185*C185</f>
        <v>#REF!</v>
      </c>
      <c r="R185" s="490"/>
      <c r="S185" s="448" t="e">
        <f>#REF!</f>
        <v>#REF!</v>
      </c>
      <c r="T185" s="305"/>
      <c r="U185" s="490" t="e">
        <f>S185*C185</f>
        <v>#REF!</v>
      </c>
      <c r="X185" s="54">
        <f>(G185-D185)/D185</f>
        <v>0</v>
      </c>
      <c r="Y185" s="54"/>
      <c r="AB185" s="428"/>
      <c r="AD185" s="428"/>
      <c r="AF185" s="428"/>
      <c r="AG185" s="428"/>
      <c r="AR185" s="7"/>
      <c r="AS185" s="7"/>
      <c r="AT185" s="7"/>
      <c r="AU185" s="7"/>
      <c r="AV185" s="7"/>
      <c r="AW185" s="7"/>
      <c r="AY185" s="496"/>
    </row>
    <row r="186" spans="1:51">
      <c r="A186" s="305" t="s">
        <v>379</v>
      </c>
      <c r="B186" s="305"/>
      <c r="C186" s="61">
        <f>C474</f>
        <v>74.671232876712295</v>
      </c>
      <c r="D186" s="448">
        <v>178.68</v>
      </c>
      <c r="E186" s="305"/>
      <c r="F186" s="490">
        <f t="shared" si="24"/>
        <v>13343</v>
      </c>
      <c r="G186" s="448">
        <f>G190*12</f>
        <v>178.68</v>
      </c>
      <c r="H186" s="305"/>
      <c r="I186" s="490">
        <f>I474</f>
        <v>13343</v>
      </c>
      <c r="J186" s="490"/>
      <c r="K186" s="448" t="e">
        <f>#REF!</f>
        <v>#REF!</v>
      </c>
      <c r="L186" s="305"/>
      <c r="M186" s="490" t="e">
        <f>#REF!</f>
        <v>#REF!</v>
      </c>
      <c r="N186" s="490"/>
      <c r="O186" s="448" t="e">
        <f>#REF!</f>
        <v>#REF!</v>
      </c>
      <c r="P186" s="305"/>
      <c r="Q186" s="490" t="e">
        <f>O186*C186</f>
        <v>#REF!</v>
      </c>
      <c r="R186" s="490"/>
      <c r="S186" s="448" t="e">
        <f>#REF!</f>
        <v>#REF!</v>
      </c>
      <c r="T186" s="305"/>
      <c r="U186" s="490" t="e">
        <f>S186*C186</f>
        <v>#REF!</v>
      </c>
      <c r="V186" s="496"/>
      <c r="X186" s="54">
        <f>(G186-D186)/D186</f>
        <v>0</v>
      </c>
      <c r="Y186" s="54"/>
      <c r="AA186" s="496"/>
      <c r="AB186" s="1018"/>
      <c r="AC186" s="496"/>
      <c r="AD186" s="1018"/>
      <c r="AE186" s="496"/>
      <c r="AF186" s="496"/>
      <c r="AG186" s="1018"/>
      <c r="AH186" s="446"/>
      <c r="AI186" s="496"/>
      <c r="AJ186" s="496"/>
      <c r="AR186" s="7"/>
      <c r="AS186" s="7"/>
      <c r="AT186" s="7"/>
      <c r="AU186" s="7"/>
      <c r="AV186" s="7"/>
      <c r="AW186" s="7"/>
      <c r="AY186" s="496"/>
    </row>
    <row r="187" spans="1:51">
      <c r="A187" s="305" t="s">
        <v>380</v>
      </c>
      <c r="B187" s="305"/>
      <c r="C187" s="61">
        <f>C475</f>
        <v>2454.0986301369899</v>
      </c>
      <c r="D187" s="448">
        <v>12.48</v>
      </c>
      <c r="E187" s="305"/>
      <c r="F187" s="490">
        <f t="shared" si="24"/>
        <v>30627</v>
      </c>
      <c r="G187" s="448">
        <f>G191*12</f>
        <v>12.48</v>
      </c>
      <c r="H187" s="305"/>
      <c r="I187" s="490">
        <f>I475</f>
        <v>30627</v>
      </c>
      <c r="J187" s="490"/>
      <c r="K187" s="448" t="e">
        <f>#REF!</f>
        <v>#REF!</v>
      </c>
      <c r="L187" s="305"/>
      <c r="M187" s="490" t="e">
        <f>#REF!</f>
        <v>#REF!</v>
      </c>
      <c r="N187" s="490"/>
      <c r="O187" s="448" t="e">
        <f>#REF!</f>
        <v>#REF!</v>
      </c>
      <c r="P187" s="305"/>
      <c r="Q187" s="490" t="e">
        <f>O187*C187</f>
        <v>#REF!</v>
      </c>
      <c r="R187" s="490"/>
      <c r="S187" s="448" t="e">
        <f>#REF!</f>
        <v>#REF!</v>
      </c>
      <c r="T187" s="305"/>
      <c r="U187" s="490" t="e">
        <f>S187*C187</f>
        <v>#REF!</v>
      </c>
      <c r="X187" s="54">
        <f>(G187-D187)/D187</f>
        <v>0</v>
      </c>
      <c r="Y187" s="54"/>
      <c r="AA187" s="496"/>
      <c r="AB187" s="1018"/>
      <c r="AC187" s="496"/>
      <c r="AD187" s="1018"/>
      <c r="AE187" s="496"/>
      <c r="AF187" s="496"/>
      <c r="AG187" s="1018"/>
      <c r="AH187" s="446"/>
      <c r="AI187" s="496"/>
      <c r="AJ187" s="496"/>
      <c r="AR187" s="7"/>
      <c r="AS187" s="7"/>
      <c r="AT187" s="7"/>
      <c r="AU187" s="7"/>
      <c r="AV187" s="7"/>
      <c r="AW187" s="7"/>
      <c r="AY187" s="496"/>
    </row>
    <row r="188" spans="1:51">
      <c r="A188" s="305" t="s">
        <v>381</v>
      </c>
      <c r="B188" s="305"/>
      <c r="C188" s="61"/>
      <c r="D188" s="490"/>
      <c r="E188" s="305"/>
      <c r="F188" s="305"/>
      <c r="G188" s="490"/>
      <c r="H188" s="305"/>
      <c r="I188" s="305"/>
      <c r="J188" s="305"/>
      <c r="K188" s="490"/>
      <c r="L188" s="305"/>
      <c r="M188" s="305"/>
      <c r="N188" s="305"/>
      <c r="O188" s="490"/>
      <c r="P188" s="305"/>
      <c r="Q188" s="305"/>
      <c r="R188" s="305"/>
      <c r="S188" s="490"/>
      <c r="T188" s="305"/>
      <c r="U188" s="305"/>
      <c r="X188" s="870"/>
      <c r="Y188" s="870"/>
      <c r="AA188" s="496"/>
      <c r="AB188" s="1018"/>
      <c r="AC188" s="496"/>
      <c r="AD188" s="1018"/>
      <c r="AE188" s="496"/>
      <c r="AF188" s="496"/>
      <c r="AG188" s="1018"/>
      <c r="AH188" s="446"/>
      <c r="AI188" s="496"/>
      <c r="AJ188" s="496"/>
      <c r="AR188" s="7"/>
      <c r="AS188" s="7"/>
      <c r="AT188" s="7"/>
      <c r="AU188" s="7"/>
      <c r="AV188" s="7"/>
      <c r="AW188" s="7"/>
      <c r="AY188" s="496"/>
    </row>
    <row r="189" spans="1:51">
      <c r="A189" s="305" t="s">
        <v>378</v>
      </c>
      <c r="B189" s="305"/>
      <c r="C189" s="61">
        <f>C230+C367</f>
        <v>173160.33350720091</v>
      </c>
      <c r="D189" s="448">
        <v>9.99</v>
      </c>
      <c r="E189" s="305"/>
      <c r="F189" s="723">
        <f>F230+F367</f>
        <v>1729872</v>
      </c>
      <c r="G189" s="448">
        <f>ROUND(D189*(1+$X$204),2)</f>
        <v>9.99</v>
      </c>
      <c r="H189" s="305"/>
      <c r="I189" s="723">
        <f>I230+I367</f>
        <v>1729872</v>
      </c>
      <c r="J189" s="723"/>
      <c r="K189" s="448" t="e">
        <f>#REF!</f>
        <v>#REF!</v>
      </c>
      <c r="L189" s="305"/>
      <c r="M189" s="490" t="e">
        <f>#REF!</f>
        <v>#REF!</v>
      </c>
      <c r="N189" s="723"/>
      <c r="O189" s="448" t="e">
        <f>#REF!</f>
        <v>#REF!</v>
      </c>
      <c r="P189" s="305"/>
      <c r="Q189" s="490" t="e">
        <f>O189*C189</f>
        <v>#REF!</v>
      </c>
      <c r="R189" s="723"/>
      <c r="S189" s="448" t="e">
        <f>#REF!</f>
        <v>#REF!</v>
      </c>
      <c r="T189" s="305"/>
      <c r="U189" s="490" t="e">
        <f>S189*C189</f>
        <v>#REF!</v>
      </c>
      <c r="X189" s="54">
        <f>(G189-D189)/D189</f>
        <v>0</v>
      </c>
      <c r="Y189" s="54"/>
      <c r="AA189" s="496"/>
      <c r="AB189" s="1018"/>
      <c r="AC189" s="496"/>
      <c r="AD189" s="1018"/>
      <c r="AE189" s="496"/>
      <c r="AF189" s="496"/>
      <c r="AG189" s="1018"/>
      <c r="AH189" s="446"/>
      <c r="AI189" s="496"/>
      <c r="AJ189" s="496"/>
      <c r="AR189" s="7"/>
      <c r="AS189" s="7"/>
      <c r="AT189" s="7"/>
      <c r="AU189" s="7"/>
      <c r="AV189" s="7"/>
      <c r="AW189" s="7"/>
      <c r="AY189" s="496"/>
    </row>
    <row r="190" spans="1:51">
      <c r="A190" s="305" t="s">
        <v>379</v>
      </c>
      <c r="B190" s="305"/>
      <c r="C190" s="61">
        <f>C231+C368</f>
        <v>68177.199999999793</v>
      </c>
      <c r="D190" s="448">
        <v>14.89</v>
      </c>
      <c r="E190" s="1004"/>
      <c r="F190" s="723">
        <f>F231+F368</f>
        <v>1015159</v>
      </c>
      <c r="G190" s="448">
        <f>ROUND(D190*(1+$X$204),2)</f>
        <v>14.89</v>
      </c>
      <c r="H190" s="1004"/>
      <c r="I190" s="723">
        <f>I231+I368</f>
        <v>1015159</v>
      </c>
      <c r="J190" s="723"/>
      <c r="K190" s="448" t="e">
        <f>#REF!</f>
        <v>#REF!</v>
      </c>
      <c r="L190" s="1004"/>
      <c r="M190" s="490" t="e">
        <f>#REF!</f>
        <v>#REF!</v>
      </c>
      <c r="N190" s="723"/>
      <c r="O190" s="448" t="e">
        <f>#REF!</f>
        <v>#REF!</v>
      </c>
      <c r="P190" s="1004"/>
      <c r="Q190" s="490" t="e">
        <f>O190*C190</f>
        <v>#REF!</v>
      </c>
      <c r="R190" s="723"/>
      <c r="S190" s="448" t="e">
        <f>#REF!</f>
        <v>#REF!</v>
      </c>
      <c r="T190" s="1004"/>
      <c r="U190" s="490" t="e">
        <f>S190*C190</f>
        <v>#REF!</v>
      </c>
      <c r="X190" s="54">
        <f>(G190-D190)/D190</f>
        <v>0</v>
      </c>
      <c r="Y190" s="54"/>
      <c r="Z190" s="85"/>
      <c r="AA190" s="496"/>
      <c r="AB190" s="1018"/>
      <c r="AC190" s="496"/>
      <c r="AD190" s="1019"/>
      <c r="AE190" s="496"/>
      <c r="AF190" s="496"/>
      <c r="AG190" s="1019"/>
      <c r="AI190" s="7"/>
      <c r="AJ190" s="7"/>
      <c r="AK190" s="7"/>
      <c r="AL190" s="7"/>
      <c r="AM190" s="7"/>
      <c r="AN190" s="7"/>
      <c r="AO190" s="7"/>
      <c r="AP190" s="7"/>
      <c r="AR190" s="496"/>
    </row>
    <row r="191" spans="1:51">
      <c r="A191" s="305" t="s">
        <v>380</v>
      </c>
      <c r="B191" s="305"/>
      <c r="C191" s="61">
        <f>C232+C369</f>
        <v>1269889</v>
      </c>
      <c r="D191" s="448">
        <v>1.04</v>
      </c>
      <c r="E191" s="1004"/>
      <c r="F191" s="723">
        <f>F232+F369</f>
        <v>1320685</v>
      </c>
      <c r="G191" s="448">
        <f>ROUND(D191*(1+$X$204),2)</f>
        <v>1.04</v>
      </c>
      <c r="H191" s="1004"/>
      <c r="I191" s="723">
        <f>I232+I369</f>
        <v>1320685</v>
      </c>
      <c r="J191" s="723"/>
      <c r="K191" s="448" t="e">
        <f>#REF!</f>
        <v>#REF!</v>
      </c>
      <c r="L191" s="1004"/>
      <c r="M191" s="490" t="e">
        <f>#REF!</f>
        <v>#REF!</v>
      </c>
      <c r="N191" s="723"/>
      <c r="O191" s="448" t="e">
        <f>#REF!</f>
        <v>#REF!</v>
      </c>
      <c r="P191" s="1004"/>
      <c r="Q191" s="490" t="e">
        <f>O191*C191</f>
        <v>#REF!</v>
      </c>
      <c r="R191" s="723"/>
      <c r="S191" s="448" t="e">
        <f>#REF!</f>
        <v>#REF!</v>
      </c>
      <c r="T191" s="1004"/>
      <c r="U191" s="490" t="e">
        <f>S191*C191</f>
        <v>#REF!</v>
      </c>
      <c r="X191" s="54">
        <f>(G191-D191)/D191</f>
        <v>0</v>
      </c>
      <c r="Y191" s="54"/>
      <c r="Z191" s="85"/>
      <c r="AC191" s="8"/>
      <c r="AD191" s="8"/>
      <c r="AE191" s="8"/>
      <c r="AF191" s="8"/>
      <c r="AG191" s="8"/>
      <c r="AI191" s="7"/>
      <c r="AJ191" s="7"/>
      <c r="AK191" s="7"/>
      <c r="AL191" s="7"/>
      <c r="AM191" s="7"/>
      <c r="AN191" s="7"/>
      <c r="AO191" s="7"/>
      <c r="AP191" s="7"/>
      <c r="AR191" s="496"/>
    </row>
    <row r="192" spans="1:51">
      <c r="A192" s="305" t="s">
        <v>382</v>
      </c>
      <c r="B192" s="305"/>
      <c r="C192" s="61">
        <f>SUM(C189:C190)</f>
        <v>241337.53350720071</v>
      </c>
      <c r="D192" s="448"/>
      <c r="E192" s="305"/>
      <c r="F192" s="723"/>
      <c r="G192" s="448"/>
      <c r="H192" s="305"/>
      <c r="I192" s="723"/>
      <c r="J192" s="723"/>
      <c r="K192" s="448"/>
      <c r="L192" s="305"/>
      <c r="M192" s="723"/>
      <c r="N192" s="723"/>
      <c r="O192" s="448"/>
      <c r="P192" s="305"/>
      <c r="Q192" s="723"/>
      <c r="R192" s="723"/>
      <c r="S192" s="448"/>
      <c r="T192" s="305"/>
      <c r="U192" s="723"/>
      <c r="X192" s="870"/>
      <c r="Y192" s="870"/>
      <c r="Z192" s="85"/>
      <c r="AI192" s="7"/>
      <c r="AJ192" s="7"/>
      <c r="AK192" s="7"/>
      <c r="AL192" s="7"/>
      <c r="AM192" s="7"/>
      <c r="AN192" s="7"/>
      <c r="AO192" s="7"/>
      <c r="AP192" s="7"/>
      <c r="AR192" s="496"/>
    </row>
    <row r="193" spans="1:44">
      <c r="A193" s="305" t="s">
        <v>350</v>
      </c>
      <c r="B193" s="305"/>
      <c r="C193" s="61">
        <f t="shared" ref="C193:C198" si="25">C233+C371+C477</f>
        <v>239143.68666666545</v>
      </c>
      <c r="D193" s="448"/>
      <c r="E193" s="305"/>
      <c r="F193" s="723"/>
      <c r="G193" s="448"/>
      <c r="H193" s="305"/>
      <c r="I193" s="723"/>
      <c r="J193" s="723"/>
      <c r="K193" s="448"/>
      <c r="L193" s="305"/>
      <c r="M193" s="723"/>
      <c r="N193" s="723"/>
      <c r="O193" s="448"/>
      <c r="P193" s="305"/>
      <c r="Q193" s="723"/>
      <c r="R193" s="723"/>
      <c r="S193" s="448"/>
      <c r="T193" s="305"/>
      <c r="U193" s="723"/>
      <c r="X193" s="870"/>
      <c r="Y193" s="870"/>
      <c r="Z193" s="85"/>
      <c r="AI193" s="7"/>
      <c r="AJ193" s="7"/>
      <c r="AK193" s="7"/>
      <c r="AL193" s="7"/>
      <c r="AM193" s="7"/>
      <c r="AN193" s="7"/>
      <c r="AO193" s="7"/>
      <c r="AP193" s="7"/>
      <c r="AR193" s="496"/>
    </row>
    <row r="194" spans="1:44">
      <c r="A194" s="305" t="s">
        <v>383</v>
      </c>
      <c r="B194" s="305"/>
      <c r="C194" s="61">
        <f t="shared" si="25"/>
        <v>793943.2</v>
      </c>
      <c r="D194" s="448">
        <v>3.8</v>
      </c>
      <c r="E194" s="305"/>
      <c r="F194" s="723">
        <f>F234+F372+F478</f>
        <v>3016983</v>
      </c>
      <c r="G194" s="448">
        <f>ROUND(D194*(1+$X$204),2)+0.01</f>
        <v>3.8099999999999996</v>
      </c>
      <c r="H194" s="305"/>
      <c r="I194" s="723">
        <f t="shared" ref="I194:I201" si="26">I234+I372+I478</f>
        <v>3024924</v>
      </c>
      <c r="J194" s="723"/>
      <c r="K194" s="448" t="e">
        <f>#REF!</f>
        <v>#REF!</v>
      </c>
      <c r="L194" s="305" t="s">
        <v>31</v>
      </c>
      <c r="M194" s="490" t="e">
        <f>#REF!</f>
        <v>#REF!</v>
      </c>
      <c r="N194" s="305" t="s">
        <v>31</v>
      </c>
      <c r="O194" s="448" t="e">
        <f>#REF!</f>
        <v>#REF!</v>
      </c>
      <c r="P194" s="305" t="s">
        <v>31</v>
      </c>
      <c r="Q194" s="490" t="e">
        <f>#REF!</f>
        <v>#REF!</v>
      </c>
      <c r="R194" s="490"/>
      <c r="S194" s="448" t="e">
        <f>#REF!</f>
        <v>#REF!</v>
      </c>
      <c r="T194" s="305" t="s">
        <v>31</v>
      </c>
      <c r="U194" s="490" t="e">
        <f>#REF!</f>
        <v>#REF!</v>
      </c>
      <c r="X194" s="54">
        <f>(G194-D194)/D194</f>
        <v>2.631578947368365E-3</v>
      </c>
      <c r="Y194" s="54"/>
      <c r="Z194" s="85"/>
      <c r="AI194" s="7"/>
      <c r="AJ194" s="7"/>
      <c r="AK194" s="7"/>
      <c r="AL194" s="7"/>
      <c r="AM194" s="7"/>
      <c r="AN194" s="7"/>
      <c r="AO194" s="7"/>
      <c r="AP194" s="7"/>
      <c r="AR194" s="496"/>
    </row>
    <row r="195" spans="1:44">
      <c r="A195" s="305" t="s">
        <v>385</v>
      </c>
      <c r="B195" s="305"/>
      <c r="C195" s="61">
        <f t="shared" si="25"/>
        <v>136614732.84604526</v>
      </c>
      <c r="D195" s="1006">
        <v>10.878</v>
      </c>
      <c r="E195" s="305" t="s">
        <v>362</v>
      </c>
      <c r="F195" s="723">
        <f>F235+F373+F479</f>
        <v>14860950</v>
      </c>
      <c r="G195" s="1006">
        <f>ROUND((D195)*(1+$X$204),3)+0.001</f>
        <v>10.879</v>
      </c>
      <c r="H195" s="305" t="s">
        <v>362</v>
      </c>
      <c r="I195" s="723">
        <f t="shared" si="26"/>
        <v>14862317</v>
      </c>
      <c r="J195" s="723"/>
      <c r="K195" s="1006" t="e">
        <f>#REF!</f>
        <v>#REF!</v>
      </c>
      <c r="L195" s="592" t="s">
        <v>362</v>
      </c>
      <c r="M195" s="490" t="e">
        <f>#REF!</f>
        <v>#REF!</v>
      </c>
      <c r="N195" s="723"/>
      <c r="O195" s="1006" t="e">
        <f>#REF!</f>
        <v>#REF!</v>
      </c>
      <c r="P195" s="305" t="s">
        <v>362</v>
      </c>
      <c r="Q195" s="490" t="e">
        <f>#REF!</f>
        <v>#REF!</v>
      </c>
      <c r="R195" s="723"/>
      <c r="S195" s="1006" t="e">
        <f>#REF!</f>
        <v>#REF!</v>
      </c>
      <c r="T195" s="305" t="s">
        <v>362</v>
      </c>
      <c r="U195" s="490" t="e">
        <f>#REF!</f>
        <v>#REF!</v>
      </c>
      <c r="X195" s="54">
        <f>((G195+G199)-D195)/D195</f>
        <v>9.1928663357183831E-5</v>
      </c>
      <c r="Y195" s="54"/>
      <c r="Z195" s="85"/>
      <c r="AA195" s="1020"/>
      <c r="AB195" s="1020"/>
      <c r="AC195" s="1020"/>
      <c r="AD195" s="1020"/>
      <c r="AE195" s="1020"/>
      <c r="AF195" s="1020"/>
      <c r="AI195" s="7"/>
      <c r="AJ195" s="7"/>
      <c r="AK195" s="7"/>
      <c r="AL195" s="7"/>
      <c r="AM195" s="7"/>
      <c r="AN195" s="7"/>
      <c r="AO195" s="7"/>
      <c r="AP195" s="7"/>
      <c r="AR195" s="496"/>
    </row>
    <row r="196" spans="1:44">
      <c r="A196" s="305" t="s">
        <v>386</v>
      </c>
      <c r="B196" s="305"/>
      <c r="C196" s="61">
        <f t="shared" si="25"/>
        <v>291321756.15769178</v>
      </c>
      <c r="D196" s="1006">
        <v>7.5140000000000002</v>
      </c>
      <c r="E196" s="305" t="s">
        <v>362</v>
      </c>
      <c r="F196" s="723">
        <f>F236+F374+F480</f>
        <v>21889917</v>
      </c>
      <c r="G196" s="1006">
        <f>ROUND((D196)*(1+$X$204),3)</f>
        <v>7.5140000000000002</v>
      </c>
      <c r="H196" s="305" t="s">
        <v>362</v>
      </c>
      <c r="I196" s="723">
        <f t="shared" si="26"/>
        <v>21889917</v>
      </c>
      <c r="J196" s="723"/>
      <c r="K196" s="1006" t="e">
        <f>#REF!</f>
        <v>#REF!</v>
      </c>
      <c r="L196" s="592" t="s">
        <v>362</v>
      </c>
      <c r="M196" s="490" t="e">
        <f>#REF!</f>
        <v>#REF!</v>
      </c>
      <c r="N196" s="723"/>
      <c r="O196" s="1006" t="e">
        <f>#REF!</f>
        <v>#REF!</v>
      </c>
      <c r="P196" s="305" t="s">
        <v>362</v>
      </c>
      <c r="Q196" s="490" t="e">
        <f>#REF!</f>
        <v>#REF!</v>
      </c>
      <c r="R196" s="723"/>
      <c r="S196" s="1006" t="e">
        <f>#REF!</f>
        <v>#REF!</v>
      </c>
      <c r="T196" s="305" t="s">
        <v>362</v>
      </c>
      <c r="U196" s="490" t="e">
        <f>#REF!</f>
        <v>#REF!</v>
      </c>
      <c r="V196" s="985"/>
      <c r="X196" s="54">
        <f>((G196+G200)-D196)/D196</f>
        <v>0</v>
      </c>
      <c r="Y196" s="54"/>
      <c r="Z196" s="85"/>
      <c r="AI196" s="7"/>
      <c r="AJ196" s="7"/>
      <c r="AK196" s="7"/>
      <c r="AL196" s="7"/>
      <c r="AM196" s="7"/>
      <c r="AN196" s="7"/>
      <c r="AO196" s="7"/>
      <c r="AP196" s="7"/>
      <c r="AR196" s="496"/>
    </row>
    <row r="197" spans="1:44">
      <c r="A197" s="305" t="s">
        <v>387</v>
      </c>
      <c r="B197" s="305"/>
      <c r="C197" s="61">
        <f t="shared" si="25"/>
        <v>122057286.54865542</v>
      </c>
      <c r="D197" s="1006">
        <v>6.4720000000000004</v>
      </c>
      <c r="E197" s="305" t="s">
        <v>362</v>
      </c>
      <c r="F197" s="723">
        <f>F237+F375+F481</f>
        <v>7899548</v>
      </c>
      <c r="G197" s="1006">
        <f>ROUND((D197)*(1+$X$204),3)</f>
        <v>6.4720000000000004</v>
      </c>
      <c r="H197" s="305" t="s">
        <v>362</v>
      </c>
      <c r="I197" s="723">
        <f t="shared" si="26"/>
        <v>7899548</v>
      </c>
      <c r="J197" s="723"/>
      <c r="K197" s="1006" t="e">
        <f>#REF!</f>
        <v>#REF!</v>
      </c>
      <c r="L197" s="592" t="s">
        <v>362</v>
      </c>
      <c r="M197" s="490" t="e">
        <f>#REF!</f>
        <v>#REF!</v>
      </c>
      <c r="N197" s="723"/>
      <c r="O197" s="1006" t="e">
        <f>#REF!</f>
        <v>#REF!</v>
      </c>
      <c r="P197" s="305" t="s">
        <v>362</v>
      </c>
      <c r="Q197" s="490" t="e">
        <f>#REF!</f>
        <v>#REF!</v>
      </c>
      <c r="R197" s="723"/>
      <c r="S197" s="1006" t="e">
        <f>#REF!</f>
        <v>#REF!</v>
      </c>
      <c r="T197" s="305" t="s">
        <v>362</v>
      </c>
      <c r="U197" s="490" t="e">
        <f>#REF!</f>
        <v>#REF!</v>
      </c>
      <c r="V197" s="1007"/>
      <c r="X197" s="54">
        <f>((G197+G201)-D197)/D197</f>
        <v>0</v>
      </c>
      <c r="Y197" s="54"/>
      <c r="Z197" s="85"/>
      <c r="AA197" s="496"/>
      <c r="AB197" s="496"/>
      <c r="AI197" s="7"/>
      <c r="AJ197" s="7"/>
      <c r="AK197" s="7"/>
      <c r="AL197" s="7"/>
      <c r="AM197" s="7"/>
      <c r="AN197" s="7"/>
      <c r="AO197" s="7"/>
      <c r="AP197" s="7"/>
      <c r="AR197" s="496"/>
    </row>
    <row r="198" spans="1:44">
      <c r="A198" s="305" t="s">
        <v>388</v>
      </c>
      <c r="B198" s="305"/>
      <c r="C198" s="61">
        <f t="shared" si="25"/>
        <v>121030.29055555548</v>
      </c>
      <c r="D198" s="1021">
        <v>58</v>
      </c>
      <c r="E198" s="305" t="s">
        <v>362</v>
      </c>
      <c r="F198" s="723">
        <f>F238+F376+F482</f>
        <v>70197</v>
      </c>
      <c r="G198" s="1021">
        <f>ROUND(D198*(1+$X$204),0)</f>
        <v>58</v>
      </c>
      <c r="H198" s="305" t="s">
        <v>362</v>
      </c>
      <c r="I198" s="723">
        <f t="shared" si="26"/>
        <v>70197</v>
      </c>
      <c r="J198" s="723"/>
      <c r="K198" s="1021" t="e">
        <f>#REF!</f>
        <v>#REF!</v>
      </c>
      <c r="L198" s="305"/>
      <c r="M198" s="615" t="e">
        <f>K198*C198</f>
        <v>#REF!</v>
      </c>
      <c r="N198" s="723"/>
      <c r="O198" s="1021" t="e">
        <f>#REF!</f>
        <v>#REF!</v>
      </c>
      <c r="P198" s="305" t="s">
        <v>362</v>
      </c>
      <c r="Q198" s="490" t="e">
        <f>#REF!</f>
        <v>#REF!</v>
      </c>
      <c r="R198" s="723"/>
      <c r="S198" s="1021" t="e">
        <f>#REF!</f>
        <v>#REF!</v>
      </c>
      <c r="T198" s="305" t="s">
        <v>362</v>
      </c>
      <c r="U198" s="490" t="e">
        <f>#REF!</f>
        <v>#REF!</v>
      </c>
      <c r="X198" s="54">
        <f>(G198-D198)/D198</f>
        <v>0</v>
      </c>
      <c r="Y198" s="54"/>
      <c r="Z198" s="85"/>
      <c r="AI198" s="7"/>
      <c r="AJ198" s="7"/>
      <c r="AK198" s="7"/>
      <c r="AL198" s="7"/>
      <c r="AM198" s="7"/>
      <c r="AN198" s="7"/>
      <c r="AO198" s="7"/>
      <c r="AP198" s="7"/>
      <c r="AR198" s="496"/>
    </row>
    <row r="199" spans="1:44" s="588" customFormat="1" hidden="1">
      <c r="A199" s="588" t="s">
        <v>771</v>
      </c>
      <c r="C199" s="604">
        <f>C195</f>
        <v>136614732.84604526</v>
      </c>
      <c r="D199" s="1022">
        <v>0</v>
      </c>
      <c r="E199" s="635"/>
      <c r="F199" s="616"/>
      <c r="G199" s="1006">
        <v>0</v>
      </c>
      <c r="H199" s="592" t="s">
        <v>362</v>
      </c>
      <c r="I199" s="615">
        <f t="shared" si="26"/>
        <v>0</v>
      </c>
      <c r="J199" s="615"/>
      <c r="K199" s="1006" t="e">
        <f>#REF!</f>
        <v>#REF!</v>
      </c>
      <c r="L199" s="592"/>
      <c r="M199" s="615" t="e">
        <f>K199*C199</f>
        <v>#REF!</v>
      </c>
      <c r="N199" s="615"/>
      <c r="O199" s="1006" t="e">
        <f>#REF!</f>
        <v>#REF!</v>
      </c>
      <c r="P199" s="592" t="s">
        <v>31</v>
      </c>
      <c r="Q199" s="615" t="e">
        <f>O199*C199</f>
        <v>#REF!</v>
      </c>
      <c r="R199" s="615"/>
      <c r="S199" s="1006" t="e">
        <f>#REF!</f>
        <v>#REF!</v>
      </c>
      <c r="T199" s="592" t="s">
        <v>362</v>
      </c>
      <c r="U199" s="490" t="e">
        <f>#REF!</f>
        <v>#REF!</v>
      </c>
      <c r="V199" s="988"/>
      <c r="W199" s="450"/>
      <c r="Z199" s="989"/>
      <c r="AA199" s="989"/>
      <c r="AF199" s="635"/>
      <c r="AG199" s="635"/>
      <c r="AH199" s="635"/>
      <c r="AI199" s="635"/>
      <c r="AJ199" s="635"/>
      <c r="AK199" s="635"/>
      <c r="AL199" s="635"/>
      <c r="AM199" s="635"/>
      <c r="AN199" s="635"/>
      <c r="AO199" s="635"/>
      <c r="AP199" s="635"/>
      <c r="AR199" s="988"/>
    </row>
    <row r="200" spans="1:44" s="588" customFormat="1" hidden="1">
      <c r="A200" s="588" t="s">
        <v>772</v>
      </c>
      <c r="C200" s="604">
        <f t="shared" ref="C200:C201" si="27">C196</f>
        <v>291321756.15769178</v>
      </c>
      <c r="D200" s="1022">
        <v>0</v>
      </c>
      <c r="E200" s="635"/>
      <c r="F200" s="616"/>
      <c r="G200" s="1006">
        <v>0</v>
      </c>
      <c r="H200" s="592" t="s">
        <v>362</v>
      </c>
      <c r="I200" s="615">
        <f t="shared" si="26"/>
        <v>0</v>
      </c>
      <c r="J200" s="615"/>
      <c r="K200" s="1006" t="e">
        <f>#REF!</f>
        <v>#REF!</v>
      </c>
      <c r="L200" s="592"/>
      <c r="M200" s="615" t="e">
        <f>K200*C200</f>
        <v>#REF!</v>
      </c>
      <c r="N200" s="615"/>
      <c r="O200" s="1006" t="e">
        <f>#REF!</f>
        <v>#REF!</v>
      </c>
      <c r="P200" s="592" t="s">
        <v>31</v>
      </c>
      <c r="Q200" s="615" t="e">
        <f>O200*C200</f>
        <v>#REF!</v>
      </c>
      <c r="R200" s="615"/>
      <c r="S200" s="1006" t="e">
        <f>#REF!</f>
        <v>#REF!</v>
      </c>
      <c r="T200" s="592" t="s">
        <v>362</v>
      </c>
      <c r="U200" s="490" t="e">
        <f>#REF!</f>
        <v>#REF!</v>
      </c>
      <c r="W200" s="450"/>
      <c r="Z200" s="989"/>
      <c r="AA200" s="989"/>
      <c r="AF200" s="635"/>
      <c r="AG200" s="635"/>
      <c r="AH200" s="635"/>
      <c r="AI200" s="635"/>
      <c r="AJ200" s="635"/>
      <c r="AK200" s="635"/>
      <c r="AL200" s="635"/>
      <c r="AM200" s="635"/>
      <c r="AN200" s="635"/>
      <c r="AO200" s="635"/>
      <c r="AP200" s="635"/>
      <c r="AR200" s="988"/>
    </row>
    <row r="201" spans="1:44" s="588" customFormat="1" hidden="1">
      <c r="A201" s="588" t="s">
        <v>773</v>
      </c>
      <c r="C201" s="604">
        <f t="shared" si="27"/>
        <v>122057286.54865542</v>
      </c>
      <c r="D201" s="1022">
        <v>0</v>
      </c>
      <c r="E201" s="635"/>
      <c r="F201" s="616"/>
      <c r="G201" s="1006">
        <v>0</v>
      </c>
      <c r="H201" s="592" t="s">
        <v>362</v>
      </c>
      <c r="I201" s="615">
        <f t="shared" si="26"/>
        <v>8779</v>
      </c>
      <c r="J201" s="615"/>
      <c r="K201" s="1006" t="e">
        <f>#REF!</f>
        <v>#REF!</v>
      </c>
      <c r="L201" s="592"/>
      <c r="M201" s="615" t="e">
        <f>K201*C201</f>
        <v>#REF!</v>
      </c>
      <c r="N201" s="615"/>
      <c r="O201" s="1006" t="e">
        <f>#REF!</f>
        <v>#REF!</v>
      </c>
      <c r="P201" s="592" t="s">
        <v>31</v>
      </c>
      <c r="Q201" s="615" t="e">
        <f>O201*C201</f>
        <v>#REF!</v>
      </c>
      <c r="R201" s="615"/>
      <c r="S201" s="1006" t="e">
        <f>#REF!</f>
        <v>#REF!</v>
      </c>
      <c r="T201" s="592" t="s">
        <v>362</v>
      </c>
      <c r="U201" s="490" t="e">
        <f>#REF!</f>
        <v>#REF!</v>
      </c>
      <c r="W201" s="450"/>
      <c r="Z201" s="989"/>
      <c r="AA201" s="989"/>
      <c r="AF201" s="635"/>
      <c r="AG201" s="635"/>
      <c r="AH201" s="635"/>
      <c r="AI201" s="635"/>
      <c r="AJ201" s="635"/>
      <c r="AK201" s="635"/>
      <c r="AL201" s="635"/>
      <c r="AM201" s="635"/>
      <c r="AN201" s="635"/>
      <c r="AO201" s="635"/>
      <c r="AP201" s="635"/>
      <c r="AR201" s="988"/>
    </row>
    <row r="202" spans="1:44" s="588" customFormat="1" hidden="1">
      <c r="A202" s="588" t="s">
        <v>755</v>
      </c>
      <c r="C202" s="604"/>
      <c r="D202" s="987">
        <v>10.878</v>
      </c>
      <c r="E202" s="592" t="s">
        <v>362</v>
      </c>
      <c r="F202" s="616"/>
      <c r="G202" s="987">
        <f>G195+G199</f>
        <v>10.879</v>
      </c>
      <c r="H202" s="592" t="s">
        <v>362</v>
      </c>
      <c r="I202" s="615"/>
      <c r="J202" s="615"/>
      <c r="K202" s="987" t="e">
        <f>K195+K199</f>
        <v>#REF!</v>
      </c>
      <c r="L202" s="592" t="s">
        <v>362</v>
      </c>
      <c r="M202" s="615"/>
      <c r="N202" s="615"/>
      <c r="O202" s="987" t="e">
        <f>O195+O199</f>
        <v>#REF!</v>
      </c>
      <c r="P202" s="592" t="s">
        <v>362</v>
      </c>
      <c r="Q202" s="615"/>
      <c r="R202" s="615"/>
      <c r="S202" s="987" t="e">
        <f>S195+S199</f>
        <v>#REF!</v>
      </c>
      <c r="T202" s="592" t="s">
        <v>362</v>
      </c>
      <c r="U202" s="615"/>
      <c r="W202" s="450"/>
      <c r="Z202" s="989"/>
      <c r="AA202" s="989"/>
      <c r="AF202" s="635"/>
      <c r="AG202" s="635"/>
      <c r="AH202" s="635"/>
      <c r="AI202" s="635"/>
      <c r="AJ202" s="635"/>
      <c r="AK202" s="635"/>
      <c r="AL202" s="635"/>
      <c r="AM202" s="635"/>
      <c r="AN202" s="635"/>
      <c r="AO202" s="635"/>
      <c r="AP202" s="635"/>
      <c r="AR202" s="988"/>
    </row>
    <row r="203" spans="1:44" s="588" customFormat="1" hidden="1">
      <c r="A203" s="588" t="s">
        <v>756</v>
      </c>
      <c r="C203" s="604"/>
      <c r="D203" s="987">
        <v>7.5140000000000002</v>
      </c>
      <c r="E203" s="592" t="s">
        <v>362</v>
      </c>
      <c r="F203" s="616"/>
      <c r="G203" s="987">
        <f t="shared" ref="G203:G204" si="28">G196+G200</f>
        <v>7.5140000000000002</v>
      </c>
      <c r="H203" s="592" t="s">
        <v>362</v>
      </c>
      <c r="I203" s="615"/>
      <c r="J203" s="615"/>
      <c r="K203" s="987" t="e">
        <f t="shared" ref="K203:K204" si="29">K196+K200</f>
        <v>#REF!</v>
      </c>
      <c r="L203" s="592" t="s">
        <v>362</v>
      </c>
      <c r="M203" s="615"/>
      <c r="N203" s="615"/>
      <c r="O203" s="987" t="e">
        <f t="shared" ref="O203:O204" si="30">O196+O200</f>
        <v>#REF!</v>
      </c>
      <c r="P203" s="592" t="s">
        <v>362</v>
      </c>
      <c r="Q203" s="615"/>
      <c r="R203" s="615"/>
      <c r="S203" s="987" t="e">
        <f t="shared" ref="S203:S204" si="31">S196+S200</f>
        <v>#REF!</v>
      </c>
      <c r="T203" s="592" t="s">
        <v>362</v>
      </c>
      <c r="U203" s="615"/>
      <c r="W203" s="450" t="s">
        <v>31</v>
      </c>
      <c r="Z203" s="989"/>
      <c r="AA203" s="989"/>
      <c r="AF203" s="635"/>
      <c r="AG203" s="635"/>
      <c r="AH203" s="635"/>
      <c r="AI203" s="635"/>
      <c r="AJ203" s="635"/>
      <c r="AK203" s="635"/>
      <c r="AL203" s="635"/>
      <c r="AM203" s="635"/>
      <c r="AN203" s="635"/>
      <c r="AO203" s="635"/>
      <c r="AP203" s="635"/>
      <c r="AR203" s="988"/>
    </row>
    <row r="204" spans="1:44" s="588" customFormat="1" hidden="1">
      <c r="A204" s="588" t="s">
        <v>757</v>
      </c>
      <c r="C204" s="604"/>
      <c r="D204" s="987">
        <v>6.4720000000000004</v>
      </c>
      <c r="E204" s="592" t="s">
        <v>362</v>
      </c>
      <c r="F204" s="616"/>
      <c r="G204" s="987">
        <f t="shared" si="28"/>
        <v>6.4720000000000004</v>
      </c>
      <c r="H204" s="592" t="s">
        <v>362</v>
      </c>
      <c r="I204" s="615"/>
      <c r="J204" s="615"/>
      <c r="K204" s="987" t="e">
        <f t="shared" si="29"/>
        <v>#REF!</v>
      </c>
      <c r="L204" s="592" t="s">
        <v>362</v>
      </c>
      <c r="M204" s="615"/>
      <c r="N204" s="615"/>
      <c r="O204" s="987" t="e">
        <f t="shared" si="30"/>
        <v>#REF!</v>
      </c>
      <c r="P204" s="592" t="s">
        <v>362</v>
      </c>
      <c r="Q204" s="615"/>
      <c r="R204" s="615"/>
      <c r="S204" s="987" t="e">
        <f t="shared" si="31"/>
        <v>#REF!</v>
      </c>
      <c r="T204" s="592" t="s">
        <v>362</v>
      </c>
      <c r="U204" s="615"/>
      <c r="W204" s="450"/>
      <c r="Z204" s="989"/>
      <c r="AA204" s="989"/>
      <c r="AF204" s="635"/>
      <c r="AG204" s="635"/>
      <c r="AH204" s="635"/>
      <c r="AI204" s="635"/>
      <c r="AJ204" s="635"/>
      <c r="AK204" s="635"/>
      <c r="AL204" s="635"/>
      <c r="AM204" s="635"/>
      <c r="AN204" s="635"/>
      <c r="AO204" s="635"/>
      <c r="AP204" s="635"/>
      <c r="AR204" s="988"/>
    </row>
    <row r="205" spans="1:44">
      <c r="A205" s="244" t="s">
        <v>389</v>
      </c>
      <c r="B205" s="305"/>
      <c r="C205" s="61"/>
      <c r="D205" s="1023">
        <v>-0.01</v>
      </c>
      <c r="E205" s="305"/>
      <c r="F205" s="723"/>
      <c r="G205" s="1023">
        <v>-0.01</v>
      </c>
      <c r="H205" s="305"/>
      <c r="I205" s="723"/>
      <c r="J205" s="723"/>
      <c r="K205" s="1023">
        <v>-0.01</v>
      </c>
      <c r="L205" s="305"/>
      <c r="M205" s="723"/>
      <c r="N205" s="723"/>
      <c r="O205" s="1023">
        <v>-0.01</v>
      </c>
      <c r="P205" s="305"/>
      <c r="Q205" s="723"/>
      <c r="R205" s="723"/>
      <c r="S205" s="1023">
        <v>-0.01</v>
      </c>
      <c r="T205" s="305"/>
      <c r="U205" s="723"/>
      <c r="W205" s="1024"/>
      <c r="AI205" s="7"/>
      <c r="AJ205" s="7"/>
      <c r="AK205" s="7"/>
      <c r="AL205" s="7"/>
      <c r="AM205" s="7"/>
      <c r="AN205" s="7"/>
      <c r="AO205" s="7"/>
      <c r="AP205" s="7"/>
      <c r="AR205" s="496"/>
    </row>
    <row r="206" spans="1:44">
      <c r="A206" s="305" t="s">
        <v>378</v>
      </c>
      <c r="B206" s="305"/>
      <c r="C206" s="61">
        <f t="shared" ref="C206:C215" si="32">C243+C381+C487</f>
        <v>83.966666666666697</v>
      </c>
      <c r="D206" s="237">
        <v>9.99</v>
      </c>
      <c r="E206" s="490"/>
      <c r="F206" s="723">
        <f t="shared" ref="F206:F215" si="33">F243+F381+F487</f>
        <v>-8</v>
      </c>
      <c r="G206" s="237">
        <f>G189</f>
        <v>9.99</v>
      </c>
      <c r="H206" s="490"/>
      <c r="I206" s="723">
        <f t="shared" ref="I206:I219" si="34">I243+I381+I487</f>
        <v>-8</v>
      </c>
      <c r="J206" s="723"/>
      <c r="K206" s="237" t="e">
        <f>K189</f>
        <v>#REF!</v>
      </c>
      <c r="L206" s="490"/>
      <c r="M206" s="490" t="e">
        <f>#REF!</f>
        <v>#REF!</v>
      </c>
      <c r="N206" s="723"/>
      <c r="O206" s="237" t="e">
        <f>O189</f>
        <v>#REF!</v>
      </c>
      <c r="P206" s="490"/>
      <c r="Q206" s="490" t="e">
        <f>#REF!</f>
        <v>#REF!</v>
      </c>
      <c r="R206" s="723"/>
      <c r="S206" s="237" t="e">
        <f>S189</f>
        <v>#REF!</v>
      </c>
      <c r="T206" s="490"/>
      <c r="U206" s="490" t="e">
        <f>#REF!</f>
        <v>#REF!</v>
      </c>
      <c r="AI206" s="7"/>
      <c r="AJ206" s="7"/>
      <c r="AK206" s="7"/>
      <c r="AL206" s="7"/>
      <c r="AM206" s="7"/>
      <c r="AN206" s="7"/>
      <c r="AO206" s="7"/>
      <c r="AP206" s="7"/>
      <c r="AR206" s="496"/>
    </row>
    <row r="207" spans="1:44">
      <c r="A207" s="305" t="s">
        <v>379</v>
      </c>
      <c r="B207" s="305"/>
      <c r="C207" s="61">
        <f t="shared" si="32"/>
        <v>103.9666666666667</v>
      </c>
      <c r="D207" s="237">
        <v>14.89</v>
      </c>
      <c r="E207" s="490"/>
      <c r="F207" s="723">
        <f t="shared" si="33"/>
        <v>-16</v>
      </c>
      <c r="G207" s="237">
        <f>G190</f>
        <v>14.89</v>
      </c>
      <c r="H207" s="490"/>
      <c r="I207" s="723">
        <f t="shared" si="34"/>
        <v>-16</v>
      </c>
      <c r="J207" s="723"/>
      <c r="K207" s="237" t="e">
        <f>K190</f>
        <v>#REF!</v>
      </c>
      <c r="L207" s="490"/>
      <c r="M207" s="490" t="e">
        <f>#REF!</f>
        <v>#REF!</v>
      </c>
      <c r="N207" s="723"/>
      <c r="O207" s="237" t="e">
        <f>O190</f>
        <v>#REF!</v>
      </c>
      <c r="P207" s="490"/>
      <c r="Q207" s="490" t="e">
        <f>#REF!</f>
        <v>#REF!</v>
      </c>
      <c r="R207" s="723"/>
      <c r="S207" s="237" t="e">
        <f>S190</f>
        <v>#REF!</v>
      </c>
      <c r="T207" s="490"/>
      <c r="U207" s="490" t="e">
        <f>#REF!</f>
        <v>#REF!</v>
      </c>
      <c r="W207" s="85" t="s">
        <v>31</v>
      </c>
      <c r="AK207" s="7"/>
      <c r="AL207" s="7"/>
      <c r="AM207" s="7"/>
      <c r="AN207" s="7"/>
      <c r="AO207" s="7"/>
      <c r="AP207" s="7"/>
      <c r="AR207" s="496"/>
    </row>
    <row r="208" spans="1:44">
      <c r="A208" s="305" t="s">
        <v>390</v>
      </c>
      <c r="B208" s="305"/>
      <c r="C208" s="61">
        <f t="shared" si="32"/>
        <v>5541</v>
      </c>
      <c r="D208" s="237">
        <v>1.04</v>
      </c>
      <c r="E208" s="490"/>
      <c r="F208" s="723">
        <f t="shared" si="33"/>
        <v>-58</v>
      </c>
      <c r="G208" s="237">
        <f>G191</f>
        <v>1.04</v>
      </c>
      <c r="H208" s="490"/>
      <c r="I208" s="723">
        <f t="shared" si="34"/>
        <v>-58</v>
      </c>
      <c r="J208" s="723"/>
      <c r="K208" s="237" t="e">
        <f>K191</f>
        <v>#REF!</v>
      </c>
      <c r="L208" s="490"/>
      <c r="M208" s="490" t="e">
        <f>#REF!</f>
        <v>#REF!</v>
      </c>
      <c r="N208" s="723"/>
      <c r="O208" s="237" t="e">
        <f>O191</f>
        <v>#REF!</v>
      </c>
      <c r="P208" s="490"/>
      <c r="Q208" s="490" t="e">
        <f>#REF!</f>
        <v>#REF!</v>
      </c>
      <c r="R208" s="723"/>
      <c r="S208" s="237" t="e">
        <f>S191</f>
        <v>#REF!</v>
      </c>
      <c r="T208" s="490"/>
      <c r="U208" s="490" t="e">
        <f>#REF!</f>
        <v>#REF!</v>
      </c>
      <c r="X208" s="85" t="s">
        <v>31</v>
      </c>
      <c r="Z208" s="4" t="s">
        <v>31</v>
      </c>
      <c r="AK208" s="7"/>
      <c r="AL208" s="7"/>
      <c r="AM208" s="7"/>
      <c r="AN208" s="7"/>
      <c r="AO208" s="7"/>
      <c r="AP208" s="7"/>
      <c r="AR208" s="496"/>
    </row>
    <row r="209" spans="1:44">
      <c r="A209" s="305" t="s">
        <v>391</v>
      </c>
      <c r="B209" s="305"/>
      <c r="C209" s="61">
        <f t="shared" si="32"/>
        <v>1992</v>
      </c>
      <c r="D209" s="237">
        <v>3.8</v>
      </c>
      <c r="E209" s="305"/>
      <c r="F209" s="723">
        <f t="shared" si="33"/>
        <v>-76</v>
      </c>
      <c r="G209" s="237">
        <f>G194</f>
        <v>3.8099999999999996</v>
      </c>
      <c r="H209" s="305"/>
      <c r="I209" s="723">
        <f t="shared" si="34"/>
        <v>-76</v>
      </c>
      <c r="J209" s="723"/>
      <c r="K209" s="237" t="e">
        <f>K194</f>
        <v>#REF!</v>
      </c>
      <c r="L209" s="305"/>
      <c r="M209" s="490" t="e">
        <f>#REF!</f>
        <v>#REF!</v>
      </c>
      <c r="N209" s="723"/>
      <c r="O209" s="237" t="e">
        <f>O194</f>
        <v>#REF!</v>
      </c>
      <c r="P209" s="305"/>
      <c r="Q209" s="490" t="e">
        <f>#REF!</f>
        <v>#REF!</v>
      </c>
      <c r="R209" s="723"/>
      <c r="S209" s="237" t="e">
        <f>S194</f>
        <v>#REF!</v>
      </c>
      <c r="T209" s="305"/>
      <c r="U209" s="490" t="e">
        <f>#REF!</f>
        <v>#REF!</v>
      </c>
      <c r="Y209" s="85" t="s">
        <v>31</v>
      </c>
      <c r="AK209" s="7"/>
      <c r="AL209" s="7"/>
      <c r="AM209" s="7"/>
      <c r="AN209" s="7"/>
      <c r="AO209" s="7"/>
      <c r="AP209" s="7"/>
      <c r="AR209" s="496"/>
    </row>
    <row r="210" spans="1:44">
      <c r="A210" s="305" t="s">
        <v>393</v>
      </c>
      <c r="B210" s="305"/>
      <c r="C210" s="61">
        <f t="shared" si="32"/>
        <v>149222.66666666669</v>
      </c>
      <c r="D210" s="1025">
        <v>10.878</v>
      </c>
      <c r="E210" s="305" t="s">
        <v>362</v>
      </c>
      <c r="F210" s="723">
        <f t="shared" si="33"/>
        <v>-162</v>
      </c>
      <c r="G210" s="1025">
        <f>G195</f>
        <v>10.879</v>
      </c>
      <c r="H210" s="305" t="s">
        <v>362</v>
      </c>
      <c r="I210" s="723">
        <f t="shared" si="34"/>
        <v>-162</v>
      </c>
      <c r="J210" s="723"/>
      <c r="K210" s="1025" t="e">
        <f>K195</f>
        <v>#REF!</v>
      </c>
      <c r="L210" s="305"/>
      <c r="M210" s="490" t="e">
        <f>#REF!</f>
        <v>#REF!</v>
      </c>
      <c r="N210" s="723"/>
      <c r="O210" s="1025" t="e">
        <f>O195</f>
        <v>#REF!</v>
      </c>
      <c r="P210" s="305" t="s">
        <v>362</v>
      </c>
      <c r="Q210" s="490" t="e">
        <f>#REF!</f>
        <v>#REF!</v>
      </c>
      <c r="R210" s="723"/>
      <c r="S210" s="1025" t="e">
        <f>S195</f>
        <v>#REF!</v>
      </c>
      <c r="T210" s="305" t="s">
        <v>362</v>
      </c>
      <c r="U210" s="490" t="e">
        <f>#REF!</f>
        <v>#REF!</v>
      </c>
      <c r="AK210" s="7"/>
      <c r="AL210" s="7"/>
      <c r="AM210" s="7"/>
      <c r="AN210" s="7"/>
      <c r="AO210" s="7"/>
      <c r="AP210" s="7"/>
      <c r="AR210" s="496"/>
    </row>
    <row r="211" spans="1:44">
      <c r="A211" s="305" t="s">
        <v>386</v>
      </c>
      <c r="B211" s="305"/>
      <c r="C211" s="61">
        <f t="shared" si="32"/>
        <v>626125.33333333326</v>
      </c>
      <c r="D211" s="1025">
        <v>7.5140000000000002</v>
      </c>
      <c r="E211" s="305" t="s">
        <v>362</v>
      </c>
      <c r="F211" s="723">
        <f t="shared" si="33"/>
        <v>-470</v>
      </c>
      <c r="G211" s="1025">
        <f>G196</f>
        <v>7.5140000000000002</v>
      </c>
      <c r="H211" s="305" t="s">
        <v>362</v>
      </c>
      <c r="I211" s="723">
        <f t="shared" si="34"/>
        <v>-470</v>
      </c>
      <c r="J211" s="723"/>
      <c r="K211" s="1025" t="e">
        <f>K196</f>
        <v>#REF!</v>
      </c>
      <c r="L211" s="305"/>
      <c r="M211" s="490" t="e">
        <f>#REF!</f>
        <v>#REF!</v>
      </c>
      <c r="N211" s="723"/>
      <c r="O211" s="1025" t="e">
        <f>O196</f>
        <v>#REF!</v>
      </c>
      <c r="P211" s="305" t="s">
        <v>362</v>
      </c>
      <c r="Q211" s="490" t="e">
        <f>#REF!</f>
        <v>#REF!</v>
      </c>
      <c r="R211" s="723"/>
      <c r="S211" s="1025" t="e">
        <f>S196</f>
        <v>#REF!</v>
      </c>
      <c r="T211" s="305" t="s">
        <v>362</v>
      </c>
      <c r="U211" s="490" t="e">
        <f>#REF!</f>
        <v>#REF!</v>
      </c>
      <c r="AK211" s="7"/>
      <c r="AL211" s="7"/>
      <c r="AM211" s="7"/>
      <c r="AN211" s="7"/>
      <c r="AO211" s="7"/>
      <c r="AP211" s="7"/>
      <c r="AR211" s="496"/>
    </row>
    <row r="212" spans="1:44">
      <c r="A212" s="305" t="s">
        <v>387</v>
      </c>
      <c r="B212" s="305"/>
      <c r="C212" s="61">
        <f t="shared" si="32"/>
        <v>362541</v>
      </c>
      <c r="D212" s="1025">
        <v>6.4720000000000004</v>
      </c>
      <c r="E212" s="305" t="s">
        <v>362</v>
      </c>
      <c r="F212" s="723">
        <f t="shared" si="33"/>
        <v>-234</v>
      </c>
      <c r="G212" s="1025">
        <f>G197</f>
        <v>6.4720000000000004</v>
      </c>
      <c r="H212" s="305" t="s">
        <v>362</v>
      </c>
      <c r="I212" s="723">
        <f t="shared" si="34"/>
        <v>-234</v>
      </c>
      <c r="J212" s="723"/>
      <c r="K212" s="1025" t="e">
        <f>K197</f>
        <v>#REF!</v>
      </c>
      <c r="L212" s="305"/>
      <c r="M212" s="490" t="e">
        <f>#REF!</f>
        <v>#REF!</v>
      </c>
      <c r="N212" s="723"/>
      <c r="O212" s="1025" t="e">
        <f>O197</f>
        <v>#REF!</v>
      </c>
      <c r="P212" s="305" t="s">
        <v>362</v>
      </c>
      <c r="Q212" s="490" t="e">
        <f>#REF!</f>
        <v>#REF!</v>
      </c>
      <c r="R212" s="723"/>
      <c r="S212" s="1025" t="e">
        <f>S197</f>
        <v>#REF!</v>
      </c>
      <c r="T212" s="305" t="s">
        <v>362</v>
      </c>
      <c r="U212" s="490" t="e">
        <f>#REF!</f>
        <v>#REF!</v>
      </c>
      <c r="AI212" s="7"/>
      <c r="AJ212" s="7"/>
      <c r="AK212" s="7"/>
      <c r="AL212" s="7"/>
      <c r="AM212" s="7"/>
      <c r="AN212" s="7"/>
      <c r="AO212" s="7"/>
      <c r="AP212" s="7"/>
      <c r="AR212" s="496"/>
    </row>
    <row r="213" spans="1:44">
      <c r="A213" s="305" t="s">
        <v>388</v>
      </c>
      <c r="B213" s="305"/>
      <c r="C213" s="61">
        <f t="shared" si="32"/>
        <v>1169.8</v>
      </c>
      <c r="D213" s="1026">
        <v>58</v>
      </c>
      <c r="E213" s="305" t="s">
        <v>362</v>
      </c>
      <c r="F213" s="723">
        <f t="shared" si="33"/>
        <v>-6</v>
      </c>
      <c r="G213" s="1026">
        <f>G198</f>
        <v>58</v>
      </c>
      <c r="H213" s="305" t="s">
        <v>362</v>
      </c>
      <c r="I213" s="723">
        <f t="shared" si="34"/>
        <v>-6</v>
      </c>
      <c r="J213" s="723"/>
      <c r="K213" s="1026" t="e">
        <f>K198</f>
        <v>#REF!</v>
      </c>
      <c r="L213" s="305"/>
      <c r="M213" s="490" t="e">
        <f>#REF!</f>
        <v>#REF!</v>
      </c>
      <c r="N213" s="723"/>
      <c r="O213" s="1026" t="e">
        <f>O198</f>
        <v>#REF!</v>
      </c>
      <c r="P213" s="305" t="s">
        <v>362</v>
      </c>
      <c r="Q213" s="490" t="e">
        <f>#REF!</f>
        <v>#REF!</v>
      </c>
      <c r="R213" s="723"/>
      <c r="S213" s="1026" t="e">
        <f>S198</f>
        <v>#REF!</v>
      </c>
      <c r="T213" s="305" t="s">
        <v>362</v>
      </c>
      <c r="U213" s="490" t="e">
        <f>#REF!</f>
        <v>#REF!</v>
      </c>
      <c r="AI213" s="7"/>
      <c r="AJ213" s="7"/>
      <c r="AK213" s="7"/>
      <c r="AL213" s="7"/>
      <c r="AM213" s="7"/>
      <c r="AN213" s="7"/>
      <c r="AO213" s="7"/>
      <c r="AP213" s="7"/>
      <c r="AR213" s="496"/>
    </row>
    <row r="214" spans="1:44">
      <c r="A214" s="305" t="s">
        <v>395</v>
      </c>
      <c r="B214" s="305"/>
      <c r="C214" s="61">
        <f t="shared" si="32"/>
        <v>155.93333333333339</v>
      </c>
      <c r="D214" s="237">
        <v>60</v>
      </c>
      <c r="E214" s="305"/>
      <c r="F214" s="723">
        <f t="shared" si="33"/>
        <v>9356</v>
      </c>
      <c r="G214" s="237">
        <f>D214</f>
        <v>60</v>
      </c>
      <c r="H214" s="305"/>
      <c r="I214" s="723">
        <f t="shared" si="34"/>
        <v>9356</v>
      </c>
      <c r="J214" s="723"/>
      <c r="K214" s="237" t="s">
        <v>31</v>
      </c>
      <c r="L214" s="305"/>
      <c r="M214" s="490" t="e">
        <f>#REF!</f>
        <v>#REF!</v>
      </c>
      <c r="N214" s="723"/>
      <c r="O214" s="448" t="e">
        <f>ROUND(Q214/$C$214,2)</f>
        <v>#REF!</v>
      </c>
      <c r="P214" s="305"/>
      <c r="Q214" s="490" t="e">
        <f>#REF!</f>
        <v>#REF!</v>
      </c>
      <c r="R214" s="723"/>
      <c r="S214" s="448" t="e">
        <f>ROUND(U214/$C$214,2)</f>
        <v>#REF!</v>
      </c>
      <c r="T214" s="305"/>
      <c r="U214" s="490" t="e">
        <f>#REF!</f>
        <v>#REF!</v>
      </c>
      <c r="X214" s="85" t="s">
        <v>31</v>
      </c>
      <c r="AI214" s="7"/>
      <c r="AJ214" s="7"/>
      <c r="AK214" s="7"/>
      <c r="AL214" s="7"/>
      <c r="AM214" s="7"/>
      <c r="AN214" s="7"/>
      <c r="AO214" s="7"/>
      <c r="AP214" s="7"/>
      <c r="AR214" s="496"/>
    </row>
    <row r="215" spans="1:44">
      <c r="A215" s="305" t="s">
        <v>396</v>
      </c>
      <c r="B215" s="305"/>
      <c r="C215" s="61">
        <f t="shared" si="32"/>
        <v>5455</v>
      </c>
      <c r="D215" s="1027">
        <v>-30</v>
      </c>
      <c r="E215" s="305" t="s">
        <v>362</v>
      </c>
      <c r="F215" s="723">
        <f t="shared" si="33"/>
        <v>-1637</v>
      </c>
      <c r="G215" s="1027">
        <f>D215</f>
        <v>-30</v>
      </c>
      <c r="H215" s="305" t="s">
        <v>362</v>
      </c>
      <c r="I215" s="723">
        <f t="shared" si="34"/>
        <v>-1637</v>
      </c>
      <c r="J215" s="723"/>
      <c r="K215" s="1027" t="e">
        <f>#REF!</f>
        <v>#REF!</v>
      </c>
      <c r="L215" s="305" t="s">
        <v>362</v>
      </c>
      <c r="M215" s="490" t="e">
        <f>#REF!</f>
        <v>#REF!</v>
      </c>
      <c r="N215" s="723"/>
      <c r="O215" s="1027" t="s">
        <v>31</v>
      </c>
      <c r="P215" s="305" t="s">
        <v>31</v>
      </c>
      <c r="Q215" s="490" t="e">
        <f>#REF!</f>
        <v>#REF!</v>
      </c>
      <c r="R215" s="723"/>
      <c r="S215" s="1027" t="s">
        <v>31</v>
      </c>
      <c r="T215" s="305" t="s">
        <v>31</v>
      </c>
      <c r="U215" s="490" t="e">
        <f>#REF!</f>
        <v>#REF!</v>
      </c>
      <c r="X215" s="85" t="s">
        <v>31</v>
      </c>
      <c r="Z215" s="1028"/>
      <c r="AA215" s="1028"/>
      <c r="AI215" s="7"/>
      <c r="AJ215" s="7"/>
      <c r="AK215" s="7"/>
      <c r="AL215" s="7"/>
      <c r="AM215" s="7"/>
      <c r="AN215" s="7"/>
      <c r="AO215" s="7"/>
      <c r="AP215" s="7"/>
      <c r="AR215" s="496"/>
    </row>
    <row r="216" spans="1:44" s="588" customFormat="1">
      <c r="A216" s="588" t="s">
        <v>771</v>
      </c>
      <c r="C216" s="604">
        <f>C210</f>
        <v>149222.66666666669</v>
      </c>
      <c r="D216" s="990">
        <v>0</v>
      </c>
      <c r="E216" s="635"/>
      <c r="F216" s="616"/>
      <c r="G216" s="987">
        <f>G199</f>
        <v>0</v>
      </c>
      <c r="H216" s="592" t="s">
        <v>362</v>
      </c>
      <c r="I216" s="723">
        <f t="shared" si="34"/>
        <v>0</v>
      </c>
      <c r="J216" s="723"/>
      <c r="K216" s="987" t="e">
        <f>K199</f>
        <v>#REF!</v>
      </c>
      <c r="L216" s="592"/>
      <c r="M216" s="490" t="e">
        <f>#REF!</f>
        <v>#REF!</v>
      </c>
      <c r="N216" s="723"/>
      <c r="O216" s="987" t="e">
        <f>O199</f>
        <v>#REF!</v>
      </c>
      <c r="P216" s="592" t="s">
        <v>31</v>
      </c>
      <c r="Q216" s="490" t="e">
        <f>#REF!</f>
        <v>#REF!</v>
      </c>
      <c r="R216" s="723"/>
      <c r="S216" s="987" t="e">
        <f>S199</f>
        <v>#REF!</v>
      </c>
      <c r="T216" s="592" t="s">
        <v>362</v>
      </c>
      <c r="U216" s="490" t="e">
        <f>#REF!</f>
        <v>#REF!</v>
      </c>
      <c r="W216" s="450"/>
      <c r="Z216" s="989"/>
      <c r="AA216" s="989"/>
      <c r="AF216" s="635"/>
      <c r="AG216" s="635"/>
      <c r="AH216" s="635"/>
      <c r="AI216" s="635"/>
      <c r="AJ216" s="635"/>
      <c r="AK216" s="635"/>
      <c r="AL216" s="635"/>
      <c r="AM216" s="635"/>
      <c r="AN216" s="635"/>
      <c r="AO216" s="635"/>
      <c r="AP216" s="635"/>
      <c r="AR216" s="988"/>
    </row>
    <row r="217" spans="1:44" s="588" customFormat="1">
      <c r="A217" s="588" t="s">
        <v>772</v>
      </c>
      <c r="C217" s="604">
        <f t="shared" ref="C217:C218" si="35">C211</f>
        <v>626125.33333333326</v>
      </c>
      <c r="D217" s="990">
        <v>0</v>
      </c>
      <c r="E217" s="635"/>
      <c r="F217" s="616"/>
      <c r="G217" s="987">
        <f>G200</f>
        <v>0</v>
      </c>
      <c r="H217" s="592" t="s">
        <v>362</v>
      </c>
      <c r="I217" s="723">
        <f t="shared" si="34"/>
        <v>0</v>
      </c>
      <c r="J217" s="723"/>
      <c r="K217" s="987" t="e">
        <f>K200</f>
        <v>#REF!</v>
      </c>
      <c r="L217" s="592"/>
      <c r="M217" s="490" t="e">
        <f>#REF!</f>
        <v>#REF!</v>
      </c>
      <c r="N217" s="723"/>
      <c r="O217" s="987" t="e">
        <f>O200</f>
        <v>#REF!</v>
      </c>
      <c r="P217" s="592" t="s">
        <v>31</v>
      </c>
      <c r="Q217" s="490" t="e">
        <f>#REF!</f>
        <v>#REF!</v>
      </c>
      <c r="R217" s="723"/>
      <c r="S217" s="987" t="e">
        <f>S200</f>
        <v>#REF!</v>
      </c>
      <c r="T217" s="592" t="s">
        <v>362</v>
      </c>
      <c r="U217" s="490" t="e">
        <f>#REF!</f>
        <v>#REF!</v>
      </c>
      <c r="W217" s="450"/>
      <c r="Z217" s="989"/>
      <c r="AA217" s="989"/>
      <c r="AF217" s="635"/>
      <c r="AG217" s="635"/>
      <c r="AH217" s="635"/>
      <c r="AI217" s="635"/>
      <c r="AJ217" s="635"/>
      <c r="AK217" s="635"/>
      <c r="AL217" s="635"/>
      <c r="AM217" s="635"/>
      <c r="AN217" s="635"/>
      <c r="AO217" s="635"/>
      <c r="AP217" s="635"/>
      <c r="AR217" s="988"/>
    </row>
    <row r="218" spans="1:44" s="588" customFormat="1">
      <c r="A218" s="588" t="s">
        <v>773</v>
      </c>
      <c r="C218" s="604">
        <f t="shared" si="35"/>
        <v>362541</v>
      </c>
      <c r="D218" s="990">
        <v>0</v>
      </c>
      <c r="E218" s="635"/>
      <c r="F218" s="616"/>
      <c r="G218" s="987">
        <f>G201</f>
        <v>0</v>
      </c>
      <c r="H218" s="592" t="s">
        <v>362</v>
      </c>
      <c r="I218" s="723">
        <f t="shared" si="34"/>
        <v>0</v>
      </c>
      <c r="J218" s="723"/>
      <c r="K218" s="987" t="e">
        <f>K201</f>
        <v>#REF!</v>
      </c>
      <c r="L218" s="592"/>
      <c r="M218" s="490" t="e">
        <f>#REF!</f>
        <v>#REF!</v>
      </c>
      <c r="N218" s="723"/>
      <c r="O218" s="987" t="e">
        <f>O201</f>
        <v>#REF!</v>
      </c>
      <c r="P218" s="592" t="s">
        <v>31</v>
      </c>
      <c r="Q218" s="490" t="e">
        <f>#REF!</f>
        <v>#REF!</v>
      </c>
      <c r="R218" s="723"/>
      <c r="S218" s="987" t="e">
        <f>S201</f>
        <v>#REF!</v>
      </c>
      <c r="T218" s="592" t="s">
        <v>362</v>
      </c>
      <c r="U218" s="490" t="e">
        <f>#REF!</f>
        <v>#REF!</v>
      </c>
      <c r="W218" s="450"/>
      <c r="Z218" s="989"/>
      <c r="AA218" s="989"/>
      <c r="AF218" s="635"/>
      <c r="AG218" s="635"/>
      <c r="AH218" s="635"/>
      <c r="AI218" s="635"/>
      <c r="AJ218" s="635"/>
      <c r="AK218" s="635"/>
      <c r="AL218" s="635"/>
      <c r="AM218" s="635"/>
      <c r="AN218" s="635"/>
      <c r="AO218" s="635"/>
      <c r="AP218" s="635"/>
      <c r="AR218" s="988"/>
    </row>
    <row r="219" spans="1:44">
      <c r="A219" s="305" t="s">
        <v>369</v>
      </c>
      <c r="B219" s="419"/>
      <c r="C219" s="61">
        <f>C256+C394+C500</f>
        <v>549993775.55239236</v>
      </c>
      <c r="D219" s="1021"/>
      <c r="E219" s="305"/>
      <c r="F219" s="723">
        <f>F256+F394+F500</f>
        <v>51854330</v>
      </c>
      <c r="G219" s="1021"/>
      <c r="H219" s="305"/>
      <c r="I219" s="723">
        <f t="shared" si="34"/>
        <v>51863638</v>
      </c>
      <c r="J219" s="723"/>
      <c r="K219" s="1021"/>
      <c r="L219" s="305"/>
      <c r="M219" s="723" t="e">
        <f>SUM(M185:M218)</f>
        <v>#REF!</v>
      </c>
      <c r="N219" s="723"/>
      <c r="O219" s="1021"/>
      <c r="P219" s="305"/>
      <c r="Q219" s="723" t="e">
        <f>SUM(Q185:Q218)</f>
        <v>#REF!</v>
      </c>
      <c r="R219" s="723"/>
      <c r="S219" s="1021"/>
      <c r="T219" s="305"/>
      <c r="U219" s="723" t="e">
        <f>SUM(U185:U218)</f>
        <v>#REF!</v>
      </c>
      <c r="AI219" s="7"/>
      <c r="AJ219" s="7"/>
      <c r="AK219" s="7"/>
      <c r="AL219" s="7"/>
      <c r="AM219" s="7"/>
      <c r="AN219" s="7"/>
      <c r="AO219" s="7"/>
      <c r="AP219" s="7"/>
      <c r="AR219" s="496"/>
    </row>
    <row r="220" spans="1:44">
      <c r="A220" s="305" t="s">
        <v>351</v>
      </c>
      <c r="B220" s="577"/>
      <c r="C220" s="1011">
        <f ca="1">C257+C395+C501</f>
        <v>4745356.2778315768</v>
      </c>
      <c r="D220" s="305"/>
      <c r="E220" s="305"/>
      <c r="F220" s="993">
        <f ca="1">F257+F395+F501</f>
        <v>646735.19913938292</v>
      </c>
      <c r="G220" s="305"/>
      <c r="H220" s="305"/>
      <c r="I220" s="993">
        <f ca="1">F220</f>
        <v>646735.19913938292</v>
      </c>
      <c r="J220" s="723"/>
      <c r="K220" s="305"/>
      <c r="L220" s="305"/>
      <c r="M220" s="993" t="e">
        <f ca="1">$I$220*V224/($V$224+$W$224+$X$224)</f>
        <v>#DIV/0!</v>
      </c>
      <c r="N220" s="723"/>
      <c r="O220" s="305"/>
      <c r="P220" s="305"/>
      <c r="Q220" s="993" t="e">
        <f ca="1">$I$220*W224/($V$224+$W$224+$X$224)</f>
        <v>#DIV/0!</v>
      </c>
      <c r="R220" s="723"/>
      <c r="S220" s="305"/>
      <c r="T220" s="305"/>
      <c r="U220" s="993" t="e">
        <f ca="1">$I$220*X224/($V$224+$W$224+$X$224)</f>
        <v>#DIV/0!</v>
      </c>
      <c r="X220" s="446"/>
      <c r="Y220" s="446"/>
      <c r="AI220" s="7"/>
      <c r="AJ220" s="7"/>
      <c r="AK220" s="7"/>
      <c r="AL220" s="7"/>
      <c r="AM220" s="7"/>
      <c r="AN220" s="7"/>
      <c r="AO220" s="7"/>
      <c r="AP220" s="7"/>
      <c r="AR220" s="496"/>
    </row>
    <row r="221" spans="1:44" ht="16.5" thickBot="1">
      <c r="A221" s="305" t="s">
        <v>370</v>
      </c>
      <c r="B221" s="305"/>
      <c r="C221" s="1012">
        <f ca="1">SUM(C219:C220)</f>
        <v>554739131.83022392</v>
      </c>
      <c r="D221" s="1029"/>
      <c r="E221" s="1030"/>
      <c r="F221" s="995">
        <f ca="1">F219+F220</f>
        <v>52501065.199139386</v>
      </c>
      <c r="G221" s="1031"/>
      <c r="H221" s="1030"/>
      <c r="I221" s="995">
        <f ca="1">I219+I220</f>
        <v>52510373.199139386</v>
      </c>
      <c r="J221" s="995"/>
      <c r="K221" s="1031"/>
      <c r="L221" s="1030"/>
      <c r="M221" s="995" t="e">
        <f ca="1">M219+M220</f>
        <v>#REF!</v>
      </c>
      <c r="N221" s="995"/>
      <c r="O221" s="1031"/>
      <c r="P221" s="1030"/>
      <c r="Q221" s="995" t="e">
        <f ca="1">Q219+Q220</f>
        <v>#REF!</v>
      </c>
      <c r="R221" s="995"/>
      <c r="S221" s="1031"/>
      <c r="T221" s="1030"/>
      <c r="U221" s="995" t="e">
        <f ca="1">U219+U220</f>
        <v>#REF!</v>
      </c>
      <c r="V221" s="442" t="s">
        <v>397</v>
      </c>
      <c r="W221" s="997">
        <f ca="1">'Rate Spread targets'!Q24*1000</f>
        <v>53395651.760584846</v>
      </c>
      <c r="X221" s="998">
        <f ca="1">(I221-F221)/F221</f>
        <v>1.7729164093517439E-4</v>
      </c>
      <c r="Y221" s="453"/>
      <c r="Z221" s="54" t="s">
        <v>31</v>
      </c>
      <c r="AI221" s="7"/>
      <c r="AJ221" s="7"/>
      <c r="AK221" s="7"/>
      <c r="AL221" s="7"/>
      <c r="AM221" s="7"/>
      <c r="AN221" s="7"/>
      <c r="AO221" s="7"/>
      <c r="AP221" s="7"/>
      <c r="AR221" s="496"/>
    </row>
    <row r="222" spans="1:44" ht="16.5" thickTop="1">
      <c r="A222" s="305"/>
      <c r="B222" s="305"/>
      <c r="C222" s="999"/>
      <c r="D222" s="1032"/>
      <c r="E222" s="1033"/>
      <c r="F222" s="723"/>
      <c r="G222" s="1034"/>
      <c r="H222" s="1033"/>
      <c r="I222" s="723"/>
      <c r="J222" s="723"/>
      <c r="K222" s="1034"/>
      <c r="L222" s="1033"/>
      <c r="M222" s="723"/>
      <c r="N222" s="723"/>
      <c r="O222" s="1034"/>
      <c r="P222" s="1033"/>
      <c r="Q222" s="723"/>
      <c r="R222" s="723"/>
      <c r="S222" s="1034"/>
      <c r="T222" s="1033"/>
      <c r="U222" s="723" t="s">
        <v>31</v>
      </c>
      <c r="V222" s="568" t="s">
        <v>256</v>
      </c>
      <c r="W222" s="1001">
        <f ca="1">W221-I221</f>
        <v>885278.56144545972</v>
      </c>
      <c r="X222" s="451"/>
      <c r="Y222" s="453"/>
      <c r="Z222" s="54"/>
      <c r="AI222" s="7"/>
      <c r="AJ222" s="7"/>
      <c r="AK222" s="7"/>
      <c r="AL222" s="7"/>
      <c r="AM222" s="7"/>
      <c r="AN222" s="7"/>
      <c r="AO222" s="7"/>
      <c r="AP222" s="7"/>
      <c r="AR222" s="496"/>
    </row>
    <row r="223" spans="1:44">
      <c r="A223" s="305"/>
      <c r="B223" s="305"/>
      <c r="C223" s="999"/>
      <c r="D223" s="1032"/>
      <c r="E223" s="1033"/>
      <c r="F223" s="723"/>
      <c r="G223" s="1034"/>
      <c r="H223" s="1033"/>
      <c r="I223" s="723"/>
      <c r="J223" s="723"/>
      <c r="K223" s="1034"/>
      <c r="L223" s="1033"/>
      <c r="M223" s="723"/>
      <c r="N223" s="723"/>
      <c r="O223" s="1034"/>
      <c r="P223" s="1033"/>
      <c r="Q223" s="723"/>
      <c r="R223" s="723"/>
      <c r="S223" s="1034"/>
      <c r="T223" s="1033"/>
      <c r="U223" s="723" t="s">
        <v>31</v>
      </c>
      <c r="V223" s="1014"/>
      <c r="W223" s="1014"/>
      <c r="X223" s="540"/>
      <c r="Y223" s="453"/>
      <c r="Z223" s="54"/>
      <c r="AI223" s="7"/>
      <c r="AJ223" s="7"/>
      <c r="AK223" s="7"/>
      <c r="AL223" s="7"/>
      <c r="AM223" s="7"/>
      <c r="AN223" s="7"/>
      <c r="AO223" s="7"/>
      <c r="AP223" s="7"/>
      <c r="AR223" s="496"/>
    </row>
    <row r="224" spans="1:44">
      <c r="A224" s="305"/>
      <c r="B224" s="305"/>
      <c r="C224" s="61"/>
      <c r="D224" s="237"/>
      <c r="E224" s="305"/>
      <c r="F224" s="490" t="s">
        <v>31</v>
      </c>
      <c r="G224" s="237"/>
      <c r="H224" s="305"/>
      <c r="I224" s="490" t="s">
        <v>31</v>
      </c>
      <c r="J224" s="490"/>
      <c r="K224" s="237"/>
      <c r="L224" s="305"/>
      <c r="M224" s="490" t="s">
        <v>31</v>
      </c>
      <c r="N224" s="490"/>
      <c r="O224" s="237"/>
      <c r="P224" s="305"/>
      <c r="Q224" s="490" t="s">
        <v>31</v>
      </c>
      <c r="R224" s="490"/>
      <c r="S224" s="237"/>
      <c r="T224" s="305"/>
      <c r="U224" s="490" t="s">
        <v>31</v>
      </c>
      <c r="V224" s="988"/>
      <c r="W224" s="988"/>
      <c r="X224" s="988"/>
      <c r="Y224" s="654"/>
      <c r="AI224" s="7"/>
      <c r="AJ224" s="7"/>
      <c r="AK224" s="7"/>
      <c r="AL224" s="7"/>
      <c r="AM224" s="7"/>
      <c r="AN224" s="7"/>
      <c r="AO224" s="7"/>
      <c r="AP224" s="7"/>
      <c r="AR224" s="496"/>
    </row>
    <row r="225" spans="1:44">
      <c r="A225" s="305"/>
      <c r="B225" s="305"/>
      <c r="C225" s="61"/>
      <c r="D225" s="237"/>
      <c r="E225" s="305"/>
      <c r="F225" s="490"/>
      <c r="G225" s="237"/>
      <c r="H225" s="305"/>
      <c r="K225" s="237"/>
      <c r="L225" s="305"/>
      <c r="O225" s="237"/>
      <c r="P225" s="305"/>
      <c r="S225" s="237"/>
      <c r="T225" s="305"/>
      <c r="AI225" s="7"/>
      <c r="AJ225" s="7"/>
      <c r="AK225" s="7"/>
      <c r="AL225" s="7"/>
      <c r="AM225" s="7"/>
      <c r="AN225" s="7"/>
      <c r="AO225" s="7"/>
      <c r="AP225" s="7"/>
      <c r="AR225" s="496"/>
    </row>
    <row r="226" spans="1:44">
      <c r="A226" s="305" t="s">
        <v>375</v>
      </c>
      <c r="B226" s="305"/>
      <c r="C226" s="305"/>
      <c r="D226" s="490"/>
      <c r="E226" s="305"/>
      <c r="F226" s="305"/>
      <c r="G226" s="490"/>
      <c r="H226" s="305"/>
      <c r="I226" s="305"/>
      <c r="J226" s="305"/>
      <c r="K226" s="490"/>
      <c r="L226" s="305"/>
      <c r="M226" s="305"/>
      <c r="N226" s="305"/>
      <c r="O226" s="490"/>
      <c r="P226" s="305"/>
      <c r="Q226" s="305"/>
      <c r="R226" s="305"/>
      <c r="S226" s="490"/>
      <c r="T226" s="305"/>
      <c r="U226" s="305"/>
      <c r="W226" s="1035" t="s">
        <v>31</v>
      </c>
      <c r="X226" s="54"/>
      <c r="Y226" s="54"/>
      <c r="AI226" s="7"/>
      <c r="AJ226" s="7"/>
      <c r="AK226" s="7"/>
      <c r="AL226" s="7"/>
      <c r="AM226" s="7"/>
      <c r="AN226" s="7"/>
      <c r="AO226" s="7"/>
      <c r="AP226" s="7"/>
      <c r="AR226" s="496"/>
    </row>
    <row r="227" spans="1:44">
      <c r="A227" s="305" t="s">
        <v>398</v>
      </c>
      <c r="B227" s="305"/>
      <c r="C227" s="305"/>
      <c r="D227" s="490"/>
      <c r="E227" s="305"/>
      <c r="F227" s="305"/>
      <c r="G227" s="490"/>
      <c r="H227" s="305"/>
      <c r="I227" s="305"/>
      <c r="J227" s="305"/>
      <c r="K227" s="490"/>
      <c r="L227" s="305"/>
      <c r="M227" s="305"/>
      <c r="N227" s="305"/>
      <c r="O227" s="490"/>
      <c r="P227" s="305"/>
      <c r="Q227" s="305"/>
      <c r="R227" s="305"/>
      <c r="S227" s="490"/>
      <c r="T227" s="305"/>
      <c r="U227" s="305"/>
      <c r="V227" s="342"/>
      <c r="W227" s="31"/>
      <c r="X227" s="31"/>
      <c r="Y227" s="31"/>
      <c r="Z227" s="7"/>
      <c r="AA227" s="7"/>
      <c r="AB227" s="7"/>
      <c r="AC227" s="7"/>
      <c r="AD227" s="7"/>
      <c r="AE227" s="7"/>
      <c r="AF227" s="7"/>
      <c r="AG227" s="7"/>
      <c r="AH227" s="7"/>
      <c r="AI227" s="7"/>
      <c r="AJ227" s="7"/>
      <c r="AK227" s="7"/>
      <c r="AL227" s="7"/>
      <c r="AM227" s="7"/>
      <c r="AN227" s="7"/>
      <c r="AO227" s="7"/>
      <c r="AP227" s="7"/>
      <c r="AR227" s="496"/>
    </row>
    <row r="228" spans="1:44">
      <c r="A228" s="305"/>
      <c r="B228" s="305"/>
      <c r="C228" s="305"/>
      <c r="D228" s="490"/>
      <c r="E228" s="305"/>
      <c r="F228" s="305"/>
      <c r="G228" s="490"/>
      <c r="H228" s="305"/>
      <c r="I228" s="305"/>
      <c r="J228" s="305"/>
      <c r="K228" s="490"/>
      <c r="L228" s="305"/>
      <c r="M228" s="305"/>
      <c r="N228" s="305"/>
      <c r="O228" s="490"/>
      <c r="P228" s="305"/>
      <c r="Q228" s="305"/>
      <c r="R228" s="305"/>
      <c r="S228" s="490"/>
      <c r="T228" s="305"/>
      <c r="U228" s="305"/>
      <c r="V228" s="342"/>
      <c r="W228" s="31"/>
      <c r="X228" s="31"/>
      <c r="Y228" s="31"/>
      <c r="Z228" s="7"/>
      <c r="AA228" s="7"/>
      <c r="AB228" s="7"/>
      <c r="AC228" s="7"/>
      <c r="AD228" s="7"/>
      <c r="AE228" s="7"/>
      <c r="AF228" s="7"/>
      <c r="AG228" s="7"/>
      <c r="AH228" s="7"/>
      <c r="AI228" s="7"/>
      <c r="AJ228" s="7"/>
      <c r="AK228" s="7"/>
      <c r="AL228" s="7"/>
      <c r="AM228" s="7"/>
      <c r="AN228" s="7"/>
      <c r="AO228" s="7"/>
      <c r="AP228" s="7"/>
      <c r="AR228" s="496"/>
    </row>
    <row r="229" spans="1:44">
      <c r="A229" s="305" t="s">
        <v>381</v>
      </c>
      <c r="B229" s="305"/>
      <c r="C229" s="61"/>
      <c r="D229" s="490"/>
      <c r="E229" s="305"/>
      <c r="F229" s="305"/>
      <c r="G229" s="490"/>
      <c r="H229" s="305"/>
      <c r="I229" s="305"/>
      <c r="J229" s="305"/>
      <c r="K229" s="490"/>
      <c r="L229" s="305"/>
      <c r="M229" s="305"/>
      <c r="N229" s="305"/>
      <c r="O229" s="490"/>
      <c r="P229" s="305"/>
      <c r="Q229" s="305"/>
      <c r="R229" s="305"/>
      <c r="S229" s="490"/>
      <c r="T229" s="305"/>
      <c r="U229" s="305"/>
      <c r="V229" s="7"/>
      <c r="W229" s="31"/>
      <c r="X229" s="31"/>
      <c r="Y229" s="31"/>
      <c r="Z229" s="7"/>
      <c r="AA229" s="7"/>
      <c r="AB229" s="7"/>
      <c r="AC229" s="7"/>
      <c r="AD229" s="7"/>
      <c r="AE229" s="7"/>
      <c r="AF229" s="7"/>
      <c r="AG229" s="7"/>
      <c r="AH229" s="7"/>
      <c r="AI229" s="7"/>
      <c r="AJ229" s="7"/>
      <c r="AK229" s="7"/>
      <c r="AL229" s="7"/>
      <c r="AM229" s="7"/>
      <c r="AN229" s="7"/>
      <c r="AO229" s="7"/>
      <c r="AP229" s="7"/>
      <c r="AR229" s="496"/>
    </row>
    <row r="230" spans="1:44">
      <c r="A230" s="305" t="s">
        <v>378</v>
      </c>
      <c r="B230" s="305"/>
      <c r="C230" s="61">
        <f>C299+C333+C264</f>
        <v>168732.33333333232</v>
      </c>
      <c r="D230" s="448">
        <f>$D$189</f>
        <v>9.99</v>
      </c>
      <c r="E230" s="305"/>
      <c r="F230" s="490">
        <f>F299+F333+F264</f>
        <v>1685636</v>
      </c>
      <c r="G230" s="448">
        <f>$G$189</f>
        <v>9.99</v>
      </c>
      <c r="H230" s="305"/>
      <c r="I230" s="490">
        <f>I299+I333+I264</f>
        <v>1685636</v>
      </c>
      <c r="J230" s="490"/>
      <c r="K230" s="448" t="e">
        <f>$K$189</f>
        <v>#REF!</v>
      </c>
      <c r="L230" s="305"/>
      <c r="M230" s="490" t="e">
        <f>M299+M333+M264</f>
        <v>#REF!</v>
      </c>
      <c r="N230" s="490"/>
      <c r="O230" s="448" t="e">
        <f>$O$189</f>
        <v>#REF!</v>
      </c>
      <c r="P230" s="305"/>
      <c r="Q230" s="490" t="e">
        <f>Q299+Q333+Q264</f>
        <v>#REF!</v>
      </c>
      <c r="R230" s="490"/>
      <c r="S230" s="448" t="e">
        <f>$S$189</f>
        <v>#REF!</v>
      </c>
      <c r="T230" s="305"/>
      <c r="U230" s="490" t="e">
        <f>U299+U333+U264</f>
        <v>#REF!</v>
      </c>
      <c r="V230" s="7"/>
      <c r="W230" s="31"/>
      <c r="X230" s="31"/>
      <c r="Y230" s="31"/>
      <c r="Z230" s="7"/>
      <c r="AA230" s="7"/>
      <c r="AB230" s="7"/>
      <c r="AC230" s="7"/>
      <c r="AD230" s="7"/>
      <c r="AE230" s="7"/>
      <c r="AF230" s="7"/>
      <c r="AG230" s="7"/>
      <c r="AH230" s="7"/>
      <c r="AI230" s="7"/>
      <c r="AJ230" s="7"/>
      <c r="AK230" s="7"/>
      <c r="AL230" s="7"/>
      <c r="AM230" s="7"/>
      <c r="AN230" s="7"/>
      <c r="AO230" s="7"/>
      <c r="AP230" s="7"/>
      <c r="AR230" s="496"/>
    </row>
    <row r="231" spans="1:44">
      <c r="A231" s="305" t="s">
        <v>379</v>
      </c>
      <c r="B231" s="305"/>
      <c r="C231" s="61">
        <f>C300+C334+C265</f>
        <v>68177.199999999793</v>
      </c>
      <c r="D231" s="448">
        <f>$D$190</f>
        <v>14.89</v>
      </c>
      <c r="E231" s="1004"/>
      <c r="F231" s="490">
        <f>F300+F334+F265</f>
        <v>1015159</v>
      </c>
      <c r="G231" s="448">
        <f>$G$190</f>
        <v>14.89</v>
      </c>
      <c r="H231" s="1004"/>
      <c r="I231" s="490">
        <f>I300+I334+I265</f>
        <v>1015159</v>
      </c>
      <c r="J231" s="490"/>
      <c r="K231" s="448" t="e">
        <f>$K$190</f>
        <v>#REF!</v>
      </c>
      <c r="L231" s="1004"/>
      <c r="M231" s="490" t="e">
        <f>M300+M334+M265</f>
        <v>#REF!</v>
      </c>
      <c r="N231" s="490"/>
      <c r="O231" s="448" t="e">
        <f>$O$190</f>
        <v>#REF!</v>
      </c>
      <c r="P231" s="1004"/>
      <c r="Q231" s="490" t="e">
        <f>Q300+Q334+Q265</f>
        <v>#REF!</v>
      </c>
      <c r="R231" s="490"/>
      <c r="S231" s="448" t="e">
        <f>$S$190</f>
        <v>#REF!</v>
      </c>
      <c r="T231" s="1004"/>
      <c r="U231" s="490" t="e">
        <f>U300+U334+U265</f>
        <v>#REF!</v>
      </c>
      <c r="V231" s="7"/>
      <c r="W231" s="31"/>
      <c r="X231" s="31"/>
      <c r="Y231" s="31"/>
      <c r="Z231" s="7"/>
      <c r="AA231" s="7"/>
      <c r="AB231" s="7"/>
      <c r="AC231" s="7"/>
      <c r="AD231" s="7"/>
      <c r="AE231" s="7"/>
      <c r="AF231" s="7"/>
      <c r="AG231" s="7"/>
      <c r="AH231" s="7"/>
      <c r="AI231" s="7"/>
      <c r="AJ231" s="7"/>
      <c r="AK231" s="7"/>
      <c r="AL231" s="7"/>
      <c r="AM231" s="7"/>
      <c r="AN231" s="7"/>
      <c r="AO231" s="7"/>
      <c r="AP231" s="7"/>
      <c r="AR231" s="496"/>
    </row>
    <row r="232" spans="1:44">
      <c r="A232" s="305" t="s">
        <v>380</v>
      </c>
      <c r="B232" s="305"/>
      <c r="C232" s="61">
        <f>C301+C335+C266</f>
        <v>1269889</v>
      </c>
      <c r="D232" s="448">
        <f>$D$191</f>
        <v>1.04</v>
      </c>
      <c r="E232" s="1004"/>
      <c r="F232" s="490">
        <f>F301+F335+F266</f>
        <v>1320685</v>
      </c>
      <c r="G232" s="448">
        <f>$G$191</f>
        <v>1.04</v>
      </c>
      <c r="H232" s="1004"/>
      <c r="I232" s="490">
        <f>I301+I335+I266</f>
        <v>1320685</v>
      </c>
      <c r="J232" s="490"/>
      <c r="K232" s="448" t="e">
        <f>$K$191</f>
        <v>#REF!</v>
      </c>
      <c r="L232" s="1004"/>
      <c r="M232" s="490" t="e">
        <f>M301+M335+M266</f>
        <v>#REF!</v>
      </c>
      <c r="N232" s="490"/>
      <c r="O232" s="448" t="e">
        <f>$O$191</f>
        <v>#REF!</v>
      </c>
      <c r="P232" s="1004"/>
      <c r="Q232" s="490" t="e">
        <f>Q301+Q335+Q266</f>
        <v>#REF!</v>
      </c>
      <c r="R232" s="490"/>
      <c r="S232" s="448" t="e">
        <f>$S$191</f>
        <v>#REF!</v>
      </c>
      <c r="T232" s="1004"/>
      <c r="U232" s="490" t="e">
        <f>U301+U335+U266</f>
        <v>#REF!</v>
      </c>
      <c r="V232" s="7"/>
      <c r="W232" s="31"/>
      <c r="X232" s="31"/>
      <c r="Y232" s="31"/>
      <c r="Z232" s="7"/>
      <c r="AA232" s="7"/>
      <c r="AB232" s="7"/>
      <c r="AC232" s="7"/>
      <c r="AD232" s="7"/>
      <c r="AE232" s="7"/>
      <c r="AF232" s="7"/>
      <c r="AG232" s="7"/>
      <c r="AH232" s="7"/>
      <c r="AI232" s="7"/>
      <c r="AJ232" s="7"/>
      <c r="AK232" s="7"/>
      <c r="AL232" s="7"/>
      <c r="AM232" s="7"/>
      <c r="AN232" s="7"/>
      <c r="AO232" s="7"/>
      <c r="AP232" s="7"/>
      <c r="AR232" s="496"/>
    </row>
    <row r="233" spans="1:44">
      <c r="A233" s="305" t="s">
        <v>382</v>
      </c>
      <c r="B233" s="305"/>
      <c r="C233" s="61">
        <f>SUM(C230:C231)</f>
        <v>236909.5333333321</v>
      </c>
      <c r="D233" s="448"/>
      <c r="E233" s="305"/>
      <c r="F233" s="490"/>
      <c r="G233" s="448"/>
      <c r="H233" s="305"/>
      <c r="I233" s="490"/>
      <c r="J233" s="490"/>
      <c r="K233" s="448"/>
      <c r="L233" s="305"/>
      <c r="M233" s="490"/>
      <c r="N233" s="490"/>
      <c r="O233" s="448"/>
      <c r="P233" s="305"/>
      <c r="Q233" s="490"/>
      <c r="R233" s="490"/>
      <c r="S233" s="448"/>
      <c r="T233" s="305"/>
      <c r="U233" s="490"/>
      <c r="V233" s="7"/>
      <c r="W233" s="31"/>
      <c r="X233" s="31"/>
      <c r="Y233" s="31"/>
      <c r="Z233" s="7"/>
      <c r="AA233" s="7"/>
      <c r="AB233" s="7"/>
      <c r="AC233" s="7"/>
      <c r="AD233" s="7"/>
      <c r="AE233" s="7"/>
      <c r="AF233" s="7"/>
      <c r="AG233" s="7"/>
      <c r="AH233" s="7"/>
      <c r="AI233" s="7"/>
      <c r="AJ233" s="7"/>
      <c r="AK233" s="7"/>
      <c r="AL233" s="7"/>
      <c r="AM233" s="7"/>
      <c r="AN233" s="7"/>
      <c r="AO233" s="7"/>
      <c r="AP233" s="7"/>
      <c r="AR233" s="496"/>
    </row>
    <row r="234" spans="1:44">
      <c r="A234" s="305" t="s">
        <v>383</v>
      </c>
      <c r="B234" s="305"/>
      <c r="C234" s="61">
        <f>C303+C337+C268</f>
        <v>790481</v>
      </c>
      <c r="D234" s="237">
        <f>$D$194</f>
        <v>3.8</v>
      </c>
      <c r="E234" s="305"/>
      <c r="F234" s="490">
        <f>F303+F337+F268</f>
        <v>3003827</v>
      </c>
      <c r="G234" s="237">
        <f>$G$194</f>
        <v>3.8099999999999996</v>
      </c>
      <c r="H234" s="305"/>
      <c r="I234" s="490">
        <f>I303+I337+I268</f>
        <v>3011733</v>
      </c>
      <c r="J234" s="490"/>
      <c r="K234" s="237" t="e">
        <f>$K$194</f>
        <v>#REF!</v>
      </c>
      <c r="L234" s="305"/>
      <c r="M234" s="490" t="e">
        <f>M303+M337+M268</f>
        <v>#REF!</v>
      </c>
      <c r="N234" s="490"/>
      <c r="O234" s="237" t="e">
        <f>$O$194</f>
        <v>#REF!</v>
      </c>
      <c r="P234" s="305"/>
      <c r="Q234" s="490" t="e">
        <f>Q303+Q337+Q268</f>
        <v>#REF!</v>
      </c>
      <c r="R234" s="490"/>
      <c r="S234" s="237" t="e">
        <f>$S$194</f>
        <v>#REF!</v>
      </c>
      <c r="T234" s="305"/>
      <c r="U234" s="490" t="e">
        <f>U303+U337+U268</f>
        <v>#REF!</v>
      </c>
      <c r="V234" s="7"/>
      <c r="W234" s="31"/>
      <c r="X234" s="31"/>
      <c r="Y234" s="31"/>
      <c r="Z234" s="7"/>
      <c r="AA234" s="7"/>
      <c r="AB234" s="7"/>
      <c r="AC234" s="7"/>
      <c r="AD234" s="7"/>
      <c r="AE234" s="7"/>
      <c r="AF234" s="7"/>
      <c r="AG234" s="7"/>
      <c r="AH234" s="7"/>
      <c r="AI234" s="7"/>
      <c r="AJ234" s="7"/>
      <c r="AK234" s="7"/>
      <c r="AL234" s="7"/>
      <c r="AM234" s="7"/>
      <c r="AN234" s="7"/>
      <c r="AO234" s="7"/>
      <c r="AP234" s="7"/>
      <c r="AR234" s="496"/>
    </row>
    <row r="235" spans="1:44">
      <c r="A235" s="305" t="s">
        <v>385</v>
      </c>
      <c r="B235" s="305"/>
      <c r="C235" s="61">
        <f>C304+C338+C269</f>
        <v>135323558.69232529</v>
      </c>
      <c r="D235" s="1006">
        <f>$D$195</f>
        <v>10.878</v>
      </c>
      <c r="E235" s="305" t="s">
        <v>362</v>
      </c>
      <c r="F235" s="490">
        <f>F304+F338+F269</f>
        <v>14720496</v>
      </c>
      <c r="G235" s="1006">
        <f>$G$195</f>
        <v>10.879</v>
      </c>
      <c r="H235" s="305" t="s">
        <v>362</v>
      </c>
      <c r="I235" s="490">
        <f>I304+I338+I269</f>
        <v>14721850</v>
      </c>
      <c r="J235" s="490"/>
      <c r="K235" s="1006" t="e">
        <f>$K$195</f>
        <v>#REF!</v>
      </c>
      <c r="L235" s="305" t="s">
        <v>362</v>
      </c>
      <c r="M235" s="490" t="e">
        <f>M304+M338+M269</f>
        <v>#REF!</v>
      </c>
      <c r="N235" s="490"/>
      <c r="O235" s="1006" t="e">
        <f>$O$195</f>
        <v>#REF!</v>
      </c>
      <c r="P235" s="305" t="s">
        <v>362</v>
      </c>
      <c r="Q235" s="490" t="e">
        <f>Q304+Q338+Q269</f>
        <v>#REF!</v>
      </c>
      <c r="R235" s="490"/>
      <c r="S235" s="1006" t="e">
        <f>$S$195</f>
        <v>#REF!</v>
      </c>
      <c r="T235" s="305" t="s">
        <v>362</v>
      </c>
      <c r="U235" s="490" t="e">
        <f>U304+U338+U269</f>
        <v>#REF!</v>
      </c>
      <c r="V235" s="7"/>
      <c r="W235" s="31"/>
      <c r="X235" s="31"/>
      <c r="Y235" s="31"/>
      <c r="Z235" s="7"/>
      <c r="AA235" s="7"/>
      <c r="AB235" s="7"/>
      <c r="AC235" s="7"/>
      <c r="AD235" s="7"/>
      <c r="AE235" s="7"/>
      <c r="AF235" s="7"/>
      <c r="AG235" s="7"/>
      <c r="AH235" s="7"/>
      <c r="AI235" s="7"/>
      <c r="AJ235" s="7"/>
      <c r="AK235" s="7"/>
      <c r="AL235" s="7"/>
      <c r="AM235" s="7"/>
      <c r="AN235" s="7"/>
      <c r="AO235" s="7"/>
      <c r="AP235" s="7"/>
      <c r="AR235" s="496"/>
    </row>
    <row r="236" spans="1:44">
      <c r="A236" s="305" t="s">
        <v>386</v>
      </c>
      <c r="B236" s="305"/>
      <c r="C236" s="61">
        <f>C305+C339+C270</f>
        <v>291219231.15769178</v>
      </c>
      <c r="D236" s="1006">
        <f>$D$196</f>
        <v>7.5140000000000002</v>
      </c>
      <c r="E236" s="305" t="s">
        <v>362</v>
      </c>
      <c r="F236" s="490">
        <f>F305+F339+F270</f>
        <v>21882213</v>
      </c>
      <c r="G236" s="1006">
        <f>$G$196</f>
        <v>7.5140000000000002</v>
      </c>
      <c r="H236" s="305" t="s">
        <v>362</v>
      </c>
      <c r="I236" s="490">
        <f>I305+I339+I270</f>
        <v>21882213</v>
      </c>
      <c r="J236" s="490"/>
      <c r="K236" s="1006" t="e">
        <f>$K$196</f>
        <v>#REF!</v>
      </c>
      <c r="L236" s="305" t="s">
        <v>362</v>
      </c>
      <c r="M236" s="490" t="e">
        <f>M305+M339+M270</f>
        <v>#REF!</v>
      </c>
      <c r="N236" s="490"/>
      <c r="O236" s="1006" t="e">
        <f>$O$196</f>
        <v>#REF!</v>
      </c>
      <c r="P236" s="305" t="s">
        <v>362</v>
      </c>
      <c r="Q236" s="490" t="e">
        <f>Q305+Q339+Q270</f>
        <v>#REF!</v>
      </c>
      <c r="R236" s="490"/>
      <c r="S236" s="1006" t="e">
        <f>$S$196</f>
        <v>#REF!</v>
      </c>
      <c r="T236" s="305" t="s">
        <v>362</v>
      </c>
      <c r="U236" s="490" t="e">
        <f>U305+U339+U270</f>
        <v>#REF!</v>
      </c>
      <c r="V236" s="7"/>
      <c r="W236" s="31"/>
      <c r="X236" s="31"/>
      <c r="Y236" s="31"/>
      <c r="Z236" s="7"/>
      <c r="AA236" s="7"/>
      <c r="AB236" s="7"/>
      <c r="AC236" s="7"/>
      <c r="AD236" s="7"/>
      <c r="AE236" s="7"/>
      <c r="AF236" s="7"/>
      <c r="AG236" s="7"/>
      <c r="AH236" s="7"/>
      <c r="AI236" s="7"/>
      <c r="AJ236" s="7"/>
      <c r="AK236" s="7"/>
      <c r="AL236" s="7"/>
      <c r="AM236" s="7"/>
      <c r="AN236" s="7"/>
      <c r="AO236" s="7"/>
      <c r="AP236" s="7"/>
      <c r="AR236" s="496"/>
    </row>
    <row r="237" spans="1:44">
      <c r="A237" s="305" t="s">
        <v>387</v>
      </c>
      <c r="B237" s="305"/>
      <c r="C237" s="61">
        <f>C306+C340+C271</f>
        <v>122057286.54865542</v>
      </c>
      <c r="D237" s="1006">
        <f>$D$197</f>
        <v>6.4720000000000004</v>
      </c>
      <c r="E237" s="305" t="s">
        <v>362</v>
      </c>
      <c r="F237" s="490">
        <f>F306+F340+F271</f>
        <v>7899548</v>
      </c>
      <c r="G237" s="1006">
        <f>$G$197</f>
        <v>6.4720000000000004</v>
      </c>
      <c r="H237" s="305" t="s">
        <v>362</v>
      </c>
      <c r="I237" s="490">
        <f>I306+I340+I271</f>
        <v>7899548</v>
      </c>
      <c r="J237" s="490"/>
      <c r="K237" s="1006" t="e">
        <f>$K$197</f>
        <v>#REF!</v>
      </c>
      <c r="L237" s="305" t="s">
        <v>362</v>
      </c>
      <c r="M237" s="490" t="e">
        <f>M306+M340+M271</f>
        <v>#REF!</v>
      </c>
      <c r="N237" s="490"/>
      <c r="O237" s="1006" t="e">
        <f>$O$197</f>
        <v>#REF!</v>
      </c>
      <c r="P237" s="305" t="s">
        <v>362</v>
      </c>
      <c r="Q237" s="490" t="e">
        <f>Q306+Q340+Q271</f>
        <v>#REF!</v>
      </c>
      <c r="R237" s="490"/>
      <c r="S237" s="1006" t="e">
        <f>$S$197</f>
        <v>#REF!</v>
      </c>
      <c r="T237" s="305" t="s">
        <v>362</v>
      </c>
      <c r="U237" s="490" t="e">
        <f>U306+U340+U271</f>
        <v>#REF!</v>
      </c>
      <c r="V237" s="7"/>
      <c r="W237" s="31"/>
      <c r="X237" s="31"/>
      <c r="Y237" s="31"/>
      <c r="Z237" s="7"/>
      <c r="AA237" s="7"/>
      <c r="AB237" s="7"/>
      <c r="AC237" s="7"/>
      <c r="AD237" s="7"/>
      <c r="AE237" s="7"/>
      <c r="AF237" s="7"/>
      <c r="AG237" s="7"/>
      <c r="AH237" s="7"/>
      <c r="AI237" s="7"/>
      <c r="AJ237" s="7"/>
      <c r="AK237" s="7"/>
      <c r="AL237" s="7"/>
      <c r="AM237" s="7"/>
      <c r="AN237" s="7"/>
      <c r="AO237" s="7"/>
      <c r="AP237" s="7"/>
      <c r="AR237" s="496"/>
    </row>
    <row r="238" spans="1:44">
      <c r="A238" s="305" t="s">
        <v>388</v>
      </c>
      <c r="B238" s="305"/>
      <c r="C238" s="61">
        <f>C307+C341+C272</f>
        <v>120246.76666666659</v>
      </c>
      <c r="D238" s="237">
        <f>$D$198</f>
        <v>58</v>
      </c>
      <c r="E238" s="305" t="s">
        <v>362</v>
      </c>
      <c r="F238" s="490">
        <f>F307+F341+F272</f>
        <v>69743</v>
      </c>
      <c r="G238" s="1021">
        <f>$G$198</f>
        <v>58</v>
      </c>
      <c r="H238" s="305" t="s">
        <v>362</v>
      </c>
      <c r="I238" s="490">
        <f>I307+I341+I272</f>
        <v>69743</v>
      </c>
      <c r="J238" s="490"/>
      <c r="K238" s="1021" t="e">
        <f>$K$198</f>
        <v>#REF!</v>
      </c>
      <c r="L238" s="305" t="s">
        <v>362</v>
      </c>
      <c r="M238" s="490" t="e">
        <f>M307+M341+M272</f>
        <v>#REF!</v>
      </c>
      <c r="N238" s="490"/>
      <c r="O238" s="1021" t="e">
        <f>$O$198</f>
        <v>#REF!</v>
      </c>
      <c r="P238" s="305" t="s">
        <v>362</v>
      </c>
      <c r="Q238" s="490" t="e">
        <f>Q307+Q341+Q272</f>
        <v>#REF!</v>
      </c>
      <c r="R238" s="490"/>
      <c r="S238" s="1021" t="e">
        <f>$S$198</f>
        <v>#REF!</v>
      </c>
      <c r="T238" s="305" t="s">
        <v>362</v>
      </c>
      <c r="U238" s="490" t="e">
        <f>U307+U341+U272</f>
        <v>#REF!</v>
      </c>
      <c r="V238" s="7"/>
      <c r="W238" s="31"/>
      <c r="X238" s="31"/>
      <c r="Y238" s="31"/>
      <c r="Z238" s="7"/>
      <c r="AA238" s="7"/>
      <c r="AB238" s="7"/>
      <c r="AC238" s="7"/>
      <c r="AD238" s="7"/>
      <c r="AE238" s="7"/>
      <c r="AF238" s="7"/>
      <c r="AG238" s="7"/>
      <c r="AH238" s="7"/>
      <c r="AI238" s="7"/>
      <c r="AJ238" s="7"/>
      <c r="AK238" s="7"/>
      <c r="AL238" s="7"/>
      <c r="AM238" s="7"/>
      <c r="AN238" s="7"/>
      <c r="AO238" s="7"/>
      <c r="AP238" s="7"/>
      <c r="AR238" s="496"/>
    </row>
    <row r="239" spans="1:44" s="588" customFormat="1" hidden="1">
      <c r="A239" s="588" t="s">
        <v>771</v>
      </c>
      <c r="C239" s="604">
        <f>C235</f>
        <v>135323558.69232529</v>
      </c>
      <c r="D239" s="987">
        <v>0</v>
      </c>
      <c r="E239" s="592" t="s">
        <v>362</v>
      </c>
      <c r="F239" s="616"/>
      <c r="G239" s="987">
        <f>G199</f>
        <v>0</v>
      </c>
      <c r="H239" s="592" t="s">
        <v>362</v>
      </c>
      <c r="I239" s="616">
        <f>I273+I308+I342</f>
        <v>0</v>
      </c>
      <c r="J239" s="616"/>
      <c r="K239" s="987" t="e">
        <f>K199</f>
        <v>#REF!</v>
      </c>
      <c r="L239" s="592" t="s">
        <v>362</v>
      </c>
      <c r="M239" s="616" t="e">
        <f>M273+M308+M342</f>
        <v>#REF!</v>
      </c>
      <c r="N239" s="616"/>
      <c r="O239" s="987" t="e">
        <f>O199</f>
        <v>#REF!</v>
      </c>
      <c r="P239" s="592" t="s">
        <v>362</v>
      </c>
      <c r="Q239" s="616" t="e">
        <f>Q273+Q308+Q342</f>
        <v>#REF!</v>
      </c>
      <c r="R239" s="616"/>
      <c r="S239" s="987" t="e">
        <f>S199</f>
        <v>#REF!</v>
      </c>
      <c r="T239" s="592" t="s">
        <v>362</v>
      </c>
      <c r="U239" s="616" t="e">
        <f>U273+U308+U342</f>
        <v>#REF!</v>
      </c>
      <c r="W239" s="450"/>
      <c r="Z239" s="989"/>
      <c r="AA239" s="989"/>
      <c r="AF239" s="635"/>
      <c r="AG239" s="635"/>
      <c r="AH239" s="635"/>
      <c r="AI239" s="635"/>
      <c r="AJ239" s="635"/>
      <c r="AK239" s="635"/>
      <c r="AL239" s="635"/>
      <c r="AM239" s="635"/>
      <c r="AN239" s="635"/>
      <c r="AO239" s="635"/>
      <c r="AP239" s="635"/>
      <c r="AR239" s="988"/>
    </row>
    <row r="240" spans="1:44" s="588" customFormat="1" hidden="1">
      <c r="A240" s="588" t="s">
        <v>772</v>
      </c>
      <c r="C240" s="604">
        <f t="shared" ref="C240:C241" si="36">C236</f>
        <v>291219231.15769178</v>
      </c>
      <c r="D240" s="987">
        <v>0</v>
      </c>
      <c r="E240" s="592" t="s">
        <v>362</v>
      </c>
      <c r="F240" s="616"/>
      <c r="G240" s="987">
        <f>G200</f>
        <v>0</v>
      </c>
      <c r="H240" s="592" t="s">
        <v>362</v>
      </c>
      <c r="I240" s="616">
        <f t="shared" ref="I240:I241" si="37">I274+I309+I343</f>
        <v>0</v>
      </c>
      <c r="J240" s="616"/>
      <c r="K240" s="987" t="e">
        <f>K200</f>
        <v>#REF!</v>
      </c>
      <c r="L240" s="592" t="s">
        <v>362</v>
      </c>
      <c r="M240" s="616" t="e">
        <f t="shared" ref="M240:M241" si="38">M274+M309+M343</f>
        <v>#REF!</v>
      </c>
      <c r="N240" s="616"/>
      <c r="O240" s="987" t="e">
        <f>O200</f>
        <v>#REF!</v>
      </c>
      <c r="P240" s="592" t="s">
        <v>362</v>
      </c>
      <c r="Q240" s="616" t="e">
        <f t="shared" ref="Q240:Q241" si="39">Q274+Q309+Q343</f>
        <v>#REF!</v>
      </c>
      <c r="R240" s="616"/>
      <c r="S240" s="987" t="e">
        <f>S200</f>
        <v>#REF!</v>
      </c>
      <c r="T240" s="592" t="s">
        <v>362</v>
      </c>
      <c r="U240" s="616" t="e">
        <f t="shared" ref="U240:U241" si="40">U274+U309+U343</f>
        <v>#REF!</v>
      </c>
      <c r="W240" s="450"/>
      <c r="Z240" s="989"/>
      <c r="AA240" s="989"/>
      <c r="AF240" s="635"/>
      <c r="AG240" s="635"/>
      <c r="AH240" s="635"/>
      <c r="AI240" s="635"/>
      <c r="AJ240" s="635"/>
      <c r="AK240" s="635"/>
      <c r="AL240" s="635"/>
      <c r="AM240" s="635"/>
      <c r="AN240" s="635"/>
      <c r="AO240" s="635"/>
      <c r="AP240" s="635"/>
      <c r="AR240" s="988"/>
    </row>
    <row r="241" spans="1:44" s="588" customFormat="1" hidden="1">
      <c r="A241" s="588" t="s">
        <v>773</v>
      </c>
      <c r="C241" s="604">
        <f t="shared" si="36"/>
        <v>122057286.54865542</v>
      </c>
      <c r="D241" s="987">
        <v>0</v>
      </c>
      <c r="E241" s="592" t="s">
        <v>362</v>
      </c>
      <c r="F241" s="616"/>
      <c r="G241" s="987">
        <f>G201</f>
        <v>0</v>
      </c>
      <c r="H241" s="592" t="s">
        <v>362</v>
      </c>
      <c r="I241" s="616">
        <f t="shared" si="37"/>
        <v>0</v>
      </c>
      <c r="J241" s="616"/>
      <c r="K241" s="987" t="e">
        <f>K201</f>
        <v>#REF!</v>
      </c>
      <c r="L241" s="592" t="s">
        <v>362</v>
      </c>
      <c r="M241" s="616" t="e">
        <f t="shared" si="38"/>
        <v>#REF!</v>
      </c>
      <c r="N241" s="616"/>
      <c r="O241" s="987" t="e">
        <f>O201</f>
        <v>#REF!</v>
      </c>
      <c r="P241" s="592" t="s">
        <v>362</v>
      </c>
      <c r="Q241" s="616" t="e">
        <f t="shared" si="39"/>
        <v>#REF!</v>
      </c>
      <c r="R241" s="616"/>
      <c r="S241" s="987" t="e">
        <f>S201</f>
        <v>#REF!</v>
      </c>
      <c r="T241" s="592" t="s">
        <v>362</v>
      </c>
      <c r="U241" s="616" t="e">
        <f t="shared" si="40"/>
        <v>#REF!</v>
      </c>
      <c r="W241" s="450" t="s">
        <v>31</v>
      </c>
      <c r="Z241" s="989"/>
      <c r="AA241" s="989"/>
      <c r="AF241" s="635"/>
      <c r="AG241" s="635"/>
      <c r="AH241" s="635"/>
      <c r="AI241" s="635"/>
      <c r="AJ241" s="635"/>
      <c r="AK241" s="635"/>
      <c r="AL241" s="635"/>
      <c r="AM241" s="635"/>
      <c r="AN241" s="635"/>
      <c r="AO241" s="635"/>
      <c r="AP241" s="635"/>
      <c r="AR241" s="988"/>
    </row>
    <row r="242" spans="1:44">
      <c r="A242" s="244" t="s">
        <v>389</v>
      </c>
      <c r="B242" s="305"/>
      <c r="C242" s="61"/>
      <c r="D242" s="1023">
        <f>$D$205</f>
        <v>-0.01</v>
      </c>
      <c r="E242" s="305"/>
      <c r="F242" s="490"/>
      <c r="G242" s="1023">
        <v>-0.01</v>
      </c>
      <c r="H242" s="305"/>
      <c r="I242" s="490"/>
      <c r="J242" s="490"/>
      <c r="K242" s="1023">
        <v>-0.01</v>
      </c>
      <c r="L242" s="305"/>
      <c r="M242" s="490"/>
      <c r="N242" s="490"/>
      <c r="O242" s="1023">
        <v>-0.01</v>
      </c>
      <c r="P242" s="305"/>
      <c r="Q242" s="490"/>
      <c r="R242" s="490"/>
      <c r="S242" s="1023">
        <v>-0.01</v>
      </c>
      <c r="T242" s="305"/>
      <c r="U242" s="490"/>
      <c r="V242" s="7"/>
      <c r="W242" s="31" t="s">
        <v>31</v>
      </c>
      <c r="X242" s="31"/>
      <c r="Y242" s="31"/>
      <c r="Z242" s="7"/>
      <c r="AA242" s="7"/>
      <c r="AB242" s="7"/>
      <c r="AC242" s="7"/>
      <c r="AD242" s="7"/>
      <c r="AE242" s="7"/>
      <c r="AF242" s="7"/>
      <c r="AG242" s="7"/>
      <c r="AH242" s="7"/>
      <c r="AI242" s="7"/>
      <c r="AJ242" s="7"/>
      <c r="AK242" s="7"/>
      <c r="AL242" s="7"/>
      <c r="AM242" s="7"/>
      <c r="AN242" s="7"/>
      <c r="AO242" s="7"/>
      <c r="AP242" s="7"/>
      <c r="AR242" s="496"/>
    </row>
    <row r="243" spans="1:44">
      <c r="A243" s="305" t="s">
        <v>378</v>
      </c>
      <c r="B243" s="305"/>
      <c r="C243" s="61">
        <f t="shared" ref="C243:C252" si="41">C312+C346+C277</f>
        <v>83.966666666666697</v>
      </c>
      <c r="D243" s="237">
        <f>$D$230</f>
        <v>9.99</v>
      </c>
      <c r="E243" s="490"/>
      <c r="F243" s="490">
        <f t="shared" ref="F243:F252" si="42">F312+F346+F277</f>
        <v>-8</v>
      </c>
      <c r="G243" s="237">
        <f>G230</f>
        <v>9.99</v>
      </c>
      <c r="H243" s="490"/>
      <c r="I243" s="490">
        <f t="shared" ref="I243:I252" si="43">I312+I346+I277</f>
        <v>-8</v>
      </c>
      <c r="J243" s="490"/>
      <c r="K243" s="237" t="e">
        <f>K230</f>
        <v>#REF!</v>
      </c>
      <c r="L243" s="490"/>
      <c r="M243" s="490" t="e">
        <f t="shared" ref="M243:M252" si="44">M312+M346+M277</f>
        <v>#REF!</v>
      </c>
      <c r="N243" s="490"/>
      <c r="O243" s="237" t="e">
        <f>O230</f>
        <v>#REF!</v>
      </c>
      <c r="P243" s="490"/>
      <c r="Q243" s="490" t="e">
        <f t="shared" ref="Q243:Q252" si="45">Q312+Q346+Q277</f>
        <v>#REF!</v>
      </c>
      <c r="R243" s="490"/>
      <c r="S243" s="237" t="e">
        <f>S230</f>
        <v>#REF!</v>
      </c>
      <c r="T243" s="490"/>
      <c r="U243" s="490" t="e">
        <f t="shared" ref="U243:U252" si="46">U312+U346+U277</f>
        <v>#REF!</v>
      </c>
      <c r="V243" s="7"/>
      <c r="W243" s="31"/>
      <c r="X243" s="31"/>
      <c r="Y243" s="31"/>
      <c r="Z243" s="7"/>
      <c r="AA243" s="7"/>
      <c r="AB243" s="7"/>
      <c r="AC243" s="7"/>
      <c r="AD243" s="7"/>
      <c r="AE243" s="7"/>
      <c r="AF243" s="7"/>
      <c r="AG243" s="7"/>
      <c r="AH243" s="7"/>
      <c r="AI243" s="7"/>
      <c r="AJ243" s="7"/>
      <c r="AK243" s="7"/>
      <c r="AL243" s="7"/>
      <c r="AM243" s="7"/>
      <c r="AN243" s="7"/>
      <c r="AO243" s="7"/>
      <c r="AP243" s="7"/>
      <c r="AR243" s="496"/>
    </row>
    <row r="244" spans="1:44">
      <c r="A244" s="305" t="s">
        <v>379</v>
      </c>
      <c r="B244" s="305"/>
      <c r="C244" s="61">
        <f t="shared" si="41"/>
        <v>103.9666666666667</v>
      </c>
      <c r="D244" s="237">
        <f>$D$231</f>
        <v>14.89</v>
      </c>
      <c r="E244" s="490"/>
      <c r="F244" s="490">
        <f t="shared" si="42"/>
        <v>-16</v>
      </c>
      <c r="G244" s="237">
        <f>G231</f>
        <v>14.89</v>
      </c>
      <c r="H244" s="490"/>
      <c r="I244" s="490">
        <f t="shared" si="43"/>
        <v>-16</v>
      </c>
      <c r="J244" s="490"/>
      <c r="K244" s="237" t="e">
        <f>K231</f>
        <v>#REF!</v>
      </c>
      <c r="L244" s="490"/>
      <c r="M244" s="490" t="e">
        <f t="shared" si="44"/>
        <v>#REF!</v>
      </c>
      <c r="N244" s="490"/>
      <c r="O244" s="237" t="e">
        <f>O231</f>
        <v>#REF!</v>
      </c>
      <c r="P244" s="490"/>
      <c r="Q244" s="490" t="e">
        <f t="shared" si="45"/>
        <v>#REF!</v>
      </c>
      <c r="R244" s="490"/>
      <c r="S244" s="237" t="e">
        <f>S231</f>
        <v>#REF!</v>
      </c>
      <c r="T244" s="490"/>
      <c r="U244" s="490" t="e">
        <f t="shared" si="46"/>
        <v>#REF!</v>
      </c>
      <c r="V244" s="7"/>
      <c r="W244" s="31"/>
      <c r="X244" s="31"/>
      <c r="Y244" s="31"/>
      <c r="Z244" s="7"/>
      <c r="AA244" s="7"/>
      <c r="AB244" s="7"/>
      <c r="AC244" s="7"/>
      <c r="AD244" s="7"/>
      <c r="AE244" s="7"/>
      <c r="AF244" s="7"/>
      <c r="AG244" s="7"/>
      <c r="AH244" s="7"/>
      <c r="AI244" s="7"/>
      <c r="AJ244" s="7"/>
      <c r="AK244" s="7"/>
      <c r="AL244" s="7"/>
      <c r="AM244" s="7"/>
      <c r="AN244" s="7"/>
      <c r="AO244" s="7"/>
      <c r="AP244" s="7"/>
      <c r="AR244" s="496"/>
    </row>
    <row r="245" spans="1:44">
      <c r="A245" s="305" t="s">
        <v>390</v>
      </c>
      <c r="B245" s="305"/>
      <c r="C245" s="61">
        <f t="shared" si="41"/>
        <v>5541</v>
      </c>
      <c r="D245" s="237">
        <f>$D$232</f>
        <v>1.04</v>
      </c>
      <c r="E245" s="490"/>
      <c r="F245" s="490">
        <f t="shared" si="42"/>
        <v>-58</v>
      </c>
      <c r="G245" s="237">
        <f>G232</f>
        <v>1.04</v>
      </c>
      <c r="H245" s="490"/>
      <c r="I245" s="490">
        <f t="shared" si="43"/>
        <v>-58</v>
      </c>
      <c r="J245" s="490"/>
      <c r="K245" s="237" t="e">
        <f>K232</f>
        <v>#REF!</v>
      </c>
      <c r="L245" s="490"/>
      <c r="M245" s="490" t="e">
        <f t="shared" si="44"/>
        <v>#REF!</v>
      </c>
      <c r="N245" s="490"/>
      <c r="O245" s="237" t="e">
        <f>O232</f>
        <v>#REF!</v>
      </c>
      <c r="P245" s="490"/>
      <c r="Q245" s="490" t="e">
        <f t="shared" si="45"/>
        <v>#REF!</v>
      </c>
      <c r="R245" s="490"/>
      <c r="S245" s="237" t="e">
        <f>S232</f>
        <v>#REF!</v>
      </c>
      <c r="T245" s="490"/>
      <c r="U245" s="490" t="e">
        <f t="shared" si="46"/>
        <v>#REF!</v>
      </c>
      <c r="V245" s="7"/>
      <c r="W245" s="31"/>
      <c r="X245" s="31"/>
      <c r="Y245" s="31"/>
      <c r="Z245" s="7"/>
      <c r="AA245" s="7"/>
      <c r="AB245" s="7"/>
      <c r="AC245" s="7"/>
      <c r="AD245" s="7"/>
      <c r="AE245" s="7"/>
      <c r="AF245" s="7"/>
      <c r="AG245" s="7"/>
      <c r="AH245" s="7"/>
      <c r="AI245" s="7"/>
      <c r="AJ245" s="7"/>
      <c r="AK245" s="7"/>
      <c r="AL245" s="7"/>
      <c r="AM245" s="7"/>
      <c r="AN245" s="7"/>
      <c r="AO245" s="7"/>
      <c r="AP245" s="7"/>
      <c r="AR245" s="496"/>
    </row>
    <row r="246" spans="1:44">
      <c r="A246" s="305" t="s">
        <v>391</v>
      </c>
      <c r="B246" s="305"/>
      <c r="C246" s="61">
        <f t="shared" si="41"/>
        <v>1992</v>
      </c>
      <c r="D246" s="237">
        <f>$D$234</f>
        <v>3.8</v>
      </c>
      <c r="E246" s="305"/>
      <c r="F246" s="490">
        <f t="shared" si="42"/>
        <v>-76</v>
      </c>
      <c r="G246" s="237">
        <f>G234</f>
        <v>3.8099999999999996</v>
      </c>
      <c r="H246" s="305"/>
      <c r="I246" s="490">
        <f t="shared" si="43"/>
        <v>-76</v>
      </c>
      <c r="J246" s="490"/>
      <c r="K246" s="237" t="e">
        <f>K234</f>
        <v>#REF!</v>
      </c>
      <c r="L246" s="305"/>
      <c r="M246" s="490" t="e">
        <f t="shared" si="44"/>
        <v>#REF!</v>
      </c>
      <c r="N246" s="490"/>
      <c r="O246" s="237" t="e">
        <f>O234</f>
        <v>#REF!</v>
      </c>
      <c r="P246" s="305"/>
      <c r="Q246" s="490" t="e">
        <f t="shared" si="45"/>
        <v>#REF!</v>
      </c>
      <c r="R246" s="490"/>
      <c r="S246" s="237" t="e">
        <f>S234</f>
        <v>#REF!</v>
      </c>
      <c r="T246" s="305"/>
      <c r="U246" s="490" t="e">
        <f t="shared" si="46"/>
        <v>#REF!</v>
      </c>
      <c r="V246" s="7"/>
      <c r="W246" s="31"/>
      <c r="X246" s="31"/>
      <c r="Y246" s="31"/>
      <c r="Z246" s="7"/>
      <c r="AA246" s="7"/>
      <c r="AB246" s="7"/>
      <c r="AC246" s="7"/>
      <c r="AD246" s="7"/>
      <c r="AE246" s="7"/>
      <c r="AF246" s="7"/>
      <c r="AG246" s="7"/>
      <c r="AH246" s="7"/>
      <c r="AI246" s="7"/>
      <c r="AJ246" s="7"/>
      <c r="AK246" s="7"/>
      <c r="AL246" s="7"/>
      <c r="AM246" s="7"/>
      <c r="AN246" s="7"/>
      <c r="AO246" s="7"/>
      <c r="AP246" s="7"/>
      <c r="AR246" s="496"/>
    </row>
    <row r="247" spans="1:44">
      <c r="A247" s="305" t="s">
        <v>393</v>
      </c>
      <c r="B247" s="305"/>
      <c r="C247" s="61">
        <f t="shared" si="41"/>
        <v>149222.66666666669</v>
      </c>
      <c r="D247" s="1025">
        <f>$D$235</f>
        <v>10.878</v>
      </c>
      <c r="E247" s="305" t="s">
        <v>362</v>
      </c>
      <c r="F247" s="490">
        <f t="shared" si="42"/>
        <v>-162</v>
      </c>
      <c r="G247" s="1025">
        <f>G235</f>
        <v>10.879</v>
      </c>
      <c r="H247" s="305" t="s">
        <v>362</v>
      </c>
      <c r="I247" s="490">
        <f t="shared" si="43"/>
        <v>-162</v>
      </c>
      <c r="J247" s="490"/>
      <c r="K247" s="1025" t="e">
        <f>K235</f>
        <v>#REF!</v>
      </c>
      <c r="L247" s="305" t="s">
        <v>362</v>
      </c>
      <c r="M247" s="490" t="e">
        <f t="shared" si="44"/>
        <v>#REF!</v>
      </c>
      <c r="N247" s="490"/>
      <c r="O247" s="1025" t="e">
        <f>O235</f>
        <v>#REF!</v>
      </c>
      <c r="P247" s="305" t="s">
        <v>362</v>
      </c>
      <c r="Q247" s="490" t="e">
        <f t="shared" si="45"/>
        <v>#REF!</v>
      </c>
      <c r="R247" s="490"/>
      <c r="S247" s="1025" t="e">
        <f>S235</f>
        <v>#REF!</v>
      </c>
      <c r="T247" s="305" t="s">
        <v>362</v>
      </c>
      <c r="U247" s="490" t="e">
        <f t="shared" si="46"/>
        <v>#REF!</v>
      </c>
      <c r="V247" s="7"/>
      <c r="W247" s="31"/>
      <c r="X247" s="31"/>
      <c r="Y247" s="31"/>
      <c r="Z247" s="7"/>
      <c r="AA247" s="7"/>
      <c r="AB247" s="7"/>
      <c r="AC247" s="7"/>
      <c r="AD247" s="7"/>
      <c r="AE247" s="7"/>
      <c r="AF247" s="7"/>
      <c r="AG247" s="7"/>
      <c r="AH247" s="7"/>
      <c r="AI247" s="7"/>
      <c r="AJ247" s="7"/>
      <c r="AK247" s="7"/>
      <c r="AL247" s="7"/>
      <c r="AM247" s="7"/>
      <c r="AN247" s="7"/>
      <c r="AO247" s="7"/>
      <c r="AP247" s="7"/>
      <c r="AR247" s="496"/>
    </row>
    <row r="248" spans="1:44">
      <c r="A248" s="305" t="s">
        <v>386</v>
      </c>
      <c r="B248" s="305"/>
      <c r="C248" s="61">
        <f t="shared" si="41"/>
        <v>626125.33333333326</v>
      </c>
      <c r="D248" s="1025">
        <f>$D$236</f>
        <v>7.5140000000000002</v>
      </c>
      <c r="E248" s="305" t="s">
        <v>362</v>
      </c>
      <c r="F248" s="490">
        <f t="shared" si="42"/>
        <v>-470</v>
      </c>
      <c r="G248" s="1025">
        <f>G236</f>
        <v>7.5140000000000002</v>
      </c>
      <c r="H248" s="305" t="s">
        <v>362</v>
      </c>
      <c r="I248" s="490">
        <f t="shared" si="43"/>
        <v>-470</v>
      </c>
      <c r="J248" s="490"/>
      <c r="K248" s="1025" t="e">
        <f>K236</f>
        <v>#REF!</v>
      </c>
      <c r="L248" s="305" t="s">
        <v>362</v>
      </c>
      <c r="M248" s="490" t="e">
        <f t="shared" si="44"/>
        <v>#REF!</v>
      </c>
      <c r="N248" s="490"/>
      <c r="O248" s="1025" t="e">
        <f>O236</f>
        <v>#REF!</v>
      </c>
      <c r="P248" s="305" t="s">
        <v>362</v>
      </c>
      <c r="Q248" s="490" t="e">
        <f t="shared" si="45"/>
        <v>#REF!</v>
      </c>
      <c r="R248" s="490"/>
      <c r="S248" s="1025" t="e">
        <f>S236</f>
        <v>#REF!</v>
      </c>
      <c r="T248" s="305" t="s">
        <v>362</v>
      </c>
      <c r="U248" s="490" t="e">
        <f t="shared" si="46"/>
        <v>#REF!</v>
      </c>
      <c r="V248" s="7"/>
      <c r="W248" s="31"/>
      <c r="X248" s="31"/>
      <c r="Y248" s="31"/>
      <c r="Z248" s="7"/>
      <c r="AA248" s="7"/>
      <c r="AB248" s="7"/>
      <c r="AC248" s="7"/>
      <c r="AD248" s="7"/>
      <c r="AE248" s="7"/>
      <c r="AF248" s="7"/>
      <c r="AG248" s="7"/>
      <c r="AH248" s="7"/>
      <c r="AI248" s="7"/>
      <c r="AJ248" s="7"/>
      <c r="AK248" s="7"/>
      <c r="AL248" s="7"/>
      <c r="AM248" s="7"/>
      <c r="AN248" s="7"/>
      <c r="AO248" s="7"/>
      <c r="AP248" s="7"/>
      <c r="AR248" s="496"/>
    </row>
    <row r="249" spans="1:44">
      <c r="A249" s="305" t="s">
        <v>387</v>
      </c>
      <c r="B249" s="305"/>
      <c r="C249" s="61">
        <f t="shared" si="41"/>
        <v>362541</v>
      </c>
      <c r="D249" s="1025">
        <f>$D$237</f>
        <v>6.4720000000000004</v>
      </c>
      <c r="E249" s="305" t="s">
        <v>362</v>
      </c>
      <c r="F249" s="490">
        <f t="shared" si="42"/>
        <v>-234</v>
      </c>
      <c r="G249" s="1025">
        <f>G237</f>
        <v>6.4720000000000004</v>
      </c>
      <c r="H249" s="305" t="s">
        <v>362</v>
      </c>
      <c r="I249" s="490">
        <f t="shared" si="43"/>
        <v>-234</v>
      </c>
      <c r="J249" s="490"/>
      <c r="K249" s="1025" t="e">
        <f>K237</f>
        <v>#REF!</v>
      </c>
      <c r="L249" s="305" t="s">
        <v>362</v>
      </c>
      <c r="M249" s="490" t="e">
        <f t="shared" si="44"/>
        <v>#REF!</v>
      </c>
      <c r="N249" s="490"/>
      <c r="O249" s="1025" t="e">
        <f>O237</f>
        <v>#REF!</v>
      </c>
      <c r="P249" s="305" t="s">
        <v>362</v>
      </c>
      <c r="Q249" s="490" t="e">
        <f t="shared" si="45"/>
        <v>#REF!</v>
      </c>
      <c r="R249" s="490"/>
      <c r="S249" s="1025" t="e">
        <f>S237</f>
        <v>#REF!</v>
      </c>
      <c r="T249" s="305" t="s">
        <v>362</v>
      </c>
      <c r="U249" s="490" t="e">
        <f t="shared" si="46"/>
        <v>#REF!</v>
      </c>
      <c r="V249" s="7"/>
      <c r="W249" s="31"/>
      <c r="X249" s="31"/>
      <c r="Y249" s="31"/>
      <c r="Z249" s="7"/>
      <c r="AA249" s="7"/>
      <c r="AB249" s="7"/>
      <c r="AC249" s="7"/>
      <c r="AD249" s="7"/>
      <c r="AE249" s="7"/>
      <c r="AF249" s="7"/>
      <c r="AG249" s="7"/>
      <c r="AH249" s="7"/>
      <c r="AI249" s="7"/>
      <c r="AJ249" s="7"/>
      <c r="AK249" s="7"/>
      <c r="AL249" s="7"/>
      <c r="AM249" s="7"/>
      <c r="AN249" s="7"/>
      <c r="AO249" s="7"/>
      <c r="AP249" s="7"/>
      <c r="AR249" s="496"/>
    </row>
    <row r="250" spans="1:44">
      <c r="A250" s="305" t="s">
        <v>388</v>
      </c>
      <c r="B250" s="305"/>
      <c r="C250" s="61">
        <f t="shared" si="41"/>
        <v>1169.8</v>
      </c>
      <c r="D250" s="1026">
        <f>$D$238</f>
        <v>58</v>
      </c>
      <c r="E250" s="305" t="s">
        <v>362</v>
      </c>
      <c r="F250" s="490">
        <f t="shared" si="42"/>
        <v>-6</v>
      </c>
      <c r="G250" s="1026">
        <f>G238</f>
        <v>58</v>
      </c>
      <c r="H250" s="305" t="s">
        <v>362</v>
      </c>
      <c r="I250" s="490">
        <f t="shared" si="43"/>
        <v>-6</v>
      </c>
      <c r="J250" s="490"/>
      <c r="K250" s="1026" t="e">
        <f>K238</f>
        <v>#REF!</v>
      </c>
      <c r="L250" s="305" t="s">
        <v>362</v>
      </c>
      <c r="M250" s="490" t="e">
        <f t="shared" si="44"/>
        <v>#REF!</v>
      </c>
      <c r="N250" s="490"/>
      <c r="O250" s="1026" t="e">
        <f>O238</f>
        <v>#REF!</v>
      </c>
      <c r="P250" s="305" t="s">
        <v>362</v>
      </c>
      <c r="Q250" s="490" t="e">
        <f t="shared" si="45"/>
        <v>#REF!</v>
      </c>
      <c r="R250" s="490"/>
      <c r="S250" s="1026" t="e">
        <f>S238</f>
        <v>#REF!</v>
      </c>
      <c r="T250" s="305" t="s">
        <v>362</v>
      </c>
      <c r="U250" s="490" t="e">
        <f t="shared" si="46"/>
        <v>#REF!</v>
      </c>
      <c r="V250" s="7"/>
      <c r="W250" s="31"/>
      <c r="X250" s="31"/>
      <c r="Y250" s="31"/>
      <c r="Z250" s="7"/>
      <c r="AA250" s="7"/>
      <c r="AB250" s="7"/>
      <c r="AC250" s="7"/>
      <c r="AD250" s="7"/>
      <c r="AE250" s="7"/>
      <c r="AF250" s="7"/>
      <c r="AG250" s="7"/>
      <c r="AH250" s="7"/>
      <c r="AI250" s="7"/>
      <c r="AJ250" s="7"/>
      <c r="AK250" s="7"/>
      <c r="AL250" s="7"/>
      <c r="AM250" s="7"/>
      <c r="AN250" s="7"/>
      <c r="AO250" s="7"/>
      <c r="AP250" s="7"/>
      <c r="AR250" s="496"/>
    </row>
    <row r="251" spans="1:44">
      <c r="A251" s="305" t="s">
        <v>395</v>
      </c>
      <c r="B251" s="305"/>
      <c r="C251" s="61">
        <f t="shared" si="41"/>
        <v>155.93333333333339</v>
      </c>
      <c r="D251" s="237">
        <v>60</v>
      </c>
      <c r="E251" s="305"/>
      <c r="F251" s="490">
        <f t="shared" si="42"/>
        <v>9356</v>
      </c>
      <c r="G251" s="237">
        <f>$G$214</f>
        <v>60</v>
      </c>
      <c r="H251" s="305"/>
      <c r="I251" s="490">
        <f t="shared" si="43"/>
        <v>9356</v>
      </c>
      <c r="J251" s="490"/>
      <c r="K251" s="237">
        <f>$G$214</f>
        <v>60</v>
      </c>
      <c r="L251" s="305"/>
      <c r="M251" s="490">
        <f t="shared" si="44"/>
        <v>0</v>
      </c>
      <c r="N251" s="490"/>
      <c r="O251" s="237" t="e">
        <f>$O$214</f>
        <v>#REF!</v>
      </c>
      <c r="P251" s="305"/>
      <c r="Q251" s="490" t="e">
        <f t="shared" si="45"/>
        <v>#REF!</v>
      </c>
      <c r="R251" s="490"/>
      <c r="S251" s="237" t="e">
        <f>$S$214</f>
        <v>#REF!</v>
      </c>
      <c r="T251" s="305"/>
      <c r="U251" s="490" t="e">
        <f t="shared" si="46"/>
        <v>#REF!</v>
      </c>
      <c r="V251" s="7"/>
      <c r="W251" s="31"/>
      <c r="X251" s="31"/>
      <c r="Y251" s="31"/>
      <c r="Z251" s="7"/>
      <c r="AA251" s="7"/>
      <c r="AB251" s="7"/>
      <c r="AC251" s="7"/>
      <c r="AD251" s="7"/>
      <c r="AE251" s="7"/>
      <c r="AF251" s="7"/>
      <c r="AG251" s="7"/>
      <c r="AH251" s="7"/>
      <c r="AI251" s="7"/>
      <c r="AJ251" s="7"/>
      <c r="AK251" s="7"/>
      <c r="AL251" s="7"/>
      <c r="AM251" s="7"/>
      <c r="AN251" s="7"/>
      <c r="AO251" s="7"/>
      <c r="AP251" s="7"/>
      <c r="AR251" s="496"/>
    </row>
    <row r="252" spans="1:44">
      <c r="A252" s="305" t="s">
        <v>396</v>
      </c>
      <c r="B252" s="305"/>
      <c r="C252" s="61">
        <f t="shared" si="41"/>
        <v>5455</v>
      </c>
      <c r="D252" s="1027">
        <v>-30</v>
      </c>
      <c r="E252" s="305" t="s">
        <v>362</v>
      </c>
      <c r="F252" s="490">
        <f t="shared" si="42"/>
        <v>-1637</v>
      </c>
      <c r="G252" s="1027">
        <f>$G$215</f>
        <v>-30</v>
      </c>
      <c r="H252" s="305" t="s">
        <v>362</v>
      </c>
      <c r="I252" s="490">
        <f t="shared" si="43"/>
        <v>-1637</v>
      </c>
      <c r="J252" s="490"/>
      <c r="K252" s="1027" t="e">
        <f>$K$215</f>
        <v>#REF!</v>
      </c>
      <c r="L252" s="305" t="s">
        <v>362</v>
      </c>
      <c r="M252" s="490" t="e">
        <f t="shared" si="44"/>
        <v>#REF!</v>
      </c>
      <c r="N252" s="490"/>
      <c r="O252" s="1027" t="str">
        <f>$O$215</f>
        <v xml:space="preserve"> </v>
      </c>
      <c r="P252" s="305" t="s">
        <v>362</v>
      </c>
      <c r="Q252" s="490">
        <f t="shared" si="45"/>
        <v>0</v>
      </c>
      <c r="R252" s="490"/>
      <c r="S252" s="1027" t="str">
        <f>$S$215</f>
        <v xml:space="preserve"> </v>
      </c>
      <c r="T252" s="305" t="s">
        <v>362</v>
      </c>
      <c r="U252" s="490">
        <f t="shared" si="46"/>
        <v>0</v>
      </c>
      <c r="V252" s="7"/>
      <c r="W252" s="31"/>
      <c r="X252" s="31"/>
      <c r="Y252" s="31"/>
      <c r="Z252" s="7"/>
      <c r="AA252" s="7"/>
      <c r="AB252" s="7"/>
      <c r="AC252" s="7"/>
      <c r="AD252" s="7"/>
      <c r="AE252" s="7"/>
      <c r="AF252" s="7"/>
      <c r="AG252" s="7"/>
      <c r="AH252" s="7"/>
      <c r="AI252" s="7"/>
      <c r="AJ252" s="7"/>
      <c r="AK252" s="7"/>
      <c r="AL252" s="7"/>
      <c r="AM252" s="7"/>
      <c r="AN252" s="7"/>
      <c r="AO252" s="7"/>
      <c r="AP252" s="7"/>
      <c r="AR252" s="496"/>
    </row>
    <row r="253" spans="1:44" s="588" customFormat="1" hidden="1">
      <c r="A253" s="588" t="s">
        <v>771</v>
      </c>
      <c r="C253" s="604">
        <f>C247</f>
        <v>149222.66666666669</v>
      </c>
      <c r="D253" s="987">
        <v>0</v>
      </c>
      <c r="E253" s="592" t="s">
        <v>362</v>
      </c>
      <c r="F253" s="616"/>
      <c r="G253" s="987">
        <f>G199</f>
        <v>0</v>
      </c>
      <c r="H253" s="592" t="s">
        <v>362</v>
      </c>
      <c r="I253" s="616">
        <f t="shared" ref="I253:I255" si="47">I287+I322+I356</f>
        <v>0</v>
      </c>
      <c r="J253" s="616"/>
      <c r="K253" s="987" t="e">
        <f>K199</f>
        <v>#REF!</v>
      </c>
      <c r="L253" s="592" t="s">
        <v>362</v>
      </c>
      <c r="M253" s="616" t="e">
        <f t="shared" ref="M253:M255" si="48">M287+M322+M356</f>
        <v>#REF!</v>
      </c>
      <c r="N253" s="616"/>
      <c r="O253" s="987" t="e">
        <f>O199</f>
        <v>#REF!</v>
      </c>
      <c r="P253" s="592" t="s">
        <v>362</v>
      </c>
      <c r="Q253" s="616" t="e">
        <f t="shared" ref="Q253:Q255" si="49">Q287+Q322+Q356</f>
        <v>#REF!</v>
      </c>
      <c r="R253" s="616"/>
      <c r="S253" s="987" t="e">
        <f>S199</f>
        <v>#REF!</v>
      </c>
      <c r="T253" s="592" t="s">
        <v>362</v>
      </c>
      <c r="U253" s="616" t="e">
        <f t="shared" ref="U253:U255" si="50">U287+U322+U356</f>
        <v>#REF!</v>
      </c>
      <c r="W253" s="450"/>
      <c r="Z253" s="989"/>
      <c r="AA253" s="989"/>
      <c r="AF253" s="635"/>
      <c r="AG253" s="635"/>
      <c r="AH253" s="635"/>
      <c r="AI253" s="635"/>
      <c r="AJ253" s="635"/>
      <c r="AK253" s="635"/>
      <c r="AL253" s="635"/>
      <c r="AM253" s="635"/>
      <c r="AN253" s="635"/>
      <c r="AO253" s="635"/>
      <c r="AP253" s="635"/>
      <c r="AR253" s="988"/>
    </row>
    <row r="254" spans="1:44" s="588" customFormat="1" hidden="1">
      <c r="A254" s="588" t="s">
        <v>772</v>
      </c>
      <c r="C254" s="604">
        <f t="shared" ref="C254:C255" si="51">C248</f>
        <v>626125.33333333326</v>
      </c>
      <c r="D254" s="987">
        <v>0</v>
      </c>
      <c r="E254" s="592" t="s">
        <v>362</v>
      </c>
      <c r="F254" s="616"/>
      <c r="G254" s="987">
        <f>G200</f>
        <v>0</v>
      </c>
      <c r="H254" s="592" t="s">
        <v>362</v>
      </c>
      <c r="I254" s="616">
        <f t="shared" si="47"/>
        <v>0</v>
      </c>
      <c r="J254" s="616"/>
      <c r="K254" s="987" t="e">
        <f>K200</f>
        <v>#REF!</v>
      </c>
      <c r="L254" s="592" t="s">
        <v>362</v>
      </c>
      <c r="M254" s="616" t="e">
        <f t="shared" si="48"/>
        <v>#REF!</v>
      </c>
      <c r="N254" s="616"/>
      <c r="O254" s="987" t="e">
        <f>O200</f>
        <v>#REF!</v>
      </c>
      <c r="P254" s="592" t="s">
        <v>362</v>
      </c>
      <c r="Q254" s="616" t="e">
        <f t="shared" si="49"/>
        <v>#REF!</v>
      </c>
      <c r="R254" s="616"/>
      <c r="S254" s="987" t="e">
        <f>S200</f>
        <v>#REF!</v>
      </c>
      <c r="T254" s="592" t="s">
        <v>362</v>
      </c>
      <c r="U254" s="616" t="e">
        <f t="shared" si="50"/>
        <v>#REF!</v>
      </c>
      <c r="W254" s="450"/>
      <c r="Z254" s="989"/>
      <c r="AA254" s="989"/>
      <c r="AF254" s="635"/>
      <c r="AG254" s="635"/>
      <c r="AH254" s="635"/>
      <c r="AI254" s="635"/>
      <c r="AJ254" s="635"/>
      <c r="AK254" s="635"/>
      <c r="AL254" s="635"/>
      <c r="AM254" s="635"/>
      <c r="AN254" s="635"/>
      <c r="AO254" s="635"/>
      <c r="AP254" s="635"/>
      <c r="AR254" s="988"/>
    </row>
    <row r="255" spans="1:44" s="588" customFormat="1" hidden="1">
      <c r="A255" s="588" t="s">
        <v>773</v>
      </c>
      <c r="C255" s="604">
        <f t="shared" si="51"/>
        <v>362541</v>
      </c>
      <c r="D255" s="987">
        <v>0</v>
      </c>
      <c r="E255" s="592" t="s">
        <v>362</v>
      </c>
      <c r="F255" s="616"/>
      <c r="G255" s="987">
        <f>G201</f>
        <v>0</v>
      </c>
      <c r="H255" s="592" t="s">
        <v>362</v>
      </c>
      <c r="I255" s="616">
        <f t="shared" si="47"/>
        <v>0</v>
      </c>
      <c r="J255" s="616"/>
      <c r="K255" s="987" t="e">
        <f>K201</f>
        <v>#REF!</v>
      </c>
      <c r="L255" s="592" t="s">
        <v>362</v>
      </c>
      <c r="M255" s="616" t="e">
        <f t="shared" si="48"/>
        <v>#REF!</v>
      </c>
      <c r="N255" s="616"/>
      <c r="O255" s="987" t="e">
        <f>O201</f>
        <v>#REF!</v>
      </c>
      <c r="P255" s="592" t="s">
        <v>362</v>
      </c>
      <c r="Q255" s="616" t="e">
        <f t="shared" si="49"/>
        <v>#REF!</v>
      </c>
      <c r="R255" s="616"/>
      <c r="S255" s="987" t="e">
        <f>S201</f>
        <v>#REF!</v>
      </c>
      <c r="T255" s="592" t="s">
        <v>362</v>
      </c>
      <c r="U255" s="616" t="e">
        <f t="shared" si="50"/>
        <v>#REF!</v>
      </c>
      <c r="W255" s="450"/>
      <c r="Z255" s="989"/>
      <c r="AA255" s="989"/>
      <c r="AF255" s="635"/>
      <c r="AG255" s="635"/>
      <c r="AH255" s="635"/>
      <c r="AI255" s="635"/>
      <c r="AJ255" s="635"/>
      <c r="AK255" s="635"/>
      <c r="AL255" s="635"/>
      <c r="AM255" s="635"/>
      <c r="AN255" s="635"/>
      <c r="AO255" s="635"/>
      <c r="AP255" s="635"/>
      <c r="AR255" s="988"/>
    </row>
    <row r="256" spans="1:44">
      <c r="A256" s="305" t="s">
        <v>369</v>
      </c>
      <c r="B256" s="419"/>
      <c r="C256" s="61">
        <f t="shared" ref="C256" si="52">C325+C359+C290</f>
        <v>548600076.39867246</v>
      </c>
      <c r="D256" s="1021"/>
      <c r="E256" s="305"/>
      <c r="F256" s="490">
        <f t="shared" ref="F256" si="53">F325+F359+F290</f>
        <v>51603996</v>
      </c>
      <c r="G256" s="1021"/>
      <c r="H256" s="305"/>
      <c r="I256" s="490">
        <f t="shared" ref="I256" si="54">I325+I359+I290</f>
        <v>51613256</v>
      </c>
      <c r="J256" s="490"/>
      <c r="K256" s="1021"/>
      <c r="L256" s="305"/>
      <c r="M256" s="490" t="e">
        <f t="shared" ref="M256" si="55">M325+M359+M290</f>
        <v>#REF!</v>
      </c>
      <c r="N256" s="490"/>
      <c r="O256" s="1021"/>
      <c r="P256" s="305"/>
      <c r="Q256" s="490" t="e">
        <f t="shared" ref="Q256" si="56">Q325+Q359+Q290</f>
        <v>#REF!</v>
      </c>
      <c r="R256" s="490"/>
      <c r="S256" s="1021"/>
      <c r="T256" s="305"/>
      <c r="U256" s="490" t="e">
        <f t="shared" ref="U256" si="57">U325+U359+U290</f>
        <v>#REF!</v>
      </c>
      <c r="V256" s="7"/>
      <c r="W256" s="31"/>
      <c r="X256" s="31"/>
      <c r="Y256" s="31"/>
      <c r="Z256" s="7"/>
      <c r="AA256" s="7"/>
      <c r="AB256" s="7"/>
      <c r="AC256" s="7"/>
      <c r="AD256" s="7"/>
      <c r="AE256" s="7"/>
      <c r="AF256" s="7"/>
      <c r="AG256" s="7"/>
      <c r="AH256" s="7"/>
      <c r="AI256" s="7"/>
      <c r="AJ256" s="7"/>
      <c r="AK256" s="7"/>
      <c r="AL256" s="7"/>
      <c r="AM256" s="7"/>
      <c r="AN256" s="7"/>
      <c r="AO256" s="7"/>
      <c r="AP256" s="7"/>
      <c r="AR256" s="496"/>
    </row>
    <row r="257" spans="1:44">
      <c r="A257" s="305" t="s">
        <v>351</v>
      </c>
      <c r="B257" s="492"/>
      <c r="C257" s="1011">
        <f ca="1">C291+C326+C360</f>
        <v>4732308.0558541138</v>
      </c>
      <c r="D257" s="305"/>
      <c r="E257" s="305"/>
      <c r="F257" s="993">
        <f ca="1">F291+F326+F360</f>
        <v>643531.3369268917</v>
      </c>
      <c r="G257" s="305"/>
      <c r="H257" s="305"/>
      <c r="I257" s="993">
        <f ca="1">F257</f>
        <v>643531.3369268917</v>
      </c>
      <c r="J257" s="723"/>
      <c r="K257" s="305"/>
      <c r="L257" s="305"/>
      <c r="M257" s="993" t="e">
        <f ca="1">M220/I220*I257</f>
        <v>#DIV/0!</v>
      </c>
      <c r="N257" s="723"/>
      <c r="O257" s="305"/>
      <c r="P257" s="305"/>
      <c r="Q257" s="993" t="e">
        <f ca="1">Q220/I220*I257</f>
        <v>#DIV/0!</v>
      </c>
      <c r="R257" s="723"/>
      <c r="S257" s="305"/>
      <c r="T257" s="305"/>
      <c r="U257" s="993" t="e">
        <f ca="1">U220/I220*I257</f>
        <v>#DIV/0!</v>
      </c>
      <c r="V257" s="714"/>
      <c r="W257" s="171"/>
      <c r="X257" s="31"/>
      <c r="Y257" s="31"/>
      <c r="Z257" s="7"/>
      <c r="AA257" s="7"/>
      <c r="AB257" s="7"/>
      <c r="AC257" s="7"/>
      <c r="AD257" s="7"/>
      <c r="AE257" s="7"/>
      <c r="AF257" s="7"/>
      <c r="AG257" s="7"/>
      <c r="AH257" s="7"/>
      <c r="AI257" s="7"/>
      <c r="AJ257" s="7"/>
      <c r="AK257" s="7"/>
      <c r="AL257" s="7"/>
      <c r="AM257" s="7"/>
      <c r="AN257" s="7"/>
      <c r="AO257" s="7"/>
      <c r="AP257" s="7"/>
      <c r="AR257" s="496"/>
    </row>
    <row r="258" spans="1:44" ht="16.5" thickBot="1">
      <c r="A258" s="305" t="s">
        <v>370</v>
      </c>
      <c r="B258" s="305"/>
      <c r="C258" s="1012">
        <f ca="1">SUM(C256:C257)</f>
        <v>553332384.45452654</v>
      </c>
      <c r="D258" s="1036"/>
      <c r="E258" s="1030"/>
      <c r="F258" s="995">
        <f ca="1">F256+F257</f>
        <v>52247527.336926892</v>
      </c>
      <c r="G258" s="1036"/>
      <c r="H258" s="1030"/>
      <c r="I258" s="995">
        <f ca="1">I256+I257</f>
        <v>52256787.336926892</v>
      </c>
      <c r="J258" s="723"/>
      <c r="K258" s="1036"/>
      <c r="L258" s="1030"/>
      <c r="M258" s="995" t="e">
        <f ca="1">M256+M257</f>
        <v>#REF!</v>
      </c>
      <c r="N258" s="995"/>
      <c r="O258" s="1036"/>
      <c r="P258" s="1030"/>
      <c r="Q258" s="995" t="e">
        <f ca="1">Q256+Q257</f>
        <v>#REF!</v>
      </c>
      <c r="R258" s="995"/>
      <c r="S258" s="1036"/>
      <c r="T258" s="1030"/>
      <c r="U258" s="995" t="e">
        <f ca="1">U256+U257</f>
        <v>#REF!</v>
      </c>
      <c r="V258" s="295"/>
      <c r="W258" s="354"/>
      <c r="X258" s="31"/>
      <c r="Y258" s="31"/>
      <c r="Z258" s="7"/>
      <c r="AA258" s="7"/>
      <c r="AB258" s="7"/>
      <c r="AC258" s="7"/>
      <c r="AD258" s="7"/>
      <c r="AE258" s="7"/>
      <c r="AF258" s="7"/>
      <c r="AG258" s="7"/>
      <c r="AH258" s="7"/>
      <c r="AI258" s="7"/>
      <c r="AJ258" s="7"/>
      <c r="AK258" s="7"/>
      <c r="AL258" s="7"/>
      <c r="AM258" s="7"/>
      <c r="AN258" s="7"/>
      <c r="AO258" s="7"/>
      <c r="AP258" s="7"/>
      <c r="AR258" s="496"/>
    </row>
    <row r="259" spans="1:44" ht="16.5" thickTop="1">
      <c r="A259" s="305"/>
      <c r="B259" s="305"/>
      <c r="C259" s="61"/>
      <c r="D259" s="237"/>
      <c r="E259" s="305"/>
      <c r="F259" s="490"/>
      <c r="G259" s="237"/>
      <c r="H259" s="305"/>
      <c r="I259" s="490" t="s">
        <v>31</v>
      </c>
      <c r="J259" s="490"/>
      <c r="K259" s="237"/>
      <c r="L259" s="305"/>
      <c r="M259" s="490" t="s">
        <v>31</v>
      </c>
      <c r="N259" s="490"/>
      <c r="O259" s="237"/>
      <c r="P259" s="305"/>
      <c r="Q259" s="490" t="s">
        <v>31</v>
      </c>
      <c r="R259" s="490"/>
      <c r="S259" s="237"/>
      <c r="T259" s="305"/>
      <c r="U259" s="490" t="s">
        <v>31</v>
      </c>
      <c r="V259" s="7"/>
      <c r="W259" s="31"/>
      <c r="X259" s="31"/>
      <c r="Y259" s="31"/>
      <c r="Z259" s="7"/>
      <c r="AA259" s="7"/>
      <c r="AB259" s="7"/>
      <c r="AC259" s="7"/>
      <c r="AD259" s="7"/>
      <c r="AE259" s="7"/>
      <c r="AF259" s="7"/>
      <c r="AG259" s="7"/>
      <c r="AH259" s="7"/>
      <c r="AI259" s="7"/>
      <c r="AJ259" s="7"/>
      <c r="AK259" s="7"/>
      <c r="AL259" s="7"/>
      <c r="AM259" s="7"/>
      <c r="AN259" s="7"/>
      <c r="AO259" s="7"/>
      <c r="AP259" s="7"/>
      <c r="AR259" s="496"/>
    </row>
    <row r="260" spans="1:44">
      <c r="A260" s="305" t="s">
        <v>375</v>
      </c>
      <c r="B260" s="305"/>
      <c r="C260" s="305"/>
      <c r="D260" s="490"/>
      <c r="E260" s="305"/>
      <c r="F260" s="237" t="s">
        <v>31</v>
      </c>
      <c r="G260" s="490"/>
      <c r="H260" s="305"/>
      <c r="I260" s="305"/>
      <c r="J260" s="305"/>
      <c r="K260" s="490"/>
      <c r="L260" s="305"/>
      <c r="M260" s="305"/>
      <c r="N260" s="305"/>
      <c r="O260" s="490"/>
      <c r="P260" s="305"/>
      <c r="Q260" s="305"/>
      <c r="R260" s="305"/>
      <c r="S260" s="490"/>
      <c r="T260" s="305"/>
      <c r="U260" s="305"/>
      <c r="V260" s="7"/>
      <c r="W260" s="31"/>
      <c r="X260" s="31"/>
      <c r="Y260" s="31"/>
      <c r="Z260" s="7"/>
      <c r="AA260" s="7"/>
      <c r="AB260" s="7"/>
      <c r="AC260" s="7"/>
      <c r="AD260" s="7"/>
      <c r="AE260" s="7"/>
      <c r="AF260" s="7"/>
      <c r="AG260" s="7"/>
      <c r="AH260" s="7"/>
      <c r="AI260" s="7"/>
      <c r="AJ260" s="7"/>
      <c r="AK260" s="7"/>
      <c r="AL260" s="7"/>
      <c r="AM260" s="7"/>
      <c r="AN260" s="7"/>
      <c r="AO260" s="7"/>
      <c r="AP260" s="7"/>
      <c r="AR260" s="496"/>
    </row>
    <row r="261" spans="1:44">
      <c r="A261" s="305" t="s">
        <v>695</v>
      </c>
      <c r="B261" s="305"/>
      <c r="C261" s="305"/>
      <c r="D261" s="490"/>
      <c r="E261" s="305"/>
      <c r="F261" s="305"/>
      <c r="G261" s="490"/>
      <c r="H261" s="305"/>
      <c r="I261" s="305"/>
      <c r="J261" s="305"/>
      <c r="K261" s="490"/>
      <c r="L261" s="305"/>
      <c r="M261" s="305"/>
      <c r="N261" s="305"/>
      <c r="O261" s="490"/>
      <c r="P261" s="305"/>
      <c r="Q261" s="305"/>
      <c r="R261" s="305"/>
      <c r="S261" s="490"/>
      <c r="T261" s="305"/>
      <c r="U261" s="305"/>
      <c r="V261" s="7"/>
      <c r="W261" s="31"/>
      <c r="X261" s="31"/>
      <c r="Y261" s="31"/>
      <c r="Z261" s="7"/>
      <c r="AA261" s="7"/>
      <c r="AB261" s="7"/>
      <c r="AC261" s="7"/>
      <c r="AD261" s="7"/>
      <c r="AE261" s="7"/>
      <c r="AF261" s="7"/>
      <c r="AG261" s="7"/>
      <c r="AH261" s="7"/>
      <c r="AI261" s="7"/>
      <c r="AJ261" s="7"/>
      <c r="AK261" s="7"/>
      <c r="AL261" s="7"/>
      <c r="AM261" s="7"/>
      <c r="AN261" s="7"/>
      <c r="AO261" s="7"/>
      <c r="AP261" s="7"/>
      <c r="AR261" s="496"/>
    </row>
    <row r="262" spans="1:44">
      <c r="A262" s="305" t="s">
        <v>897</v>
      </c>
      <c r="B262" s="305"/>
      <c r="C262" s="61"/>
      <c r="D262" s="490"/>
      <c r="E262" s="305"/>
      <c r="F262" s="305"/>
      <c r="G262" s="490"/>
      <c r="H262" s="305"/>
      <c r="I262" s="305"/>
      <c r="J262" s="305"/>
      <c r="K262" s="490"/>
      <c r="L262" s="305"/>
      <c r="M262" s="305"/>
      <c r="N262" s="305"/>
      <c r="O262" s="490"/>
      <c r="P262" s="305"/>
      <c r="Q262" s="305"/>
      <c r="R262" s="305"/>
      <c r="S262" s="490"/>
      <c r="T262" s="305"/>
      <c r="U262" s="305"/>
      <c r="V262" s="7"/>
      <c r="W262" s="31"/>
      <c r="X262" s="31"/>
      <c r="Y262" s="31"/>
      <c r="Z262" s="7"/>
      <c r="AA262" s="7"/>
      <c r="AB262" s="7"/>
      <c r="AC262" s="7"/>
      <c r="AD262" s="7"/>
      <c r="AE262" s="7"/>
      <c r="AF262" s="7"/>
      <c r="AG262" s="7"/>
      <c r="AH262" s="7"/>
      <c r="AI262" s="7"/>
      <c r="AJ262" s="7"/>
      <c r="AK262" s="7"/>
      <c r="AL262" s="7"/>
      <c r="AM262" s="7"/>
      <c r="AN262" s="7"/>
      <c r="AO262" s="7"/>
      <c r="AP262" s="7"/>
      <c r="AR262" s="496"/>
    </row>
    <row r="263" spans="1:44">
      <c r="A263" s="305" t="s">
        <v>381</v>
      </c>
      <c r="B263" s="305"/>
      <c r="C263" s="61"/>
      <c r="D263" s="490"/>
      <c r="E263" s="305"/>
      <c r="F263" s="305"/>
      <c r="G263" s="490"/>
      <c r="H263" s="305"/>
      <c r="I263" s="305"/>
      <c r="J263" s="305"/>
      <c r="K263" s="490"/>
      <c r="L263" s="305"/>
      <c r="M263" s="305"/>
      <c r="N263" s="305"/>
      <c r="O263" s="490"/>
      <c r="P263" s="305"/>
      <c r="Q263" s="305"/>
      <c r="R263" s="305"/>
      <c r="S263" s="490"/>
      <c r="T263" s="305"/>
      <c r="U263" s="305"/>
      <c r="V263" s="7"/>
      <c r="W263" s="31"/>
      <c r="X263" s="31"/>
      <c r="Y263" s="31"/>
      <c r="Z263" s="7"/>
      <c r="AA263" s="7"/>
      <c r="AB263" s="7"/>
      <c r="AC263" s="7"/>
      <c r="AD263" s="7"/>
      <c r="AE263" s="7"/>
      <c r="AF263" s="7"/>
      <c r="AG263" s="7"/>
      <c r="AH263" s="7"/>
      <c r="AI263" s="7"/>
      <c r="AJ263" s="7"/>
      <c r="AK263" s="7"/>
      <c r="AL263" s="7"/>
      <c r="AM263" s="7"/>
      <c r="AN263" s="7"/>
      <c r="AO263" s="7"/>
      <c r="AP263" s="7"/>
      <c r="AR263" s="496"/>
    </row>
    <row r="264" spans="1:44">
      <c r="A264" s="305" t="s">
        <v>378</v>
      </c>
      <c r="B264" s="305"/>
      <c r="C264" s="61">
        <v>38729.3999999999</v>
      </c>
      <c r="D264" s="448">
        <f>$D$189</f>
        <v>9.99</v>
      </c>
      <c r="E264" s="305"/>
      <c r="F264" s="490">
        <f>ROUND(D264*$C264,0)</f>
        <v>386907</v>
      </c>
      <c r="G264" s="448">
        <f>$G$189</f>
        <v>9.99</v>
      </c>
      <c r="H264" s="305"/>
      <c r="I264" s="490">
        <f>ROUND(G264*$C264,0)</f>
        <v>386907</v>
      </c>
      <c r="J264" s="490"/>
      <c r="K264" s="448" t="e">
        <f>$K$189</f>
        <v>#REF!</v>
      </c>
      <c r="L264" s="305"/>
      <c r="M264" s="490" t="e">
        <f>ROUND(K264*$C264,0)</f>
        <v>#REF!</v>
      </c>
      <c r="N264" s="490"/>
      <c r="O264" s="448" t="e">
        <f>$O$189</f>
        <v>#REF!</v>
      </c>
      <c r="P264" s="305"/>
      <c r="Q264" s="490" t="e">
        <f>ROUND(O264*$C264,0)</f>
        <v>#REF!</v>
      </c>
      <c r="R264" s="490"/>
      <c r="S264" s="448" t="e">
        <f>$S$189</f>
        <v>#REF!</v>
      </c>
      <c r="T264" s="305"/>
      <c r="U264" s="490" t="e">
        <f>ROUND(S264*$C264,0)</f>
        <v>#REF!</v>
      </c>
      <c r="V264" s="7"/>
      <c r="W264" s="31"/>
      <c r="X264" s="31"/>
      <c r="Y264" s="31"/>
      <c r="Z264" s="7"/>
      <c r="AA264" s="7"/>
      <c r="AB264" s="7"/>
      <c r="AC264" s="7"/>
      <c r="AD264" s="7"/>
      <c r="AE264" s="7"/>
      <c r="AF264" s="7"/>
      <c r="AG264" s="7"/>
      <c r="AH264" s="7"/>
      <c r="AI264" s="7"/>
      <c r="AJ264" s="7"/>
      <c r="AK264" s="7"/>
      <c r="AL264" s="7"/>
      <c r="AM264" s="7"/>
      <c r="AN264" s="7"/>
      <c r="AO264" s="7"/>
      <c r="AP264" s="7"/>
      <c r="AR264" s="496"/>
    </row>
    <row r="265" spans="1:44">
      <c r="A265" s="305" t="s">
        <v>379</v>
      </c>
      <c r="B265" s="305"/>
      <c r="C265" s="61">
        <v>2867.3333333333298</v>
      </c>
      <c r="D265" s="448">
        <f>$D$190</f>
        <v>14.89</v>
      </c>
      <c r="E265" s="1004"/>
      <c r="F265" s="490">
        <f t="shared" ref="F265:F266" si="58">ROUND(D265*$C265,0)</f>
        <v>42695</v>
      </c>
      <c r="G265" s="448">
        <f>$G$190</f>
        <v>14.89</v>
      </c>
      <c r="H265" s="1004"/>
      <c r="I265" s="490">
        <f>ROUND(G265*$C265,0)</f>
        <v>42695</v>
      </c>
      <c r="J265" s="490"/>
      <c r="K265" s="448" t="e">
        <f>$K$190</f>
        <v>#REF!</v>
      </c>
      <c r="L265" s="1004"/>
      <c r="M265" s="490" t="e">
        <f>ROUND(K265*$C265,0)</f>
        <v>#REF!</v>
      </c>
      <c r="N265" s="490"/>
      <c r="O265" s="448" t="e">
        <f>$O$190</f>
        <v>#REF!</v>
      </c>
      <c r="P265" s="1004"/>
      <c r="Q265" s="490" t="e">
        <f>ROUND(O265*$C265,0)</f>
        <v>#REF!</v>
      </c>
      <c r="R265" s="490"/>
      <c r="S265" s="448" t="e">
        <f>$S$190</f>
        <v>#REF!</v>
      </c>
      <c r="T265" s="1004"/>
      <c r="U265" s="490" t="e">
        <f>ROUND(S265*$C265,0)</f>
        <v>#REF!</v>
      </c>
      <c r="V265" s="7"/>
      <c r="W265" s="31"/>
      <c r="X265" s="31"/>
      <c r="Y265" s="31"/>
      <c r="Z265" s="7"/>
      <c r="AA265" s="7"/>
      <c r="AB265" s="7"/>
      <c r="AC265" s="7"/>
      <c r="AD265" s="7"/>
      <c r="AE265" s="7"/>
      <c r="AF265" s="7"/>
      <c r="AG265" s="7"/>
      <c r="AH265" s="7"/>
      <c r="AI265" s="7"/>
      <c r="AJ265" s="7"/>
      <c r="AK265" s="7"/>
      <c r="AL265" s="7"/>
      <c r="AM265" s="7"/>
      <c r="AN265" s="7"/>
      <c r="AO265" s="7"/>
      <c r="AP265" s="7"/>
      <c r="AR265" s="496"/>
    </row>
    <row r="266" spans="1:44">
      <c r="A266" s="305" t="s">
        <v>380</v>
      </c>
      <c r="B266" s="305"/>
      <c r="C266" s="61">
        <v>22892</v>
      </c>
      <c r="D266" s="448">
        <f>$D$191</f>
        <v>1.04</v>
      </c>
      <c r="E266" s="1004"/>
      <c r="F266" s="490">
        <f t="shared" si="58"/>
        <v>23808</v>
      </c>
      <c r="G266" s="448">
        <f>$G$191</f>
        <v>1.04</v>
      </c>
      <c r="H266" s="1004"/>
      <c r="I266" s="490">
        <f>ROUND(G266*$C266,0)</f>
        <v>23808</v>
      </c>
      <c r="J266" s="490"/>
      <c r="K266" s="448" t="e">
        <f>$K$191</f>
        <v>#REF!</v>
      </c>
      <c r="L266" s="1004"/>
      <c r="M266" s="490" t="e">
        <f>ROUND(K266*$C266,0)</f>
        <v>#REF!</v>
      </c>
      <c r="N266" s="490"/>
      <c r="O266" s="448" t="e">
        <f>$O$191</f>
        <v>#REF!</v>
      </c>
      <c r="P266" s="1004"/>
      <c r="Q266" s="490" t="e">
        <f>ROUND(O266*$C266,0)</f>
        <v>#REF!</v>
      </c>
      <c r="R266" s="490"/>
      <c r="S266" s="448" t="e">
        <f>$S$191</f>
        <v>#REF!</v>
      </c>
      <c r="T266" s="1004"/>
      <c r="U266" s="490" t="e">
        <f>ROUND(S266*$C266,0)</f>
        <v>#REF!</v>
      </c>
      <c r="V266" s="7"/>
      <c r="W266" s="31"/>
      <c r="X266" s="31"/>
      <c r="Y266" s="31"/>
      <c r="Z266" s="7"/>
      <c r="AA266" s="7"/>
      <c r="AB266" s="7"/>
      <c r="AC266" s="7"/>
      <c r="AD266" s="7"/>
      <c r="AE266" s="7"/>
      <c r="AF266" s="7"/>
      <c r="AG266" s="7"/>
      <c r="AH266" s="7"/>
      <c r="AI266" s="7"/>
      <c r="AJ266" s="7"/>
      <c r="AK266" s="7"/>
      <c r="AL266" s="7"/>
      <c r="AM266" s="7"/>
      <c r="AN266" s="7"/>
      <c r="AO266" s="7"/>
      <c r="AP266" s="7"/>
      <c r="AR266" s="496"/>
    </row>
    <row r="267" spans="1:44">
      <c r="A267" s="305" t="s">
        <v>382</v>
      </c>
      <c r="B267" s="305"/>
      <c r="C267" s="61">
        <v>41596.733333333228</v>
      </c>
      <c r="D267" s="448"/>
      <c r="E267" s="305"/>
      <c r="F267" s="490"/>
      <c r="G267" s="448"/>
      <c r="H267" s="305"/>
      <c r="I267" s="490"/>
      <c r="J267" s="490"/>
      <c r="K267" s="448"/>
      <c r="L267" s="305"/>
      <c r="M267" s="490"/>
      <c r="N267" s="490"/>
      <c r="O267" s="448"/>
      <c r="P267" s="305"/>
      <c r="Q267" s="490"/>
      <c r="R267" s="490"/>
      <c r="S267" s="448"/>
      <c r="T267" s="305"/>
      <c r="U267" s="490"/>
      <c r="V267" s="7"/>
      <c r="W267" s="31"/>
      <c r="X267" s="31"/>
      <c r="Y267" s="31"/>
      <c r="Z267" s="7"/>
      <c r="AA267" s="7"/>
      <c r="AB267" s="7"/>
      <c r="AC267" s="7"/>
      <c r="AD267" s="7"/>
      <c r="AE267" s="7"/>
      <c r="AF267" s="7"/>
      <c r="AG267" s="7"/>
      <c r="AH267" s="7"/>
      <c r="AI267" s="7"/>
      <c r="AJ267" s="7"/>
      <c r="AK267" s="7"/>
      <c r="AL267" s="7"/>
      <c r="AM267" s="7"/>
      <c r="AN267" s="7"/>
      <c r="AO267" s="7"/>
      <c r="AP267" s="7"/>
      <c r="AR267" s="496"/>
    </row>
    <row r="268" spans="1:44">
      <c r="A268" s="305" t="s">
        <v>383</v>
      </c>
      <c r="B268" s="305"/>
      <c r="C268" s="61">
        <v>13419</v>
      </c>
      <c r="D268" s="237">
        <f>$D$194</f>
        <v>3.8</v>
      </c>
      <c r="E268" s="305"/>
      <c r="F268" s="490">
        <f>ROUND(D268*C268,0)</f>
        <v>50992</v>
      </c>
      <c r="G268" s="237">
        <f>$G$194</f>
        <v>3.8099999999999996</v>
      </c>
      <c r="H268" s="305"/>
      <c r="I268" s="490">
        <f>ROUND(G268*$C268,0)</f>
        <v>51126</v>
      </c>
      <c r="J268" s="490"/>
      <c r="K268" s="237" t="e">
        <f>$K$194</f>
        <v>#REF!</v>
      </c>
      <c r="L268" s="305"/>
      <c r="M268" s="490" t="e">
        <f>ROUND(K268*$C268,0)</f>
        <v>#REF!</v>
      </c>
      <c r="N268" s="490"/>
      <c r="O268" s="237" t="e">
        <f>$O$194</f>
        <v>#REF!</v>
      </c>
      <c r="P268" s="305"/>
      <c r="Q268" s="490" t="e">
        <f>ROUND(O268*$C268,0)</f>
        <v>#REF!</v>
      </c>
      <c r="R268" s="490"/>
      <c r="S268" s="237" t="e">
        <f>$S$194</f>
        <v>#REF!</v>
      </c>
      <c r="T268" s="305"/>
      <c r="U268" s="490" t="e">
        <f>ROUND(S268*$C268,0)</f>
        <v>#REF!</v>
      </c>
      <c r="V268" s="7"/>
      <c r="W268" s="31"/>
      <c r="X268" s="31"/>
      <c r="Y268" s="31"/>
      <c r="Z268" s="7"/>
      <c r="AA268" s="7"/>
      <c r="AB268" s="7"/>
      <c r="AC268" s="7"/>
      <c r="AD268" s="7"/>
      <c r="AE268" s="7"/>
      <c r="AF268" s="7"/>
      <c r="AG268" s="7"/>
      <c r="AH268" s="7"/>
      <c r="AI268" s="7"/>
      <c r="AJ268" s="7"/>
      <c r="AK268" s="7"/>
      <c r="AL268" s="7"/>
      <c r="AM268" s="7"/>
      <c r="AN268" s="7"/>
      <c r="AO268" s="7"/>
      <c r="AP268" s="7"/>
      <c r="AR268" s="496"/>
    </row>
    <row r="269" spans="1:44">
      <c r="A269" s="305" t="s">
        <v>385</v>
      </c>
      <c r="B269" s="61"/>
      <c r="C269" s="61">
        <v>12898510.523406433</v>
      </c>
      <c r="D269" s="1006">
        <f>$D$195</f>
        <v>10.878</v>
      </c>
      <c r="E269" s="305" t="s">
        <v>362</v>
      </c>
      <c r="F269" s="490">
        <f>ROUND(D269*C269/100,0)</f>
        <v>1403100</v>
      </c>
      <c r="G269" s="1006">
        <f>$G$195</f>
        <v>10.879</v>
      </c>
      <c r="H269" s="305" t="s">
        <v>362</v>
      </c>
      <c r="I269" s="490">
        <f>ROUND(G269*$C269/100,0)</f>
        <v>1403229</v>
      </c>
      <c r="J269" s="490"/>
      <c r="K269" s="1006" t="e">
        <f>$K$195</f>
        <v>#REF!</v>
      </c>
      <c r="L269" s="305" t="s">
        <v>362</v>
      </c>
      <c r="M269" s="490" t="e">
        <f>ROUND(K269*$C269/100,0)</f>
        <v>#REF!</v>
      </c>
      <c r="N269" s="490"/>
      <c r="O269" s="1006" t="e">
        <f>$O$195</f>
        <v>#REF!</v>
      </c>
      <c r="P269" s="305" t="s">
        <v>362</v>
      </c>
      <c r="Q269" s="490" t="e">
        <f>ROUND(O269*$C269/100,0)</f>
        <v>#REF!</v>
      </c>
      <c r="R269" s="490"/>
      <c r="S269" s="1006" t="e">
        <f>$S$195</f>
        <v>#REF!</v>
      </c>
      <c r="T269" s="305" t="s">
        <v>362</v>
      </c>
      <c r="U269" s="490" t="e">
        <f>ROUND(S269*$C269/100,0)</f>
        <v>#REF!</v>
      </c>
      <c r="V269" s="336"/>
      <c r="W269" s="31"/>
      <c r="X269" s="31"/>
      <c r="Y269" s="31"/>
      <c r="Z269" s="7"/>
      <c r="AA269" s="7"/>
      <c r="AB269" s="7"/>
      <c r="AC269" s="7"/>
      <c r="AD269" s="7"/>
      <c r="AE269" s="7"/>
      <c r="AF269" s="7"/>
      <c r="AG269" s="7"/>
      <c r="AH269" s="7"/>
      <c r="AI269" s="7"/>
      <c r="AJ269" s="7"/>
      <c r="AK269" s="7"/>
      <c r="AL269" s="7"/>
      <c r="AM269" s="7"/>
      <c r="AN269" s="7"/>
      <c r="AO269" s="7"/>
      <c r="AP269" s="7"/>
      <c r="AR269" s="496"/>
    </row>
    <row r="270" spans="1:44">
      <c r="A270" s="305" t="s">
        <v>386</v>
      </c>
      <c r="B270" s="61"/>
      <c r="C270" s="61">
        <v>6969737.7449656567</v>
      </c>
      <c r="D270" s="1006">
        <f>$D$196</f>
        <v>7.5140000000000002</v>
      </c>
      <c r="E270" s="305" t="s">
        <v>362</v>
      </c>
      <c r="F270" s="490">
        <f>ROUND(D270*C270/100,0)</f>
        <v>523706</v>
      </c>
      <c r="G270" s="1006">
        <f>$G$196</f>
        <v>7.5140000000000002</v>
      </c>
      <c r="H270" s="305" t="s">
        <v>362</v>
      </c>
      <c r="I270" s="490">
        <f>ROUND(G270*$C270/100,0)</f>
        <v>523706</v>
      </c>
      <c r="J270" s="490"/>
      <c r="K270" s="1006" t="e">
        <f>$K$196</f>
        <v>#REF!</v>
      </c>
      <c r="L270" s="305" t="s">
        <v>362</v>
      </c>
      <c r="M270" s="490" t="e">
        <f>ROUND(K270*$C270/100,0)</f>
        <v>#REF!</v>
      </c>
      <c r="N270" s="490"/>
      <c r="O270" s="1006" t="e">
        <f>$O$196</f>
        <v>#REF!</v>
      </c>
      <c r="P270" s="305" t="s">
        <v>362</v>
      </c>
      <c r="Q270" s="490" t="e">
        <f>ROUND(O270*$C270/100,0)</f>
        <v>#REF!</v>
      </c>
      <c r="R270" s="490"/>
      <c r="S270" s="1006" t="e">
        <f>$S$196</f>
        <v>#REF!</v>
      </c>
      <c r="T270" s="305" t="s">
        <v>362</v>
      </c>
      <c r="U270" s="490" t="e">
        <f>ROUND(S270*$C270/100,0)</f>
        <v>#REF!</v>
      </c>
      <c r="V270" s="336"/>
      <c r="W270" s="31"/>
      <c r="X270" s="31"/>
      <c r="Y270" s="31"/>
      <c r="Z270" s="7"/>
      <c r="AA270" s="7"/>
      <c r="AB270" s="7"/>
      <c r="AC270" s="7"/>
      <c r="AD270" s="7"/>
      <c r="AE270" s="7"/>
      <c r="AF270" s="7"/>
      <c r="AG270" s="7"/>
      <c r="AH270" s="7"/>
      <c r="AI270" s="7"/>
      <c r="AJ270" s="7"/>
      <c r="AK270" s="7"/>
      <c r="AL270" s="7"/>
      <c r="AM270" s="7"/>
      <c r="AN270" s="7"/>
      <c r="AO270" s="7"/>
      <c r="AP270" s="7"/>
      <c r="AR270" s="496"/>
    </row>
    <row r="271" spans="1:44">
      <c r="A271" s="305" t="s">
        <v>387</v>
      </c>
      <c r="B271" s="61"/>
      <c r="C271" s="61">
        <v>958818.95498779241</v>
      </c>
      <c r="D271" s="1006">
        <f>$D$197</f>
        <v>6.4720000000000004</v>
      </c>
      <c r="E271" s="305" t="s">
        <v>362</v>
      </c>
      <c r="F271" s="490">
        <f>ROUND(D271*C271/100,0)</f>
        <v>62055</v>
      </c>
      <c r="G271" s="1006">
        <f>$G$197</f>
        <v>6.4720000000000004</v>
      </c>
      <c r="H271" s="305" t="s">
        <v>362</v>
      </c>
      <c r="I271" s="490">
        <f>ROUND(G271*$C271/100,0)</f>
        <v>62055</v>
      </c>
      <c r="J271" s="490"/>
      <c r="K271" s="1006" t="e">
        <f>$K$197</f>
        <v>#REF!</v>
      </c>
      <c r="L271" s="305" t="s">
        <v>362</v>
      </c>
      <c r="M271" s="490" t="e">
        <f>ROUND(K271*$C271/100,0)</f>
        <v>#REF!</v>
      </c>
      <c r="N271" s="490"/>
      <c r="O271" s="1006" t="e">
        <f>$O$197</f>
        <v>#REF!</v>
      </c>
      <c r="P271" s="305" t="s">
        <v>362</v>
      </c>
      <c r="Q271" s="490" t="e">
        <f>ROUND(O271*$C271/100,0)</f>
        <v>#REF!</v>
      </c>
      <c r="R271" s="490"/>
      <c r="S271" s="1006" t="e">
        <f>$S$197</f>
        <v>#REF!</v>
      </c>
      <c r="T271" s="305" t="s">
        <v>362</v>
      </c>
      <c r="U271" s="490" t="e">
        <f>ROUND(S271*$C271/100,0)</f>
        <v>#REF!</v>
      </c>
      <c r="V271" s="336"/>
      <c r="W271" s="31"/>
      <c r="X271" s="31"/>
      <c r="Y271" s="31"/>
      <c r="Z271" s="7"/>
      <c r="AA271" s="7"/>
      <c r="AB271" s="7"/>
      <c r="AC271" s="7"/>
      <c r="AD271" s="7"/>
      <c r="AE271" s="7"/>
      <c r="AF271" s="7"/>
      <c r="AG271" s="7"/>
      <c r="AH271" s="7"/>
      <c r="AI271" s="7"/>
      <c r="AJ271" s="7"/>
      <c r="AK271" s="7"/>
      <c r="AL271" s="7"/>
      <c r="AM271" s="7"/>
      <c r="AN271" s="7"/>
      <c r="AO271" s="7"/>
      <c r="AP271" s="7"/>
      <c r="AR271" s="496"/>
    </row>
    <row r="272" spans="1:44">
      <c r="A272" s="305" t="s">
        <v>388</v>
      </c>
      <c r="B272" s="61"/>
      <c r="C272" s="61">
        <v>105</v>
      </c>
      <c r="D272" s="237">
        <f>$D$198</f>
        <v>58</v>
      </c>
      <c r="E272" s="305" t="s">
        <v>362</v>
      </c>
      <c r="F272" s="490">
        <f>ROUND(D272*C272/100,0)</f>
        <v>61</v>
      </c>
      <c r="G272" s="1021">
        <f>$G$198</f>
        <v>58</v>
      </c>
      <c r="H272" s="305" t="s">
        <v>362</v>
      </c>
      <c r="I272" s="490">
        <f>ROUND(G272*$C272/100,0)</f>
        <v>61</v>
      </c>
      <c r="J272" s="490"/>
      <c r="K272" s="1021" t="e">
        <f>$K$198</f>
        <v>#REF!</v>
      </c>
      <c r="L272" s="305" t="s">
        <v>362</v>
      </c>
      <c r="M272" s="490" t="e">
        <f>ROUND(K272*$C272/100,0)</f>
        <v>#REF!</v>
      </c>
      <c r="N272" s="490"/>
      <c r="O272" s="1021" t="e">
        <f>$O$198</f>
        <v>#REF!</v>
      </c>
      <c r="P272" s="305" t="s">
        <v>362</v>
      </c>
      <c r="Q272" s="490" t="e">
        <f>ROUND(O272*$C272/100,0)</f>
        <v>#REF!</v>
      </c>
      <c r="R272" s="490"/>
      <c r="S272" s="1021" t="e">
        <f>$S$198</f>
        <v>#REF!</v>
      </c>
      <c r="T272" s="305" t="s">
        <v>362</v>
      </c>
      <c r="U272" s="490" t="e">
        <f>ROUND(S272*$C272/100,0)</f>
        <v>#REF!</v>
      </c>
      <c r="V272" s="7"/>
      <c r="W272" s="31"/>
      <c r="X272" s="31"/>
      <c r="Y272" s="31"/>
      <c r="Z272" s="7"/>
      <c r="AA272" s="7"/>
      <c r="AB272" s="7"/>
      <c r="AC272" s="7"/>
      <c r="AD272" s="7"/>
      <c r="AE272" s="7"/>
      <c r="AF272" s="7"/>
      <c r="AG272" s="7"/>
      <c r="AH272" s="7"/>
      <c r="AI272" s="7"/>
      <c r="AJ272" s="7"/>
      <c r="AK272" s="7"/>
      <c r="AL272" s="7"/>
      <c r="AM272" s="7"/>
      <c r="AN272" s="7"/>
      <c r="AO272" s="7"/>
      <c r="AP272" s="7"/>
      <c r="AR272" s="496"/>
    </row>
    <row r="273" spans="1:44" s="588" customFormat="1" hidden="1">
      <c r="A273" s="588" t="s">
        <v>771</v>
      </c>
      <c r="C273" s="631">
        <f>C269</f>
        <v>12898510.523406433</v>
      </c>
      <c r="D273" s="987">
        <v>0</v>
      </c>
      <c r="E273" s="635"/>
      <c r="F273" s="616"/>
      <c r="G273" s="987">
        <f>G199</f>
        <v>0</v>
      </c>
      <c r="H273" s="592" t="s">
        <v>362</v>
      </c>
      <c r="I273" s="616">
        <f t="shared" ref="I273:I275" si="59">ROUND(G273*$C273/100,0)</f>
        <v>0</v>
      </c>
      <c r="J273" s="616"/>
      <c r="K273" s="987" t="e">
        <f>K199</f>
        <v>#REF!</v>
      </c>
      <c r="L273" s="592" t="s">
        <v>362</v>
      </c>
      <c r="M273" s="616" t="e">
        <f t="shared" ref="M273:M275" si="60">ROUND(K273*$C273/100,0)</f>
        <v>#REF!</v>
      </c>
      <c r="N273" s="616"/>
      <c r="O273" s="987" t="e">
        <f>O199</f>
        <v>#REF!</v>
      </c>
      <c r="P273" s="592" t="s">
        <v>362</v>
      </c>
      <c r="Q273" s="616" t="e">
        <f t="shared" ref="Q273:Q275" si="61">ROUND(O273*$C273/100,0)</f>
        <v>#REF!</v>
      </c>
      <c r="R273" s="616"/>
      <c r="S273" s="987" t="e">
        <f>S199</f>
        <v>#REF!</v>
      </c>
      <c r="T273" s="592" t="s">
        <v>362</v>
      </c>
      <c r="U273" s="616" t="e">
        <f t="shared" ref="U273:U275" si="62">ROUND(S273*$C273/100,0)</f>
        <v>#REF!</v>
      </c>
      <c r="W273" s="450"/>
      <c r="Z273" s="989"/>
      <c r="AA273" s="989"/>
      <c r="AF273" s="635"/>
      <c r="AG273" s="635"/>
      <c r="AH273" s="635"/>
      <c r="AI273" s="635"/>
      <c r="AJ273" s="635"/>
      <c r="AK273" s="635"/>
      <c r="AL273" s="635"/>
      <c r="AM273" s="635"/>
      <c r="AN273" s="635"/>
      <c r="AO273" s="635"/>
      <c r="AP273" s="635"/>
      <c r="AR273" s="988"/>
    </row>
    <row r="274" spans="1:44" s="588" customFormat="1" hidden="1">
      <c r="A274" s="588" t="s">
        <v>772</v>
      </c>
      <c r="C274" s="631">
        <f>C270</f>
        <v>6969737.7449656567</v>
      </c>
      <c r="D274" s="987">
        <v>0</v>
      </c>
      <c r="E274" s="635"/>
      <c r="F274" s="616"/>
      <c r="G274" s="987">
        <f>G200</f>
        <v>0</v>
      </c>
      <c r="H274" s="592" t="s">
        <v>362</v>
      </c>
      <c r="I274" s="616">
        <f t="shared" si="59"/>
        <v>0</v>
      </c>
      <c r="J274" s="616"/>
      <c r="K274" s="987" t="e">
        <f>K200</f>
        <v>#REF!</v>
      </c>
      <c r="L274" s="592" t="s">
        <v>362</v>
      </c>
      <c r="M274" s="616" t="e">
        <f t="shared" si="60"/>
        <v>#REF!</v>
      </c>
      <c r="N274" s="616"/>
      <c r="O274" s="987" t="e">
        <f>O200</f>
        <v>#REF!</v>
      </c>
      <c r="P274" s="592" t="s">
        <v>362</v>
      </c>
      <c r="Q274" s="616" t="e">
        <f t="shared" si="61"/>
        <v>#REF!</v>
      </c>
      <c r="R274" s="616"/>
      <c r="S274" s="987" t="e">
        <f>S200</f>
        <v>#REF!</v>
      </c>
      <c r="T274" s="592" t="s">
        <v>362</v>
      </c>
      <c r="U274" s="616" t="e">
        <f t="shared" si="62"/>
        <v>#REF!</v>
      </c>
      <c r="W274" s="450"/>
      <c r="Z274" s="989"/>
      <c r="AA274" s="989"/>
      <c r="AF274" s="635"/>
      <c r="AG274" s="635"/>
      <c r="AH274" s="635"/>
      <c r="AI274" s="635"/>
      <c r="AJ274" s="635"/>
      <c r="AK274" s="635"/>
      <c r="AL274" s="635"/>
      <c r="AM274" s="635"/>
      <c r="AN274" s="635"/>
      <c r="AO274" s="635"/>
      <c r="AP274" s="635"/>
      <c r="AR274" s="988"/>
    </row>
    <row r="275" spans="1:44" s="588" customFormat="1" hidden="1">
      <c r="A275" s="588" t="s">
        <v>773</v>
      </c>
      <c r="C275" s="631">
        <f>C271</f>
        <v>958818.95498779241</v>
      </c>
      <c r="D275" s="987">
        <v>0</v>
      </c>
      <c r="E275" s="635"/>
      <c r="F275" s="616"/>
      <c r="G275" s="987">
        <f>G201</f>
        <v>0</v>
      </c>
      <c r="H275" s="592" t="s">
        <v>362</v>
      </c>
      <c r="I275" s="616">
        <f t="shared" si="59"/>
        <v>0</v>
      </c>
      <c r="J275" s="616"/>
      <c r="K275" s="987" t="e">
        <f>K201</f>
        <v>#REF!</v>
      </c>
      <c r="L275" s="592" t="s">
        <v>362</v>
      </c>
      <c r="M275" s="616" t="e">
        <f t="shared" si="60"/>
        <v>#REF!</v>
      </c>
      <c r="N275" s="616"/>
      <c r="O275" s="987" t="e">
        <f>O201</f>
        <v>#REF!</v>
      </c>
      <c r="P275" s="592" t="s">
        <v>362</v>
      </c>
      <c r="Q275" s="616" t="e">
        <f t="shared" si="61"/>
        <v>#REF!</v>
      </c>
      <c r="R275" s="616"/>
      <c r="S275" s="987" t="e">
        <f>S201</f>
        <v>#REF!</v>
      </c>
      <c r="T275" s="592" t="s">
        <v>362</v>
      </c>
      <c r="U275" s="616" t="e">
        <f t="shared" si="62"/>
        <v>#REF!</v>
      </c>
      <c r="W275" s="450"/>
      <c r="Z275" s="989"/>
      <c r="AA275" s="989"/>
      <c r="AF275" s="635"/>
      <c r="AG275" s="635"/>
      <c r="AH275" s="635"/>
      <c r="AI275" s="635"/>
      <c r="AJ275" s="635"/>
      <c r="AK275" s="635"/>
      <c r="AL275" s="635"/>
      <c r="AM275" s="635"/>
      <c r="AN275" s="635"/>
      <c r="AO275" s="635"/>
      <c r="AP275" s="635"/>
      <c r="AR275" s="988"/>
    </row>
    <row r="276" spans="1:44">
      <c r="A276" s="244" t="s">
        <v>389</v>
      </c>
      <c r="B276" s="61"/>
      <c r="C276" s="61"/>
      <c r="D276" s="1023">
        <f>$D$205</f>
        <v>-0.01</v>
      </c>
      <c r="E276" s="305"/>
      <c r="F276" s="490"/>
      <c r="G276" s="1023">
        <v>-0.01</v>
      </c>
      <c r="H276" s="305"/>
      <c r="I276" s="490"/>
      <c r="J276" s="490"/>
      <c r="K276" s="1023">
        <v>-0.01</v>
      </c>
      <c r="L276" s="305"/>
      <c r="M276" s="490"/>
      <c r="N276" s="490"/>
      <c r="O276" s="1023">
        <v>-0.01</v>
      </c>
      <c r="P276" s="305"/>
      <c r="Q276" s="490"/>
      <c r="R276" s="490"/>
      <c r="S276" s="1023">
        <v>-0.01</v>
      </c>
      <c r="T276" s="305"/>
      <c r="U276" s="490"/>
      <c r="V276" s="7"/>
      <c r="W276" s="31"/>
      <c r="X276" s="31"/>
      <c r="Y276" s="31"/>
      <c r="Z276" s="7"/>
      <c r="AA276" s="7"/>
      <c r="AB276" s="7"/>
      <c r="AC276" s="7"/>
      <c r="AD276" s="7"/>
      <c r="AE276" s="7"/>
      <c r="AF276" s="7"/>
      <c r="AG276" s="7"/>
      <c r="AH276" s="7"/>
      <c r="AI276" s="7"/>
      <c r="AJ276" s="7"/>
      <c r="AK276" s="7"/>
      <c r="AL276" s="7"/>
      <c r="AM276" s="7"/>
      <c r="AN276" s="7"/>
      <c r="AO276" s="7"/>
      <c r="AP276" s="7"/>
      <c r="AR276" s="496"/>
    </row>
    <row r="277" spans="1:44">
      <c r="A277" s="305" t="s">
        <v>378</v>
      </c>
      <c r="B277" s="305"/>
      <c r="C277" s="61">
        <v>0</v>
      </c>
      <c r="D277" s="237">
        <f>$D$230</f>
        <v>9.99</v>
      </c>
      <c r="E277" s="490"/>
      <c r="F277" s="490">
        <f>-ROUND(D277*$C277/100,0)</f>
        <v>0</v>
      </c>
      <c r="G277" s="237">
        <f>G264</f>
        <v>9.99</v>
      </c>
      <c r="H277" s="490"/>
      <c r="I277" s="490">
        <f>-ROUND(G277*$C277/100,0)</f>
        <v>0</v>
      </c>
      <c r="J277" s="490"/>
      <c r="K277" s="237" t="e">
        <f>K264</f>
        <v>#REF!</v>
      </c>
      <c r="L277" s="490"/>
      <c r="M277" s="490" t="e">
        <f>-ROUND(K277*$C277/100,0)</f>
        <v>#REF!</v>
      </c>
      <c r="N277" s="490"/>
      <c r="O277" s="237" t="e">
        <f>O264</f>
        <v>#REF!</v>
      </c>
      <c r="P277" s="490"/>
      <c r="Q277" s="490" t="e">
        <f>-ROUND(O277*$C277/100,0)</f>
        <v>#REF!</v>
      </c>
      <c r="R277" s="490"/>
      <c r="S277" s="237" t="e">
        <f>S264</f>
        <v>#REF!</v>
      </c>
      <c r="T277" s="490"/>
      <c r="U277" s="490" t="e">
        <f>-ROUND(S277*$C277/100,0)</f>
        <v>#REF!</v>
      </c>
      <c r="V277" s="7"/>
      <c r="W277" s="31"/>
      <c r="X277" s="31"/>
      <c r="Y277" s="31"/>
      <c r="Z277" s="7"/>
      <c r="AA277" s="7"/>
      <c r="AB277" s="7"/>
      <c r="AC277" s="7"/>
      <c r="AD277" s="7"/>
      <c r="AE277" s="7"/>
      <c r="AF277" s="7"/>
      <c r="AG277" s="7"/>
      <c r="AH277" s="7"/>
      <c r="AI277" s="7"/>
      <c r="AJ277" s="7"/>
      <c r="AK277" s="7"/>
      <c r="AL277" s="7"/>
      <c r="AM277" s="7"/>
      <c r="AN277" s="7"/>
      <c r="AO277" s="7"/>
      <c r="AP277" s="7"/>
      <c r="AR277" s="496"/>
    </row>
    <row r="278" spans="1:44">
      <c r="A278" s="305" t="s">
        <v>379</v>
      </c>
      <c r="B278" s="305"/>
      <c r="C278" s="61">
        <v>0</v>
      </c>
      <c r="D278" s="237">
        <f>$D$231</f>
        <v>14.89</v>
      </c>
      <c r="E278" s="490"/>
      <c r="F278" s="490">
        <f t="shared" ref="F278:F280" si="63">-ROUND(D278*$C278/100,0)</f>
        <v>0</v>
      </c>
      <c r="G278" s="237">
        <f>G265</f>
        <v>14.89</v>
      </c>
      <c r="H278" s="490"/>
      <c r="I278" s="490">
        <f>-ROUND(G278*$C278/100,0)</f>
        <v>0</v>
      </c>
      <c r="J278" s="490"/>
      <c r="K278" s="237" t="e">
        <f>K265</f>
        <v>#REF!</v>
      </c>
      <c r="L278" s="490"/>
      <c r="M278" s="490" t="e">
        <f>-ROUND(K278*$C278/100,0)</f>
        <v>#REF!</v>
      </c>
      <c r="N278" s="490"/>
      <c r="O278" s="237" t="e">
        <f>O265</f>
        <v>#REF!</v>
      </c>
      <c r="P278" s="490"/>
      <c r="Q278" s="490" t="e">
        <f>-ROUND(O278*$C278/100,0)</f>
        <v>#REF!</v>
      </c>
      <c r="R278" s="490"/>
      <c r="S278" s="237" t="e">
        <f>S265</f>
        <v>#REF!</v>
      </c>
      <c r="T278" s="490"/>
      <c r="U278" s="490" t="e">
        <f>-ROUND(S278*$C278/100,0)</f>
        <v>#REF!</v>
      </c>
      <c r="V278" s="7"/>
      <c r="W278" s="31"/>
      <c r="X278" s="31"/>
      <c r="Y278" s="31"/>
      <c r="Z278" s="7"/>
      <c r="AA278" s="7"/>
      <c r="AB278" s="7"/>
      <c r="AC278" s="7"/>
      <c r="AD278" s="7"/>
      <c r="AE278" s="7"/>
      <c r="AF278" s="7"/>
      <c r="AG278" s="7"/>
      <c r="AH278" s="7"/>
      <c r="AI278" s="7"/>
      <c r="AJ278" s="7"/>
      <c r="AK278" s="7"/>
      <c r="AL278" s="7"/>
      <c r="AM278" s="7"/>
      <c r="AN278" s="7"/>
      <c r="AO278" s="7"/>
      <c r="AP278" s="7"/>
      <c r="AR278" s="496"/>
    </row>
    <row r="279" spans="1:44">
      <c r="A279" s="305" t="s">
        <v>390</v>
      </c>
      <c r="B279" s="305"/>
      <c r="C279" s="61">
        <v>0</v>
      </c>
      <c r="D279" s="237">
        <f>$D$232</f>
        <v>1.04</v>
      </c>
      <c r="E279" s="490"/>
      <c r="F279" s="490">
        <f t="shared" si="63"/>
        <v>0</v>
      </c>
      <c r="G279" s="237">
        <f>G266</f>
        <v>1.04</v>
      </c>
      <c r="H279" s="490"/>
      <c r="I279" s="490">
        <f>-ROUND(G279*$C279/100,0)</f>
        <v>0</v>
      </c>
      <c r="J279" s="490"/>
      <c r="K279" s="237" t="e">
        <f>K266</f>
        <v>#REF!</v>
      </c>
      <c r="L279" s="490"/>
      <c r="M279" s="490" t="e">
        <f>-ROUND(K279*$C279/100,0)</f>
        <v>#REF!</v>
      </c>
      <c r="N279" s="490"/>
      <c r="O279" s="237" t="e">
        <f>O266</f>
        <v>#REF!</v>
      </c>
      <c r="P279" s="490"/>
      <c r="Q279" s="490" t="e">
        <f>-ROUND(O279*$C279/100,0)</f>
        <v>#REF!</v>
      </c>
      <c r="R279" s="490"/>
      <c r="S279" s="237" t="e">
        <f>S266</f>
        <v>#REF!</v>
      </c>
      <c r="T279" s="490"/>
      <c r="U279" s="490" t="e">
        <f>-ROUND(S279*$C279/100,0)</f>
        <v>#REF!</v>
      </c>
      <c r="V279" s="7"/>
      <c r="W279" s="31"/>
      <c r="X279" s="31"/>
      <c r="Y279" s="31"/>
      <c r="Z279" s="7"/>
      <c r="AA279" s="7"/>
      <c r="AB279" s="7"/>
      <c r="AC279" s="7"/>
      <c r="AD279" s="7"/>
      <c r="AE279" s="7"/>
      <c r="AF279" s="7"/>
      <c r="AG279" s="7"/>
      <c r="AH279" s="7"/>
      <c r="AI279" s="7"/>
      <c r="AJ279" s="7"/>
      <c r="AK279" s="7"/>
      <c r="AL279" s="7"/>
      <c r="AM279" s="7"/>
      <c r="AN279" s="7"/>
      <c r="AO279" s="7"/>
      <c r="AP279" s="7"/>
      <c r="AR279" s="496"/>
    </row>
    <row r="280" spans="1:44">
      <c r="A280" s="305" t="s">
        <v>401</v>
      </c>
      <c r="B280" s="305"/>
      <c r="C280" s="61">
        <f>0</f>
        <v>0</v>
      </c>
      <c r="D280" s="237">
        <f>$D$234</f>
        <v>3.8</v>
      </c>
      <c r="E280" s="305"/>
      <c r="F280" s="490">
        <f t="shared" si="63"/>
        <v>0</v>
      </c>
      <c r="G280" s="237">
        <f>G268</f>
        <v>3.8099999999999996</v>
      </c>
      <c r="H280" s="305"/>
      <c r="I280" s="490">
        <f>-ROUND(G280*$C280/100,0)</f>
        <v>0</v>
      </c>
      <c r="J280" s="490"/>
      <c r="K280" s="237" t="e">
        <f>K268</f>
        <v>#REF!</v>
      </c>
      <c r="L280" s="305"/>
      <c r="M280" s="490" t="e">
        <f>-ROUND(K280*$C280/100,0)</f>
        <v>#REF!</v>
      </c>
      <c r="N280" s="490"/>
      <c r="O280" s="237" t="e">
        <f>O268</f>
        <v>#REF!</v>
      </c>
      <c r="P280" s="305"/>
      <c r="Q280" s="490" t="e">
        <f>-ROUND(O280*$C280/100,0)</f>
        <v>#REF!</v>
      </c>
      <c r="R280" s="490"/>
      <c r="S280" s="237" t="e">
        <f>S268</f>
        <v>#REF!</v>
      </c>
      <c r="T280" s="305"/>
      <c r="U280" s="490" t="e">
        <f>-ROUND(S280*$C280/100,0)</f>
        <v>#REF!</v>
      </c>
      <c r="V280" s="7"/>
      <c r="W280" s="31"/>
      <c r="X280" s="31"/>
      <c r="Y280" s="31"/>
      <c r="Z280" s="7"/>
      <c r="AA280" s="7"/>
      <c r="AB280" s="7"/>
      <c r="AC280" s="7"/>
      <c r="AD280" s="7"/>
      <c r="AE280" s="7"/>
      <c r="AF280" s="7"/>
      <c r="AG280" s="7"/>
      <c r="AH280" s="7"/>
      <c r="AI280" s="7"/>
      <c r="AJ280" s="7"/>
      <c r="AK280" s="7"/>
      <c r="AL280" s="7"/>
      <c r="AM280" s="7"/>
      <c r="AN280" s="7"/>
      <c r="AO280" s="7"/>
      <c r="AP280" s="7"/>
      <c r="AR280" s="496"/>
    </row>
    <row r="281" spans="1:44">
      <c r="A281" s="305" t="s">
        <v>393</v>
      </c>
      <c r="B281" s="305"/>
      <c r="C281" s="61">
        <v>0</v>
      </c>
      <c r="D281" s="1025">
        <f>$D$235</f>
        <v>10.878</v>
      </c>
      <c r="E281" s="305" t="s">
        <v>362</v>
      </c>
      <c r="F281" s="490">
        <f>ROUND(D281*$C281/100*D276,0)</f>
        <v>0</v>
      </c>
      <c r="G281" s="1025">
        <f>G269</f>
        <v>10.879</v>
      </c>
      <c r="H281" s="305" t="s">
        <v>362</v>
      </c>
      <c r="I281" s="490">
        <f>ROUND(G281*$C281/100*G276,0)</f>
        <v>0</v>
      </c>
      <c r="J281" s="490"/>
      <c r="K281" s="1025" t="e">
        <f>K269</f>
        <v>#REF!</v>
      </c>
      <c r="L281" s="305" t="s">
        <v>362</v>
      </c>
      <c r="M281" s="490" t="e">
        <f>ROUND(K281*$C281/100*K276,0)</f>
        <v>#REF!</v>
      </c>
      <c r="N281" s="490"/>
      <c r="O281" s="1025" t="e">
        <f>O269</f>
        <v>#REF!</v>
      </c>
      <c r="P281" s="305" t="s">
        <v>362</v>
      </c>
      <c r="Q281" s="490" t="e">
        <f>ROUND(O281*$C281/100*O276,0)</f>
        <v>#REF!</v>
      </c>
      <c r="R281" s="490"/>
      <c r="S281" s="1025" t="e">
        <f>S269</f>
        <v>#REF!</v>
      </c>
      <c r="T281" s="305" t="s">
        <v>362</v>
      </c>
      <c r="U281" s="490" t="e">
        <f>ROUND(S281*$C281/100*S276,0)</f>
        <v>#REF!</v>
      </c>
      <c r="V281" s="7"/>
      <c r="W281" s="31"/>
      <c r="X281" s="31"/>
      <c r="Y281" s="31"/>
      <c r="Z281" s="7"/>
      <c r="AA281" s="7"/>
      <c r="AB281" s="7"/>
      <c r="AC281" s="7"/>
      <c r="AD281" s="7"/>
      <c r="AE281" s="7"/>
      <c r="AF281" s="7"/>
      <c r="AG281" s="7"/>
      <c r="AH281" s="7"/>
      <c r="AI281" s="7"/>
      <c r="AJ281" s="7"/>
      <c r="AK281" s="7"/>
      <c r="AL281" s="7"/>
      <c r="AM281" s="7"/>
      <c r="AN281" s="7"/>
      <c r="AO281" s="7"/>
      <c r="AP281" s="7"/>
      <c r="AR281" s="496"/>
    </row>
    <row r="282" spans="1:44">
      <c r="A282" s="305" t="s">
        <v>386</v>
      </c>
      <c r="B282" s="305"/>
      <c r="C282" s="61">
        <v>0</v>
      </c>
      <c r="D282" s="1025">
        <f>$D$236</f>
        <v>7.5140000000000002</v>
      </c>
      <c r="E282" s="305" t="s">
        <v>362</v>
      </c>
      <c r="F282" s="490">
        <f>ROUND(D282*$C282/100*D276,0)</f>
        <v>0</v>
      </c>
      <c r="G282" s="1025">
        <f>G270</f>
        <v>7.5140000000000002</v>
      </c>
      <c r="H282" s="305" t="s">
        <v>362</v>
      </c>
      <c r="I282" s="490">
        <f>ROUND(G282*$C282/100*G276,0)</f>
        <v>0</v>
      </c>
      <c r="J282" s="490"/>
      <c r="K282" s="1025" t="e">
        <f>K270</f>
        <v>#REF!</v>
      </c>
      <c r="L282" s="305" t="s">
        <v>362</v>
      </c>
      <c r="M282" s="490" t="e">
        <f>ROUND(K282*$C282/100*K276,0)</f>
        <v>#REF!</v>
      </c>
      <c r="N282" s="490"/>
      <c r="O282" s="1025" t="e">
        <f>O270</f>
        <v>#REF!</v>
      </c>
      <c r="P282" s="305" t="s">
        <v>362</v>
      </c>
      <c r="Q282" s="490" t="e">
        <f>ROUND(O282*$C282/100*O276,0)</f>
        <v>#REF!</v>
      </c>
      <c r="R282" s="490"/>
      <c r="S282" s="1025" t="e">
        <f>S270</f>
        <v>#REF!</v>
      </c>
      <c r="T282" s="305" t="s">
        <v>362</v>
      </c>
      <c r="U282" s="490" t="e">
        <f>ROUND(S282*$C282/100*S276,0)</f>
        <v>#REF!</v>
      </c>
      <c r="V282" s="7"/>
      <c r="W282" s="31"/>
      <c r="X282" s="31"/>
      <c r="Y282" s="31"/>
      <c r="Z282" s="7"/>
      <c r="AA282" s="7"/>
      <c r="AB282" s="7"/>
      <c r="AC282" s="7"/>
      <c r="AD282" s="7"/>
      <c r="AE282" s="7"/>
      <c r="AF282" s="7"/>
      <c r="AG282" s="7"/>
      <c r="AH282" s="7"/>
      <c r="AI282" s="7"/>
      <c r="AJ282" s="7"/>
      <c r="AK282" s="7"/>
      <c r="AL282" s="7"/>
      <c r="AM282" s="7"/>
      <c r="AN282" s="7"/>
      <c r="AO282" s="7"/>
      <c r="AP282" s="7"/>
      <c r="AR282" s="496"/>
    </row>
    <row r="283" spans="1:44">
      <c r="A283" s="305" t="s">
        <v>387</v>
      </c>
      <c r="B283" s="305"/>
      <c r="C283" s="61">
        <v>0</v>
      </c>
      <c r="D283" s="1025">
        <f>$D$237</f>
        <v>6.4720000000000004</v>
      </c>
      <c r="E283" s="305" t="s">
        <v>362</v>
      </c>
      <c r="F283" s="490">
        <f>ROUND(D283*$C283/100*D276,0)</f>
        <v>0</v>
      </c>
      <c r="G283" s="1025">
        <f>G271</f>
        <v>6.4720000000000004</v>
      </c>
      <c r="H283" s="305" t="s">
        <v>362</v>
      </c>
      <c r="I283" s="490">
        <f>ROUND(G283*$C283/100*G276,0)</f>
        <v>0</v>
      </c>
      <c r="J283" s="490"/>
      <c r="K283" s="1025" t="e">
        <f>K271</f>
        <v>#REF!</v>
      </c>
      <c r="L283" s="305" t="s">
        <v>362</v>
      </c>
      <c r="M283" s="490" t="e">
        <f>ROUND(K283*$C283/100*K276,0)</f>
        <v>#REF!</v>
      </c>
      <c r="N283" s="490"/>
      <c r="O283" s="1025" t="e">
        <f>O271</f>
        <v>#REF!</v>
      </c>
      <c r="P283" s="305" t="s">
        <v>362</v>
      </c>
      <c r="Q283" s="490" t="e">
        <f>ROUND(O283*$C283/100*O276,0)</f>
        <v>#REF!</v>
      </c>
      <c r="R283" s="490"/>
      <c r="S283" s="1025" t="e">
        <f>S271</f>
        <v>#REF!</v>
      </c>
      <c r="T283" s="305" t="s">
        <v>362</v>
      </c>
      <c r="U283" s="490" t="e">
        <f>ROUND(S283*$C283/100*S276,0)</f>
        <v>#REF!</v>
      </c>
      <c r="V283" s="7"/>
      <c r="W283" s="31"/>
      <c r="X283" s="31"/>
      <c r="Y283" s="31"/>
      <c r="Z283" s="7"/>
      <c r="AA283" s="7"/>
      <c r="AB283" s="7"/>
      <c r="AC283" s="7"/>
      <c r="AD283" s="7"/>
      <c r="AE283" s="7"/>
      <c r="AF283" s="7"/>
      <c r="AG283" s="7"/>
      <c r="AH283" s="7"/>
      <c r="AI283" s="7"/>
      <c r="AJ283" s="7"/>
      <c r="AK283" s="7"/>
      <c r="AL283" s="7"/>
      <c r="AM283" s="7"/>
      <c r="AN283" s="7"/>
      <c r="AO283" s="7"/>
      <c r="AP283" s="7"/>
      <c r="AR283" s="496"/>
    </row>
    <row r="284" spans="1:44">
      <c r="A284" s="305" t="s">
        <v>388</v>
      </c>
      <c r="B284" s="305"/>
      <c r="C284" s="61">
        <v>0</v>
      </c>
      <c r="D284" s="1026">
        <f>$D$238</f>
        <v>58</v>
      </c>
      <c r="E284" s="305" t="s">
        <v>362</v>
      </c>
      <c r="F284" s="490">
        <f>ROUND(D284*$C284/100*D276,0)</f>
        <v>0</v>
      </c>
      <c r="G284" s="1026">
        <f>G272</f>
        <v>58</v>
      </c>
      <c r="H284" s="305" t="s">
        <v>362</v>
      </c>
      <c r="I284" s="490">
        <f>ROUND(G284*$C284/100*G276,0)</f>
        <v>0</v>
      </c>
      <c r="J284" s="490"/>
      <c r="K284" s="1026" t="e">
        <f>K272</f>
        <v>#REF!</v>
      </c>
      <c r="L284" s="305" t="s">
        <v>362</v>
      </c>
      <c r="M284" s="490" t="e">
        <f>ROUND(K284*$C284/100*K276,0)</f>
        <v>#REF!</v>
      </c>
      <c r="N284" s="490"/>
      <c r="O284" s="1026" t="e">
        <f>O272</f>
        <v>#REF!</v>
      </c>
      <c r="P284" s="305" t="s">
        <v>362</v>
      </c>
      <c r="Q284" s="490" t="e">
        <f>ROUND(O284*$C284/100*O276,0)</f>
        <v>#REF!</v>
      </c>
      <c r="R284" s="490"/>
      <c r="S284" s="1026" t="e">
        <f>S272</f>
        <v>#REF!</v>
      </c>
      <c r="T284" s="305" t="s">
        <v>362</v>
      </c>
      <c r="U284" s="490" t="e">
        <f>ROUND(S284*$C284/100*S276,0)</f>
        <v>#REF!</v>
      </c>
      <c r="V284" s="7"/>
      <c r="W284" s="31"/>
      <c r="X284" s="31"/>
      <c r="Y284" s="31"/>
      <c r="Z284" s="7"/>
      <c r="AA284" s="7"/>
      <c r="AB284" s="7"/>
      <c r="AC284" s="7"/>
      <c r="AD284" s="7"/>
      <c r="AE284" s="7"/>
      <c r="AF284" s="7"/>
      <c r="AG284" s="7"/>
      <c r="AH284" s="7"/>
      <c r="AI284" s="7"/>
      <c r="AJ284" s="7"/>
      <c r="AK284" s="7"/>
      <c r="AL284" s="7"/>
      <c r="AM284" s="7"/>
      <c r="AN284" s="7"/>
      <c r="AO284" s="7"/>
      <c r="AP284" s="7"/>
      <c r="AR284" s="496"/>
    </row>
    <row r="285" spans="1:44">
      <c r="A285" s="305" t="s">
        <v>395</v>
      </c>
      <c r="B285" s="305"/>
      <c r="C285" s="61">
        <v>0</v>
      </c>
      <c r="D285" s="237">
        <v>60</v>
      </c>
      <c r="E285" s="305"/>
      <c r="F285" s="490">
        <f>ROUND(D285*C285,0)</f>
        <v>0</v>
      </c>
      <c r="G285" s="237">
        <f>$G$214</f>
        <v>60</v>
      </c>
      <c r="H285" s="305"/>
      <c r="I285" s="490">
        <f>ROUND(G285*$C285,0)</f>
        <v>0</v>
      </c>
      <c r="J285" s="490"/>
      <c r="K285" s="237" t="str">
        <f>$K$214</f>
        <v xml:space="preserve"> </v>
      </c>
      <c r="L285" s="305"/>
      <c r="M285" s="490">
        <f>ROUND(K285*$C285,0)</f>
        <v>0</v>
      </c>
      <c r="N285" s="490"/>
      <c r="O285" s="237" t="e">
        <f>$O$214</f>
        <v>#REF!</v>
      </c>
      <c r="P285" s="305"/>
      <c r="Q285" s="490" t="e">
        <f>ROUND(O285*$C285,0)</f>
        <v>#REF!</v>
      </c>
      <c r="R285" s="490"/>
      <c r="S285" s="237" t="e">
        <f>$S$214</f>
        <v>#REF!</v>
      </c>
      <c r="T285" s="305"/>
      <c r="U285" s="490" t="e">
        <f>ROUND(S285*$C285,0)</f>
        <v>#REF!</v>
      </c>
      <c r="V285" s="7"/>
      <c r="W285" s="31"/>
      <c r="X285" s="31"/>
      <c r="Y285" s="31"/>
      <c r="Z285" s="7"/>
      <c r="AA285" s="7"/>
      <c r="AB285" s="7"/>
      <c r="AC285" s="7"/>
      <c r="AD285" s="7"/>
      <c r="AE285" s="7"/>
      <c r="AF285" s="7"/>
      <c r="AG285" s="7"/>
      <c r="AH285" s="7"/>
      <c r="AI285" s="7"/>
      <c r="AJ285" s="7"/>
      <c r="AK285" s="7"/>
      <c r="AL285" s="7"/>
      <c r="AM285" s="7"/>
      <c r="AN285" s="7"/>
      <c r="AO285" s="7"/>
      <c r="AP285" s="7"/>
      <c r="AR285" s="496"/>
    </row>
    <row r="286" spans="1:44">
      <c r="A286" s="305" t="s">
        <v>396</v>
      </c>
      <c r="B286" s="305"/>
      <c r="C286" s="61">
        <v>0</v>
      </c>
      <c r="D286" s="1027">
        <v>-30</v>
      </c>
      <c r="E286" s="305" t="s">
        <v>362</v>
      </c>
      <c r="F286" s="490">
        <f>ROUND(D286*C286/100,0)</f>
        <v>0</v>
      </c>
      <c r="G286" s="1027">
        <f>$G$215</f>
        <v>-30</v>
      </c>
      <c r="H286" s="305" t="s">
        <v>362</v>
      </c>
      <c r="I286" s="490">
        <f>ROUND(G286*$C286/100,0)</f>
        <v>0</v>
      </c>
      <c r="J286" s="490"/>
      <c r="K286" s="1027" t="e">
        <f>$K$215</f>
        <v>#REF!</v>
      </c>
      <c r="L286" s="305" t="s">
        <v>362</v>
      </c>
      <c r="M286" s="490" t="e">
        <f>ROUND(K286*$C286/100,0)</f>
        <v>#REF!</v>
      </c>
      <c r="N286" s="490"/>
      <c r="O286" s="1027" t="str">
        <f>$O$215</f>
        <v xml:space="preserve"> </v>
      </c>
      <c r="P286" s="305" t="s">
        <v>362</v>
      </c>
      <c r="Q286" s="490">
        <f>ROUND(O286*$C286/100,0)</f>
        <v>0</v>
      </c>
      <c r="R286" s="490"/>
      <c r="S286" s="1027" t="str">
        <f>$S$215</f>
        <v xml:space="preserve"> </v>
      </c>
      <c r="T286" s="305" t="s">
        <v>362</v>
      </c>
      <c r="U286" s="490">
        <f>ROUND(S286*$C286/100,0)</f>
        <v>0</v>
      </c>
      <c r="V286" s="7"/>
      <c r="W286" s="31"/>
      <c r="X286" s="31"/>
      <c r="Y286" s="31"/>
      <c r="Z286" s="7"/>
      <c r="AA286" s="7"/>
      <c r="AB286" s="7"/>
      <c r="AC286" s="7"/>
      <c r="AD286" s="7"/>
      <c r="AE286" s="7"/>
      <c r="AF286" s="7"/>
      <c r="AG286" s="7"/>
      <c r="AH286" s="7"/>
      <c r="AI286" s="7"/>
      <c r="AJ286" s="7"/>
      <c r="AK286" s="7"/>
      <c r="AL286" s="7"/>
      <c r="AM286" s="7"/>
      <c r="AN286" s="7"/>
      <c r="AO286" s="7"/>
      <c r="AP286" s="7"/>
      <c r="AR286" s="496"/>
    </row>
    <row r="287" spans="1:44" s="588" customFormat="1" hidden="1">
      <c r="A287" s="588" t="s">
        <v>771</v>
      </c>
      <c r="C287" s="631">
        <f>C269</f>
        <v>12898510.523406433</v>
      </c>
      <c r="D287" s="987">
        <v>0</v>
      </c>
      <c r="E287" s="635"/>
      <c r="F287" s="616"/>
      <c r="G287" s="987">
        <f>G199</f>
        <v>0</v>
      </c>
      <c r="H287" s="592" t="s">
        <v>362</v>
      </c>
      <c r="I287" s="616">
        <f>ROUND(G287*$C287/100*G276,0)</f>
        <v>0</v>
      </c>
      <c r="J287" s="616"/>
      <c r="K287" s="987" t="e">
        <f>K199</f>
        <v>#REF!</v>
      </c>
      <c r="L287" s="592" t="s">
        <v>362</v>
      </c>
      <c r="M287" s="616" t="e">
        <f>ROUND(K287*$C287/100*K276,0)</f>
        <v>#REF!</v>
      </c>
      <c r="N287" s="616"/>
      <c r="O287" s="987" t="e">
        <f>O199</f>
        <v>#REF!</v>
      </c>
      <c r="P287" s="592" t="s">
        <v>362</v>
      </c>
      <c r="Q287" s="616" t="e">
        <f>ROUND(O287*$C287/100*O276,0)</f>
        <v>#REF!</v>
      </c>
      <c r="R287" s="616"/>
      <c r="S287" s="987" t="e">
        <f>S199</f>
        <v>#REF!</v>
      </c>
      <c r="T287" s="592" t="s">
        <v>362</v>
      </c>
      <c r="U287" s="616" t="e">
        <f>ROUND(S287*$C287/100*S276,0)</f>
        <v>#REF!</v>
      </c>
      <c r="W287" s="450"/>
      <c r="Z287" s="989"/>
      <c r="AA287" s="989"/>
      <c r="AF287" s="635"/>
      <c r="AG287" s="635"/>
      <c r="AH287" s="635"/>
      <c r="AI287" s="635"/>
      <c r="AJ287" s="635"/>
      <c r="AK287" s="635"/>
      <c r="AL287" s="635"/>
      <c r="AM287" s="635"/>
      <c r="AN287" s="635"/>
      <c r="AO287" s="635"/>
      <c r="AP287" s="635"/>
      <c r="AR287" s="988"/>
    </row>
    <row r="288" spans="1:44" s="588" customFormat="1" hidden="1">
      <c r="A288" s="588" t="s">
        <v>772</v>
      </c>
      <c r="C288" s="631">
        <f>C270</f>
        <v>6969737.7449656567</v>
      </c>
      <c r="D288" s="987">
        <v>0</v>
      </c>
      <c r="E288" s="635"/>
      <c r="F288" s="616"/>
      <c r="G288" s="987">
        <f>G200</f>
        <v>0</v>
      </c>
      <c r="H288" s="592" t="s">
        <v>362</v>
      </c>
      <c r="I288" s="616">
        <f>ROUND(G288*$C288/100*G276,0)</f>
        <v>0</v>
      </c>
      <c r="J288" s="616"/>
      <c r="K288" s="987" t="e">
        <f>K200</f>
        <v>#REF!</v>
      </c>
      <c r="L288" s="592" t="s">
        <v>362</v>
      </c>
      <c r="M288" s="616" t="e">
        <f>ROUND(K288*$C288/100*K276,0)</f>
        <v>#REF!</v>
      </c>
      <c r="N288" s="616"/>
      <c r="O288" s="987" t="e">
        <f>O200</f>
        <v>#REF!</v>
      </c>
      <c r="P288" s="592" t="s">
        <v>362</v>
      </c>
      <c r="Q288" s="616" t="e">
        <f>ROUND(O288*$C288/100*O276,0)</f>
        <v>#REF!</v>
      </c>
      <c r="R288" s="616"/>
      <c r="S288" s="987" t="e">
        <f>S200</f>
        <v>#REF!</v>
      </c>
      <c r="T288" s="592" t="s">
        <v>362</v>
      </c>
      <c r="U288" s="616" t="e">
        <f>ROUND(S288*$C288/100*S276,0)</f>
        <v>#REF!</v>
      </c>
      <c r="W288" s="450"/>
      <c r="Z288" s="989"/>
      <c r="AA288" s="989"/>
      <c r="AF288" s="635"/>
      <c r="AG288" s="635"/>
      <c r="AH288" s="635"/>
      <c r="AI288" s="635"/>
      <c r="AJ288" s="635"/>
      <c r="AK288" s="635"/>
      <c r="AL288" s="635"/>
      <c r="AM288" s="635"/>
      <c r="AN288" s="635"/>
      <c r="AO288" s="635"/>
      <c r="AP288" s="635"/>
      <c r="AR288" s="988"/>
    </row>
    <row r="289" spans="1:44" s="588" customFormat="1" hidden="1">
      <c r="A289" s="588" t="s">
        <v>773</v>
      </c>
      <c r="C289" s="631">
        <f>C271</f>
        <v>958818.95498779241</v>
      </c>
      <c r="D289" s="987">
        <v>0</v>
      </c>
      <c r="E289" s="635"/>
      <c r="F289" s="616"/>
      <c r="G289" s="987">
        <f>G201</f>
        <v>0</v>
      </c>
      <c r="H289" s="592" t="s">
        <v>362</v>
      </c>
      <c r="I289" s="616">
        <f>ROUND(G289*$C289/100*G276,0)</f>
        <v>0</v>
      </c>
      <c r="J289" s="616"/>
      <c r="K289" s="987" t="e">
        <f>K201</f>
        <v>#REF!</v>
      </c>
      <c r="L289" s="592" t="s">
        <v>362</v>
      </c>
      <c r="M289" s="616" t="e">
        <f>ROUND(K289*$C289/100*K276,0)</f>
        <v>#REF!</v>
      </c>
      <c r="N289" s="616"/>
      <c r="O289" s="987" t="e">
        <f>O201</f>
        <v>#REF!</v>
      </c>
      <c r="P289" s="592" t="s">
        <v>362</v>
      </c>
      <c r="Q289" s="616" t="e">
        <f>ROUND(O289*$C289/100*O276,0)</f>
        <v>#REF!</v>
      </c>
      <c r="R289" s="616"/>
      <c r="S289" s="987" t="e">
        <f>S201</f>
        <v>#REF!</v>
      </c>
      <c r="T289" s="592" t="s">
        <v>362</v>
      </c>
      <c r="U289" s="616" t="e">
        <f>ROUND(S289*$C289/100*S276,0)</f>
        <v>#REF!</v>
      </c>
      <c r="W289" s="450"/>
      <c r="Z289" s="989"/>
      <c r="AA289" s="989"/>
      <c r="AF289" s="635"/>
      <c r="AG289" s="635"/>
      <c r="AH289" s="635"/>
      <c r="AI289" s="635"/>
      <c r="AJ289" s="635"/>
      <c r="AK289" s="635"/>
      <c r="AL289" s="635"/>
      <c r="AM289" s="635"/>
      <c r="AN289" s="635"/>
      <c r="AO289" s="635"/>
      <c r="AP289" s="635"/>
      <c r="AR289" s="988"/>
    </row>
    <row r="290" spans="1:44">
      <c r="A290" s="305" t="s">
        <v>369</v>
      </c>
      <c r="B290" s="1010"/>
      <c r="C290" s="61">
        <f>SUM(C269:C271)</f>
        <v>20827067.223359883</v>
      </c>
      <c r="D290" s="1021"/>
      <c r="E290" s="305"/>
      <c r="F290" s="490">
        <f>SUM(F264:F286)</f>
        <v>2493324</v>
      </c>
      <c r="G290" s="1021"/>
      <c r="H290" s="305"/>
      <c r="I290" s="490">
        <f>SUM(I264:I289)</f>
        <v>2493587</v>
      </c>
      <c r="J290" s="490"/>
      <c r="K290" s="1021"/>
      <c r="L290" s="305"/>
      <c r="M290" s="490" t="e">
        <f>SUM(M264:M289)</f>
        <v>#REF!</v>
      </c>
      <c r="N290" s="490"/>
      <c r="O290" s="1021"/>
      <c r="P290" s="305"/>
      <c r="Q290" s="490" t="e">
        <f>SUM(Q264:Q289)</f>
        <v>#REF!</v>
      </c>
      <c r="R290" s="490"/>
      <c r="S290" s="1021"/>
      <c r="T290" s="305"/>
      <c r="U290" s="490" t="e">
        <f>SUM(U264:U289)</f>
        <v>#REF!</v>
      </c>
      <c r="V290" s="342"/>
      <c r="W290" s="31"/>
      <c r="X290" s="31"/>
      <c r="Y290" s="31"/>
      <c r="Z290" s="7"/>
      <c r="AA290" s="7"/>
      <c r="AB290" s="7"/>
      <c r="AC290" s="7"/>
      <c r="AD290" s="7"/>
      <c r="AE290" s="7"/>
      <c r="AF290" s="7"/>
      <c r="AG290" s="7"/>
      <c r="AH290" s="7"/>
      <c r="AI290" s="7"/>
      <c r="AJ290" s="7"/>
      <c r="AK290" s="7"/>
      <c r="AL290" s="7"/>
      <c r="AM290" s="7"/>
      <c r="AN290" s="7"/>
      <c r="AO290" s="7"/>
      <c r="AP290" s="7"/>
      <c r="AR290" s="496"/>
    </row>
    <row r="291" spans="1:44">
      <c r="A291" s="305" t="s">
        <v>351</v>
      </c>
      <c r="B291" s="305"/>
      <c r="C291" s="1017">
        <f>'Table 2'!H18</f>
        <v>-272078.96310479299</v>
      </c>
      <c r="D291" s="305"/>
      <c r="E291" s="305"/>
      <c r="F291" s="993">
        <f>'Table 3'!E18</f>
        <v>9974.135363005058</v>
      </c>
      <c r="G291" s="305"/>
      <c r="H291" s="305"/>
      <c r="I291" s="993">
        <f>F291</f>
        <v>9974.135363005058</v>
      </c>
      <c r="J291" s="723"/>
      <c r="K291" s="305"/>
      <c r="L291" s="305"/>
      <c r="M291" s="993" t="e">
        <f ca="1">M220/I220*I291</f>
        <v>#DIV/0!</v>
      </c>
      <c r="N291" s="723"/>
      <c r="O291" s="305"/>
      <c r="P291" s="305"/>
      <c r="Q291" s="993" t="e">
        <f ca="1">Q220/I220*I291</f>
        <v>#DIV/0!</v>
      </c>
      <c r="R291" s="723"/>
      <c r="S291" s="305"/>
      <c r="T291" s="305"/>
      <c r="U291" s="993" t="e">
        <f ca="1">U220/I220*I291</f>
        <v>#DIV/0!</v>
      </c>
      <c r="V291" s="714"/>
      <c r="W291" s="171"/>
      <c r="X291" s="31"/>
      <c r="Y291" s="31"/>
      <c r="Z291" s="7"/>
      <c r="AA291" s="7"/>
      <c r="AB291" s="7"/>
      <c r="AC291" s="7"/>
      <c r="AD291" s="7"/>
      <c r="AE291" s="7"/>
      <c r="AF291" s="7"/>
      <c r="AG291" s="7"/>
      <c r="AH291" s="7"/>
      <c r="AI291" s="7"/>
      <c r="AJ291" s="7"/>
      <c r="AK291" s="7"/>
      <c r="AL291" s="7"/>
      <c r="AM291" s="7"/>
      <c r="AN291" s="7"/>
      <c r="AO291" s="7"/>
      <c r="AP291" s="7"/>
      <c r="AR291" s="496"/>
    </row>
    <row r="292" spans="1:44" ht="16.5" thickBot="1">
      <c r="A292" s="305" t="s">
        <v>370</v>
      </c>
      <c r="B292" s="305"/>
      <c r="C292" s="1012">
        <f>SUM(C290:C291)</f>
        <v>20554988.260255091</v>
      </c>
      <c r="D292" s="1036"/>
      <c r="E292" s="1030"/>
      <c r="F292" s="995">
        <f>F290+F291</f>
        <v>2503298.1353630051</v>
      </c>
      <c r="G292" s="1036"/>
      <c r="H292" s="1030"/>
      <c r="I292" s="995">
        <f>I290+I291</f>
        <v>2503561.1353630051</v>
      </c>
      <c r="J292" s="723"/>
      <c r="K292" s="1036"/>
      <c r="L292" s="1030"/>
      <c r="M292" s="995" t="e">
        <f ca="1">M290+M291</f>
        <v>#REF!</v>
      </c>
      <c r="N292" s="995"/>
      <c r="O292" s="1036"/>
      <c r="P292" s="1030"/>
      <c r="Q292" s="995" t="e">
        <f ca="1">Q290+Q291</f>
        <v>#REF!</v>
      </c>
      <c r="R292" s="995"/>
      <c r="S292" s="1036"/>
      <c r="T292" s="1030"/>
      <c r="U292" s="995" t="e">
        <f ca="1">U290+U291</f>
        <v>#REF!</v>
      </c>
      <c r="V292" s="295"/>
      <c r="W292" s="354"/>
      <c r="X292" s="31"/>
      <c r="Y292" s="31"/>
      <c r="Z292" s="7"/>
      <c r="AA292" s="7"/>
      <c r="AB292" s="7"/>
      <c r="AC292" s="7"/>
      <c r="AD292" s="7"/>
      <c r="AE292" s="7"/>
      <c r="AF292" s="7"/>
      <c r="AG292" s="7"/>
      <c r="AH292" s="7"/>
      <c r="AI292" s="7"/>
      <c r="AJ292" s="7"/>
      <c r="AK292" s="7"/>
      <c r="AL292" s="7"/>
      <c r="AM292" s="7"/>
      <c r="AN292" s="7"/>
      <c r="AO292" s="7"/>
      <c r="AP292" s="7"/>
      <c r="AR292" s="496"/>
    </row>
    <row r="293" spans="1:44" ht="16.5" thickTop="1">
      <c r="A293" s="305"/>
      <c r="B293" s="305"/>
      <c r="C293" s="61"/>
      <c r="D293" s="237"/>
      <c r="E293" s="305"/>
      <c r="F293" s="490"/>
      <c r="G293" s="237"/>
      <c r="H293" s="305"/>
      <c r="I293" s="490" t="s">
        <v>31</v>
      </c>
      <c r="J293" s="490"/>
      <c r="K293" s="237"/>
      <c r="L293" s="305"/>
      <c r="M293" s="490" t="s">
        <v>31</v>
      </c>
      <c r="N293" s="490"/>
      <c r="O293" s="237"/>
      <c r="P293" s="305"/>
      <c r="Q293" s="490" t="s">
        <v>31</v>
      </c>
      <c r="R293" s="490"/>
      <c r="S293" s="237"/>
      <c r="T293" s="305"/>
      <c r="U293" s="490" t="s">
        <v>31</v>
      </c>
      <c r="V293" s="7"/>
      <c r="W293" s="31"/>
      <c r="X293" s="31"/>
      <c r="Y293" s="31"/>
      <c r="Z293" s="7"/>
      <c r="AA293" s="7"/>
      <c r="AB293" s="7"/>
      <c r="AC293" s="7"/>
      <c r="AD293" s="7"/>
      <c r="AE293" s="7"/>
      <c r="AF293" s="7"/>
      <c r="AG293" s="7"/>
      <c r="AH293" s="7"/>
      <c r="AI293" s="7"/>
      <c r="AJ293" s="7"/>
      <c r="AK293" s="7"/>
      <c r="AL293" s="7"/>
      <c r="AM293" s="7"/>
      <c r="AN293" s="7"/>
      <c r="AO293" s="7"/>
      <c r="AP293" s="7"/>
      <c r="AR293" s="496"/>
    </row>
    <row r="294" spans="1:44">
      <c r="A294" s="305"/>
      <c r="B294" s="305"/>
      <c r="C294" s="61"/>
      <c r="D294" s="237"/>
      <c r="E294" s="305"/>
      <c r="F294" s="490"/>
      <c r="G294" s="237"/>
      <c r="H294" s="305"/>
      <c r="I294" s="490" t="s">
        <v>31</v>
      </c>
      <c r="J294" s="490"/>
      <c r="K294" s="237"/>
      <c r="L294" s="305"/>
      <c r="M294" s="490" t="s">
        <v>31</v>
      </c>
      <c r="N294" s="490"/>
      <c r="O294" s="237"/>
      <c r="P294" s="305"/>
      <c r="Q294" s="490" t="s">
        <v>31</v>
      </c>
      <c r="R294" s="490"/>
      <c r="S294" s="237"/>
      <c r="T294" s="305"/>
      <c r="U294" s="490" t="s">
        <v>31</v>
      </c>
      <c r="V294" s="7"/>
      <c r="W294" s="31"/>
      <c r="X294" s="31"/>
      <c r="Y294" s="31"/>
      <c r="Z294" s="7"/>
      <c r="AA294" s="7"/>
      <c r="AB294" s="7"/>
      <c r="AC294" s="7"/>
      <c r="AD294" s="7"/>
      <c r="AE294" s="7"/>
      <c r="AF294" s="7"/>
      <c r="AG294" s="7"/>
      <c r="AH294" s="7"/>
      <c r="AI294" s="7"/>
      <c r="AJ294" s="7"/>
      <c r="AK294" s="7"/>
      <c r="AL294" s="7"/>
      <c r="AM294" s="7"/>
      <c r="AN294" s="7"/>
      <c r="AO294" s="7"/>
      <c r="AP294" s="7"/>
      <c r="AR294" s="496"/>
    </row>
    <row r="295" spans="1:44">
      <c r="A295" s="305" t="s">
        <v>375</v>
      </c>
      <c r="B295" s="305"/>
      <c r="C295" s="305"/>
      <c r="D295" s="490"/>
      <c r="E295" s="305"/>
      <c r="F295" s="305"/>
      <c r="G295" s="490"/>
      <c r="H295" s="305"/>
      <c r="I295" s="305"/>
      <c r="J295" s="305"/>
      <c r="K295" s="490"/>
      <c r="L295" s="305"/>
      <c r="M295" s="305"/>
      <c r="N295" s="305"/>
      <c r="O295" s="490"/>
      <c r="P295" s="305"/>
      <c r="Q295" s="305"/>
      <c r="R295" s="305"/>
      <c r="S295" s="490"/>
      <c r="T295" s="305"/>
      <c r="U295" s="305"/>
      <c r="V295" s="7"/>
      <c r="W295" s="31"/>
      <c r="X295" s="31"/>
      <c r="Y295" s="31"/>
      <c r="Z295" s="7"/>
      <c r="AA295" s="7"/>
      <c r="AB295" s="7"/>
      <c r="AC295" s="7"/>
      <c r="AD295" s="7"/>
      <c r="AE295" s="7"/>
      <c r="AF295" s="7"/>
      <c r="AG295" s="7"/>
      <c r="AH295" s="7"/>
      <c r="AI295" s="7"/>
      <c r="AJ295" s="7"/>
      <c r="AK295" s="7"/>
      <c r="AL295" s="7"/>
      <c r="AM295" s="7"/>
      <c r="AN295" s="7"/>
      <c r="AO295" s="7"/>
      <c r="AP295" s="7"/>
      <c r="AR295" s="496"/>
    </row>
    <row r="296" spans="1:44">
      <c r="A296" s="305" t="s">
        <v>399</v>
      </c>
      <c r="B296" s="305"/>
      <c r="C296" s="305"/>
      <c r="D296" s="490"/>
      <c r="E296" s="305"/>
      <c r="F296" s="305"/>
      <c r="G296" s="490"/>
      <c r="H296" s="305"/>
      <c r="I296" s="305"/>
      <c r="J296" s="305"/>
      <c r="K296" s="490"/>
      <c r="L296" s="305"/>
      <c r="M296" s="305"/>
      <c r="N296" s="305"/>
      <c r="O296" s="490"/>
      <c r="P296" s="305"/>
      <c r="Q296" s="305"/>
      <c r="R296" s="305"/>
      <c r="S296" s="490"/>
      <c r="T296" s="305"/>
      <c r="U296" s="305"/>
      <c r="V296" s="7"/>
      <c r="W296" s="31"/>
      <c r="X296" s="31"/>
      <c r="Y296" s="31"/>
      <c r="Z296" s="7"/>
      <c r="AA296" s="7"/>
      <c r="AB296" s="7"/>
      <c r="AC296" s="7"/>
      <c r="AD296" s="7"/>
      <c r="AE296" s="7"/>
      <c r="AF296" s="7"/>
      <c r="AG296" s="7"/>
      <c r="AH296" s="7"/>
      <c r="AI296" s="7"/>
      <c r="AJ296" s="7"/>
      <c r="AK296" s="7"/>
      <c r="AL296" s="7"/>
      <c r="AM296" s="7"/>
      <c r="AN296" s="7"/>
      <c r="AO296" s="7"/>
      <c r="AP296" s="7"/>
      <c r="AR296" s="496"/>
    </row>
    <row r="297" spans="1:44">
      <c r="A297" s="305" t="s">
        <v>400</v>
      </c>
      <c r="B297" s="305"/>
      <c r="C297" s="61"/>
      <c r="D297" s="490"/>
      <c r="E297" s="305"/>
      <c r="F297" s="305"/>
      <c r="G297" s="490"/>
      <c r="H297" s="305"/>
      <c r="I297" s="305"/>
      <c r="J297" s="305"/>
      <c r="K297" s="490"/>
      <c r="L297" s="305"/>
      <c r="M297" s="305"/>
      <c r="N297" s="305"/>
      <c r="O297" s="490"/>
      <c r="P297" s="305"/>
      <c r="Q297" s="305"/>
      <c r="R297" s="305"/>
      <c r="S297" s="490"/>
      <c r="T297" s="305"/>
      <c r="U297" s="305"/>
      <c r="V297" s="7"/>
      <c r="W297" s="31"/>
      <c r="X297" s="31"/>
      <c r="Y297" s="31"/>
      <c r="Z297" s="7"/>
      <c r="AA297" s="7"/>
      <c r="AB297" s="7"/>
      <c r="AC297" s="7"/>
      <c r="AD297" s="7"/>
      <c r="AE297" s="7"/>
      <c r="AF297" s="7"/>
      <c r="AG297" s="7"/>
      <c r="AH297" s="7"/>
      <c r="AI297" s="7"/>
      <c r="AJ297" s="7"/>
      <c r="AK297" s="7"/>
      <c r="AL297" s="7"/>
      <c r="AM297" s="7"/>
      <c r="AN297" s="7"/>
      <c r="AO297" s="7"/>
      <c r="AP297" s="7"/>
      <c r="AR297" s="496"/>
    </row>
    <row r="298" spans="1:44">
      <c r="A298" s="305" t="s">
        <v>381</v>
      </c>
      <c r="B298" s="305"/>
      <c r="C298" s="61"/>
      <c r="D298" s="490"/>
      <c r="E298" s="305"/>
      <c r="F298" s="305"/>
      <c r="G298" s="490"/>
      <c r="H298" s="305"/>
      <c r="I298" s="305"/>
      <c r="J298" s="305"/>
      <c r="K298" s="490"/>
      <c r="L298" s="305"/>
      <c r="M298" s="305"/>
      <c r="N298" s="305"/>
      <c r="O298" s="490"/>
      <c r="P298" s="305"/>
      <c r="Q298" s="305"/>
      <c r="R298" s="305"/>
      <c r="S298" s="490"/>
      <c r="T298" s="305"/>
      <c r="U298" s="305"/>
      <c r="V298" s="7"/>
      <c r="W298" s="31"/>
      <c r="X298" s="31"/>
      <c r="Y298" s="31"/>
      <c r="Z298" s="7"/>
      <c r="AA298" s="7"/>
      <c r="AB298" s="7"/>
      <c r="AC298" s="7"/>
      <c r="AD298" s="7"/>
      <c r="AE298" s="7"/>
      <c r="AF298" s="7"/>
      <c r="AG298" s="7"/>
      <c r="AH298" s="7"/>
      <c r="AI298" s="7"/>
      <c r="AJ298" s="7"/>
      <c r="AK298" s="7"/>
      <c r="AL298" s="7"/>
      <c r="AM298" s="7"/>
      <c r="AN298" s="7"/>
      <c r="AO298" s="7"/>
      <c r="AP298" s="7"/>
      <c r="AR298" s="496"/>
    </row>
    <row r="299" spans="1:44">
      <c r="A299" s="305" t="s">
        <v>378</v>
      </c>
      <c r="B299" s="305"/>
      <c r="C299" s="61">
        <v>128419.16666666574</v>
      </c>
      <c r="D299" s="448">
        <f>$D$189</f>
        <v>9.99</v>
      </c>
      <c r="E299" s="305"/>
      <c r="F299" s="490">
        <f>ROUND(D299*$C299,0)</f>
        <v>1282907</v>
      </c>
      <c r="G299" s="448">
        <f>$G$189</f>
        <v>9.99</v>
      </c>
      <c r="H299" s="305"/>
      <c r="I299" s="490">
        <f>ROUND(G299*$C299,0)</f>
        <v>1282907</v>
      </c>
      <c r="J299" s="490"/>
      <c r="K299" s="448" t="e">
        <f>$K$189</f>
        <v>#REF!</v>
      </c>
      <c r="L299" s="305"/>
      <c r="M299" s="490" t="e">
        <f>ROUND(K299*$C299,0)</f>
        <v>#REF!</v>
      </c>
      <c r="N299" s="490"/>
      <c r="O299" s="448" t="e">
        <f>$O$189</f>
        <v>#REF!</v>
      </c>
      <c r="P299" s="305"/>
      <c r="Q299" s="490" t="e">
        <f>ROUND(O299*$C299,0)</f>
        <v>#REF!</v>
      </c>
      <c r="R299" s="490"/>
      <c r="S299" s="448" t="e">
        <f>$S$189</f>
        <v>#REF!</v>
      </c>
      <c r="T299" s="305"/>
      <c r="U299" s="490" t="e">
        <f>ROUND(S299*$C299,0)</f>
        <v>#REF!</v>
      </c>
      <c r="V299" s="7"/>
      <c r="W299" s="31"/>
      <c r="X299" s="31"/>
      <c r="Y299" s="31"/>
      <c r="Z299" s="7"/>
      <c r="AA299" s="7"/>
      <c r="AB299" s="7"/>
      <c r="AC299" s="7"/>
      <c r="AD299" s="7"/>
      <c r="AE299" s="7"/>
      <c r="AF299" s="7"/>
      <c r="AG299" s="7"/>
      <c r="AH299" s="7"/>
      <c r="AI299" s="7"/>
      <c r="AJ299" s="7"/>
      <c r="AK299" s="7"/>
      <c r="AL299" s="7"/>
      <c r="AM299" s="7"/>
      <c r="AN299" s="7"/>
      <c r="AO299" s="7"/>
      <c r="AP299" s="7"/>
      <c r="AR299" s="496"/>
    </row>
    <row r="300" spans="1:44">
      <c r="A300" s="305" t="s">
        <v>379</v>
      </c>
      <c r="B300" s="305"/>
      <c r="C300" s="61">
        <v>62460.433333333131</v>
      </c>
      <c r="D300" s="448">
        <f>$D$190</f>
        <v>14.89</v>
      </c>
      <c r="E300" s="1004"/>
      <c r="F300" s="490">
        <f t="shared" ref="F300:F301" si="64">ROUND(D300*$C300,0)</f>
        <v>930036</v>
      </c>
      <c r="G300" s="448">
        <f>$G$190</f>
        <v>14.89</v>
      </c>
      <c r="H300" s="1004"/>
      <c r="I300" s="490">
        <f>ROUND(G300*$C300,0)</f>
        <v>930036</v>
      </c>
      <c r="J300" s="490"/>
      <c r="K300" s="448" t="e">
        <f>$K$190</f>
        <v>#REF!</v>
      </c>
      <c r="L300" s="1004"/>
      <c r="M300" s="490" t="e">
        <f>ROUND(K300*$C300,0)</f>
        <v>#REF!</v>
      </c>
      <c r="N300" s="490"/>
      <c r="O300" s="448" t="e">
        <f>$O$190</f>
        <v>#REF!</v>
      </c>
      <c r="P300" s="1004"/>
      <c r="Q300" s="490" t="e">
        <f>ROUND(O300*$C300,0)</f>
        <v>#REF!</v>
      </c>
      <c r="R300" s="490"/>
      <c r="S300" s="448" t="e">
        <f>$S$190</f>
        <v>#REF!</v>
      </c>
      <c r="T300" s="1004"/>
      <c r="U300" s="490" t="e">
        <f>ROUND(S300*$C300,0)</f>
        <v>#REF!</v>
      </c>
      <c r="V300" s="7"/>
      <c r="W300" s="31"/>
      <c r="X300" s="31"/>
      <c r="Y300" s="31"/>
      <c r="Z300" s="7"/>
      <c r="AA300" s="7"/>
      <c r="AB300" s="7"/>
      <c r="AC300" s="7"/>
      <c r="AD300" s="7"/>
      <c r="AE300" s="7"/>
      <c r="AF300" s="7"/>
      <c r="AG300" s="7"/>
      <c r="AH300" s="7"/>
      <c r="AI300" s="7"/>
      <c r="AJ300" s="7"/>
      <c r="AK300" s="7"/>
      <c r="AL300" s="7"/>
      <c r="AM300" s="7"/>
      <c r="AN300" s="7"/>
      <c r="AO300" s="7"/>
      <c r="AP300" s="7"/>
      <c r="AR300" s="496"/>
    </row>
    <row r="301" spans="1:44">
      <c r="A301" s="305" t="s">
        <v>380</v>
      </c>
      <c r="B301" s="305"/>
      <c r="C301" s="61">
        <v>1189650</v>
      </c>
      <c r="D301" s="448">
        <f>$D$191</f>
        <v>1.04</v>
      </c>
      <c r="E301" s="1004"/>
      <c r="F301" s="490">
        <f t="shared" si="64"/>
        <v>1237236</v>
      </c>
      <c r="G301" s="448">
        <f>$G$191</f>
        <v>1.04</v>
      </c>
      <c r="H301" s="1004"/>
      <c r="I301" s="490">
        <f>ROUND(G301*$C301,0)</f>
        <v>1237236</v>
      </c>
      <c r="J301" s="490"/>
      <c r="K301" s="448" t="e">
        <f>$K$191</f>
        <v>#REF!</v>
      </c>
      <c r="L301" s="1004"/>
      <c r="M301" s="490" t="e">
        <f>ROUND(K301*$C301,0)</f>
        <v>#REF!</v>
      </c>
      <c r="N301" s="490"/>
      <c r="O301" s="448" t="e">
        <f>$O$191</f>
        <v>#REF!</v>
      </c>
      <c r="P301" s="1004"/>
      <c r="Q301" s="490" t="e">
        <f>ROUND(O301*$C301,0)</f>
        <v>#REF!</v>
      </c>
      <c r="R301" s="490"/>
      <c r="S301" s="448" t="e">
        <f>$S$191</f>
        <v>#REF!</v>
      </c>
      <c r="T301" s="1004"/>
      <c r="U301" s="490" t="e">
        <f>ROUND(S301*$C301,0)</f>
        <v>#REF!</v>
      </c>
      <c r="V301" s="7"/>
      <c r="W301" s="31"/>
      <c r="X301" s="31"/>
      <c r="Y301" s="31"/>
      <c r="Z301" s="7"/>
      <c r="AA301" s="7"/>
      <c r="AB301" s="7"/>
      <c r="AC301" s="7"/>
      <c r="AD301" s="7"/>
      <c r="AE301" s="7"/>
      <c r="AF301" s="7"/>
      <c r="AG301" s="7"/>
      <c r="AH301" s="7"/>
      <c r="AI301" s="7"/>
      <c r="AJ301" s="7"/>
      <c r="AK301" s="7"/>
      <c r="AL301" s="7"/>
      <c r="AM301" s="7"/>
      <c r="AN301" s="7"/>
      <c r="AO301" s="7"/>
      <c r="AP301" s="7"/>
      <c r="AR301" s="496"/>
    </row>
    <row r="302" spans="1:44">
      <c r="A302" s="305" t="s">
        <v>382</v>
      </c>
      <c r="B302" s="305"/>
      <c r="C302" s="61">
        <f>SUM(C299:C300)</f>
        <v>190879.59999999887</v>
      </c>
      <c r="D302" s="448"/>
      <c r="E302" s="305"/>
      <c r="F302" s="490"/>
      <c r="G302" s="448"/>
      <c r="H302" s="305"/>
      <c r="I302" s="490"/>
      <c r="J302" s="490"/>
      <c r="K302" s="448"/>
      <c r="L302" s="305"/>
      <c r="M302" s="490"/>
      <c r="N302" s="490"/>
      <c r="O302" s="448"/>
      <c r="P302" s="305"/>
      <c r="Q302" s="490"/>
      <c r="R302" s="490"/>
      <c r="S302" s="448"/>
      <c r="T302" s="305"/>
      <c r="U302" s="490"/>
      <c r="V302" s="7"/>
      <c r="W302" s="31"/>
      <c r="X302" s="31"/>
      <c r="Y302" s="31"/>
      <c r="Z302" s="7"/>
      <c r="AA302" s="7"/>
      <c r="AB302" s="7"/>
      <c r="AC302" s="7"/>
      <c r="AD302" s="7"/>
      <c r="AE302" s="7"/>
      <c r="AF302" s="7"/>
      <c r="AG302" s="7"/>
      <c r="AH302" s="7"/>
      <c r="AI302" s="7"/>
      <c r="AJ302" s="7"/>
      <c r="AK302" s="7"/>
      <c r="AL302" s="7"/>
      <c r="AM302" s="7"/>
      <c r="AN302" s="7"/>
      <c r="AO302" s="7"/>
      <c r="AP302" s="7"/>
      <c r="AR302" s="496"/>
    </row>
    <row r="303" spans="1:44">
      <c r="A303" s="305" t="s">
        <v>383</v>
      </c>
      <c r="B303" s="305"/>
      <c r="C303" s="61">
        <v>741549</v>
      </c>
      <c r="D303" s="237">
        <f>$D$194</f>
        <v>3.8</v>
      </c>
      <c r="E303" s="305"/>
      <c r="F303" s="490">
        <f>ROUND(D303*C303,0)</f>
        <v>2817886</v>
      </c>
      <c r="G303" s="237">
        <f>$G$194</f>
        <v>3.8099999999999996</v>
      </c>
      <c r="H303" s="305"/>
      <c r="I303" s="490">
        <f>ROUND(G303*$C303,0)</f>
        <v>2825302</v>
      </c>
      <c r="J303" s="490"/>
      <c r="K303" s="237" t="e">
        <f>$K$194</f>
        <v>#REF!</v>
      </c>
      <c r="L303" s="305"/>
      <c r="M303" s="490" t="e">
        <f>ROUND(K303*$C303,0)</f>
        <v>#REF!</v>
      </c>
      <c r="N303" s="490"/>
      <c r="O303" s="237" t="e">
        <f>$O$194</f>
        <v>#REF!</v>
      </c>
      <c r="P303" s="305"/>
      <c r="Q303" s="490" t="e">
        <f>ROUND(O303*$C303,0)</f>
        <v>#REF!</v>
      </c>
      <c r="R303" s="490"/>
      <c r="S303" s="237" t="e">
        <f>$S$194</f>
        <v>#REF!</v>
      </c>
      <c r="T303" s="305"/>
      <c r="U303" s="490" t="e">
        <f>ROUND(S303*$C303,0)</f>
        <v>#REF!</v>
      </c>
      <c r="V303" s="7"/>
      <c r="W303" s="31"/>
      <c r="X303" s="31"/>
      <c r="Y303" s="31"/>
      <c r="Z303" s="7"/>
      <c r="AA303" s="7"/>
      <c r="AB303" s="7"/>
      <c r="AC303" s="7"/>
      <c r="AD303" s="7"/>
      <c r="AE303" s="7"/>
      <c r="AF303" s="7"/>
      <c r="AG303" s="7"/>
      <c r="AH303" s="7"/>
      <c r="AI303" s="7"/>
      <c r="AJ303" s="7"/>
      <c r="AK303" s="7"/>
      <c r="AL303" s="7"/>
      <c r="AM303" s="7"/>
      <c r="AN303" s="7"/>
      <c r="AO303" s="7"/>
      <c r="AP303" s="7"/>
      <c r="AR303" s="496"/>
    </row>
    <row r="304" spans="1:44">
      <c r="A304" s="305" t="s">
        <v>385</v>
      </c>
      <c r="B304" s="61"/>
      <c r="C304" s="61">
        <v>119427399.16891886</v>
      </c>
      <c r="D304" s="1006">
        <f>$D$195</f>
        <v>10.878</v>
      </c>
      <c r="E304" s="305" t="s">
        <v>362</v>
      </c>
      <c r="F304" s="490">
        <f>ROUND(D304*C304/100,0)</f>
        <v>12991312</v>
      </c>
      <c r="G304" s="1006">
        <f>$G$195</f>
        <v>10.879</v>
      </c>
      <c r="H304" s="305" t="s">
        <v>362</v>
      </c>
      <c r="I304" s="490">
        <f>ROUND(G304*$C304/100,0)</f>
        <v>12992507</v>
      </c>
      <c r="J304" s="490"/>
      <c r="K304" s="1006" t="e">
        <f>$K$195</f>
        <v>#REF!</v>
      </c>
      <c r="L304" s="305" t="s">
        <v>362</v>
      </c>
      <c r="M304" s="490" t="e">
        <f>ROUND(K304*$C304/100,0)</f>
        <v>#REF!</v>
      </c>
      <c r="N304" s="490"/>
      <c r="O304" s="1006" t="e">
        <f>$O$195</f>
        <v>#REF!</v>
      </c>
      <c r="P304" s="305" t="s">
        <v>362</v>
      </c>
      <c r="Q304" s="490" t="e">
        <f>ROUND(O304*$C304/100,0)</f>
        <v>#REF!</v>
      </c>
      <c r="R304" s="490"/>
      <c r="S304" s="1006" t="e">
        <f>$S$195</f>
        <v>#REF!</v>
      </c>
      <c r="T304" s="305" t="s">
        <v>362</v>
      </c>
      <c r="U304" s="490" t="e">
        <f>ROUND(S304*$C304/100,0)</f>
        <v>#REF!</v>
      </c>
      <c r="V304" s="336"/>
      <c r="W304" s="31"/>
      <c r="X304" s="31"/>
      <c r="Y304" s="31"/>
      <c r="Z304" s="7"/>
      <c r="AA304" s="7"/>
      <c r="AB304" s="7"/>
      <c r="AC304" s="7"/>
      <c r="AD304" s="7"/>
      <c r="AE304" s="7"/>
      <c r="AF304" s="7"/>
      <c r="AG304" s="7"/>
      <c r="AH304" s="7"/>
      <c r="AI304" s="7"/>
      <c r="AJ304" s="7"/>
      <c r="AK304" s="7"/>
      <c r="AL304" s="7"/>
      <c r="AM304" s="7"/>
      <c r="AN304" s="7"/>
      <c r="AO304" s="7"/>
      <c r="AP304" s="7"/>
      <c r="AR304" s="496"/>
    </row>
    <row r="305" spans="1:44">
      <c r="A305" s="305" t="s">
        <v>386</v>
      </c>
      <c r="B305" s="61"/>
      <c r="C305" s="61">
        <v>275176664.4127261</v>
      </c>
      <c r="D305" s="1006">
        <f>$D$196</f>
        <v>7.5140000000000002</v>
      </c>
      <c r="E305" s="305" t="s">
        <v>362</v>
      </c>
      <c r="F305" s="490">
        <f>ROUND(D305*C305/100,0)</f>
        <v>20676775</v>
      </c>
      <c r="G305" s="1006">
        <f>$G$196</f>
        <v>7.5140000000000002</v>
      </c>
      <c r="H305" s="305" t="s">
        <v>362</v>
      </c>
      <c r="I305" s="490">
        <f>ROUND(G305*$C305/100,0)</f>
        <v>20676775</v>
      </c>
      <c r="J305" s="490"/>
      <c r="K305" s="1006" t="e">
        <f>$K$196</f>
        <v>#REF!</v>
      </c>
      <c r="L305" s="305" t="s">
        <v>362</v>
      </c>
      <c r="M305" s="490" t="e">
        <f>ROUND(K305*$C305/100,0)</f>
        <v>#REF!</v>
      </c>
      <c r="N305" s="490"/>
      <c r="O305" s="1006" t="e">
        <f>$O$196</f>
        <v>#REF!</v>
      </c>
      <c r="P305" s="305" t="s">
        <v>362</v>
      </c>
      <c r="Q305" s="490" t="e">
        <f>ROUND(O305*$C305/100,0)</f>
        <v>#REF!</v>
      </c>
      <c r="R305" s="490"/>
      <c r="S305" s="1006" t="e">
        <f>$S$196</f>
        <v>#REF!</v>
      </c>
      <c r="T305" s="305" t="s">
        <v>362</v>
      </c>
      <c r="U305" s="490" t="e">
        <f>ROUND(S305*$C305/100,0)</f>
        <v>#REF!</v>
      </c>
      <c r="V305" s="336"/>
      <c r="W305" s="31"/>
      <c r="X305" s="31"/>
      <c r="Y305" s="31"/>
      <c r="Z305" s="7"/>
      <c r="AA305" s="7"/>
      <c r="AB305" s="7"/>
      <c r="AC305" s="7"/>
      <c r="AD305" s="7"/>
      <c r="AE305" s="7"/>
      <c r="AF305" s="7"/>
      <c r="AG305" s="7"/>
      <c r="AH305" s="7"/>
      <c r="AI305" s="7"/>
      <c r="AJ305" s="7"/>
      <c r="AK305" s="7"/>
      <c r="AL305" s="7"/>
      <c r="AM305" s="7"/>
      <c r="AN305" s="7"/>
      <c r="AO305" s="7"/>
      <c r="AP305" s="7"/>
      <c r="AR305" s="496"/>
    </row>
    <row r="306" spans="1:44">
      <c r="A306" s="305" t="s">
        <v>387</v>
      </c>
      <c r="B306" s="61"/>
      <c r="C306" s="61">
        <v>117063421.59366763</v>
      </c>
      <c r="D306" s="1006">
        <f>$D$197</f>
        <v>6.4720000000000004</v>
      </c>
      <c r="E306" s="305" t="s">
        <v>362</v>
      </c>
      <c r="F306" s="490">
        <f>ROUND(D306*C306/100,0)</f>
        <v>7576345</v>
      </c>
      <c r="G306" s="1006">
        <f>$G$197</f>
        <v>6.4720000000000004</v>
      </c>
      <c r="H306" s="305" t="s">
        <v>362</v>
      </c>
      <c r="I306" s="490">
        <f>ROUND(G306*$C306/100,0)</f>
        <v>7576345</v>
      </c>
      <c r="J306" s="490"/>
      <c r="K306" s="1006" t="e">
        <f>$K$197</f>
        <v>#REF!</v>
      </c>
      <c r="L306" s="305" t="s">
        <v>362</v>
      </c>
      <c r="M306" s="490" t="e">
        <f>ROUND(K306*$C306/100,0)</f>
        <v>#REF!</v>
      </c>
      <c r="N306" s="490"/>
      <c r="O306" s="1006" t="e">
        <f>$O$197</f>
        <v>#REF!</v>
      </c>
      <c r="P306" s="305" t="s">
        <v>362</v>
      </c>
      <c r="Q306" s="490" t="e">
        <f>ROUND(O306*$C306/100,0)</f>
        <v>#REF!</v>
      </c>
      <c r="R306" s="490"/>
      <c r="S306" s="1006" t="e">
        <f>$S$197</f>
        <v>#REF!</v>
      </c>
      <c r="T306" s="305" t="s">
        <v>362</v>
      </c>
      <c r="U306" s="490" t="e">
        <f>ROUND(S306*$C306/100,0)</f>
        <v>#REF!</v>
      </c>
      <c r="V306" s="336"/>
      <c r="W306" s="31"/>
      <c r="X306" s="31"/>
      <c r="Y306" s="31"/>
      <c r="Z306" s="7"/>
      <c r="AA306" s="7"/>
      <c r="AB306" s="7"/>
      <c r="AC306" s="7"/>
      <c r="AD306" s="7"/>
      <c r="AE306" s="7"/>
      <c r="AF306" s="7"/>
      <c r="AG306" s="7"/>
      <c r="AH306" s="7"/>
      <c r="AI306" s="7"/>
      <c r="AJ306" s="7"/>
      <c r="AK306" s="7"/>
      <c r="AL306" s="7"/>
      <c r="AM306" s="7"/>
      <c r="AN306" s="7"/>
      <c r="AO306" s="7"/>
      <c r="AP306" s="7"/>
      <c r="AR306" s="496"/>
    </row>
    <row r="307" spans="1:44">
      <c r="A307" s="305" t="s">
        <v>388</v>
      </c>
      <c r="B307" s="61"/>
      <c r="C307" s="61">
        <v>105510.8666666666</v>
      </c>
      <c r="D307" s="237">
        <f>$D$198</f>
        <v>58</v>
      </c>
      <c r="E307" s="305" t="s">
        <v>362</v>
      </c>
      <c r="F307" s="490">
        <f>ROUND(D307*C307/100,0)</f>
        <v>61196</v>
      </c>
      <c r="G307" s="1021">
        <f>$G$198</f>
        <v>58</v>
      </c>
      <c r="H307" s="305" t="s">
        <v>362</v>
      </c>
      <c r="I307" s="490">
        <f>ROUND(G307*$C307/100,0)</f>
        <v>61196</v>
      </c>
      <c r="J307" s="490"/>
      <c r="K307" s="1021" t="e">
        <f>$K$198</f>
        <v>#REF!</v>
      </c>
      <c r="L307" s="305" t="s">
        <v>362</v>
      </c>
      <c r="M307" s="490" t="e">
        <f>ROUND(K307*$C307/100,0)</f>
        <v>#REF!</v>
      </c>
      <c r="N307" s="490"/>
      <c r="O307" s="1021" t="e">
        <f>$O$198</f>
        <v>#REF!</v>
      </c>
      <c r="P307" s="305" t="s">
        <v>362</v>
      </c>
      <c r="Q307" s="490" t="e">
        <f>ROUND(O307*$C307/100,0)</f>
        <v>#REF!</v>
      </c>
      <c r="R307" s="490"/>
      <c r="S307" s="1021" t="e">
        <f>$S$198</f>
        <v>#REF!</v>
      </c>
      <c r="T307" s="305" t="s">
        <v>362</v>
      </c>
      <c r="U307" s="490" t="e">
        <f>ROUND(S307*$C307/100,0)</f>
        <v>#REF!</v>
      </c>
      <c r="V307" s="7"/>
      <c r="W307" s="31"/>
      <c r="X307" s="31"/>
      <c r="Y307" s="31"/>
      <c r="Z307" s="7"/>
      <c r="AA307" s="7"/>
      <c r="AB307" s="7"/>
      <c r="AC307" s="7"/>
      <c r="AD307" s="7"/>
      <c r="AE307" s="7"/>
      <c r="AF307" s="7"/>
      <c r="AG307" s="7"/>
      <c r="AH307" s="7"/>
      <c r="AI307" s="7"/>
      <c r="AJ307" s="7"/>
      <c r="AK307" s="7"/>
      <c r="AL307" s="7"/>
      <c r="AM307" s="7"/>
      <c r="AN307" s="7"/>
      <c r="AO307" s="7"/>
      <c r="AP307" s="7"/>
      <c r="AR307" s="496"/>
    </row>
    <row r="308" spans="1:44" s="588" customFormat="1" hidden="1">
      <c r="A308" s="588" t="s">
        <v>771</v>
      </c>
      <c r="C308" s="631">
        <f>C304</f>
        <v>119427399.16891886</v>
      </c>
      <c r="D308" s="987">
        <v>0</v>
      </c>
      <c r="E308" s="635"/>
      <c r="F308" s="616"/>
      <c r="G308" s="987">
        <f>G199</f>
        <v>0</v>
      </c>
      <c r="H308" s="592" t="s">
        <v>362</v>
      </c>
      <c r="I308" s="616">
        <f t="shared" ref="I308:I310" si="65">ROUND(G308*$C308/100,0)</f>
        <v>0</v>
      </c>
      <c r="J308" s="616"/>
      <c r="K308" s="987" t="e">
        <f>K199</f>
        <v>#REF!</v>
      </c>
      <c r="L308" s="592" t="s">
        <v>362</v>
      </c>
      <c r="M308" s="616" t="e">
        <f t="shared" ref="M308:M310" si="66">ROUND(K308*$C308/100,0)</f>
        <v>#REF!</v>
      </c>
      <c r="N308" s="616"/>
      <c r="O308" s="987" t="e">
        <f>O199</f>
        <v>#REF!</v>
      </c>
      <c r="P308" s="592" t="s">
        <v>362</v>
      </c>
      <c r="Q308" s="616" t="e">
        <f t="shared" ref="Q308:Q310" si="67">ROUND(O308*$C308/100,0)</f>
        <v>#REF!</v>
      </c>
      <c r="R308" s="616"/>
      <c r="S308" s="987" t="e">
        <f>S199</f>
        <v>#REF!</v>
      </c>
      <c r="T308" s="592" t="s">
        <v>362</v>
      </c>
      <c r="U308" s="616" t="e">
        <f t="shared" ref="U308:U310" si="68">ROUND(S308*$C308/100,0)</f>
        <v>#REF!</v>
      </c>
      <c r="W308" s="450"/>
      <c r="Z308" s="989"/>
      <c r="AA308" s="989"/>
      <c r="AF308" s="635"/>
      <c r="AG308" s="635"/>
      <c r="AH308" s="635"/>
      <c r="AI308" s="635"/>
      <c r="AJ308" s="635"/>
      <c r="AK308" s="635"/>
      <c r="AL308" s="635"/>
      <c r="AM308" s="635"/>
      <c r="AN308" s="635"/>
      <c r="AO308" s="635"/>
      <c r="AP308" s="635"/>
      <c r="AR308" s="988"/>
    </row>
    <row r="309" spans="1:44" s="588" customFormat="1" hidden="1">
      <c r="A309" s="588" t="s">
        <v>772</v>
      </c>
      <c r="C309" s="631">
        <f>C305</f>
        <v>275176664.4127261</v>
      </c>
      <c r="D309" s="987">
        <v>0</v>
      </c>
      <c r="E309" s="635"/>
      <c r="F309" s="616"/>
      <c r="G309" s="987">
        <f>G200</f>
        <v>0</v>
      </c>
      <c r="H309" s="592" t="s">
        <v>362</v>
      </c>
      <c r="I309" s="616">
        <f t="shared" si="65"/>
        <v>0</v>
      </c>
      <c r="J309" s="616"/>
      <c r="K309" s="987" t="e">
        <f>K200</f>
        <v>#REF!</v>
      </c>
      <c r="L309" s="592" t="s">
        <v>362</v>
      </c>
      <c r="M309" s="616" t="e">
        <f t="shared" si="66"/>
        <v>#REF!</v>
      </c>
      <c r="N309" s="616"/>
      <c r="O309" s="987" t="e">
        <f>O200</f>
        <v>#REF!</v>
      </c>
      <c r="P309" s="592" t="s">
        <v>362</v>
      </c>
      <c r="Q309" s="616" t="e">
        <f t="shared" si="67"/>
        <v>#REF!</v>
      </c>
      <c r="R309" s="616"/>
      <c r="S309" s="987" t="e">
        <f>S200</f>
        <v>#REF!</v>
      </c>
      <c r="T309" s="592" t="s">
        <v>362</v>
      </c>
      <c r="U309" s="616" t="e">
        <f t="shared" si="68"/>
        <v>#REF!</v>
      </c>
      <c r="W309" s="450"/>
      <c r="Z309" s="989"/>
      <c r="AA309" s="989"/>
      <c r="AF309" s="635"/>
      <c r="AG309" s="635"/>
      <c r="AH309" s="635"/>
      <c r="AI309" s="635"/>
      <c r="AJ309" s="635"/>
      <c r="AK309" s="635"/>
      <c r="AL309" s="635"/>
      <c r="AM309" s="635"/>
      <c r="AN309" s="635"/>
      <c r="AO309" s="635"/>
      <c r="AP309" s="635"/>
      <c r="AR309" s="988"/>
    </row>
    <row r="310" spans="1:44" s="588" customFormat="1" hidden="1">
      <c r="A310" s="588" t="s">
        <v>773</v>
      </c>
      <c r="C310" s="631">
        <f>C306</f>
        <v>117063421.59366763</v>
      </c>
      <c r="D310" s="987">
        <v>0</v>
      </c>
      <c r="E310" s="635"/>
      <c r="F310" s="616"/>
      <c r="G310" s="987">
        <f>G201</f>
        <v>0</v>
      </c>
      <c r="H310" s="592" t="s">
        <v>362</v>
      </c>
      <c r="I310" s="616">
        <f t="shared" si="65"/>
        <v>0</v>
      </c>
      <c r="J310" s="616"/>
      <c r="K310" s="987" t="e">
        <f>K201</f>
        <v>#REF!</v>
      </c>
      <c r="L310" s="592" t="s">
        <v>362</v>
      </c>
      <c r="M310" s="616" t="e">
        <f t="shared" si="66"/>
        <v>#REF!</v>
      </c>
      <c r="N310" s="616"/>
      <c r="O310" s="987" t="e">
        <f>O201</f>
        <v>#REF!</v>
      </c>
      <c r="P310" s="592" t="s">
        <v>362</v>
      </c>
      <c r="Q310" s="616" t="e">
        <f t="shared" si="67"/>
        <v>#REF!</v>
      </c>
      <c r="R310" s="616"/>
      <c r="S310" s="987" t="e">
        <f>S201</f>
        <v>#REF!</v>
      </c>
      <c r="T310" s="592" t="s">
        <v>362</v>
      </c>
      <c r="U310" s="616" t="e">
        <f t="shared" si="68"/>
        <v>#REF!</v>
      </c>
      <c r="W310" s="450"/>
      <c r="Z310" s="989"/>
      <c r="AA310" s="989"/>
      <c r="AF310" s="635"/>
      <c r="AG310" s="635"/>
      <c r="AH310" s="635"/>
      <c r="AI310" s="635"/>
      <c r="AJ310" s="635"/>
      <c r="AK310" s="635"/>
      <c r="AL310" s="635"/>
      <c r="AM310" s="635"/>
      <c r="AN310" s="635"/>
      <c r="AO310" s="635"/>
      <c r="AP310" s="635"/>
      <c r="AR310" s="988"/>
    </row>
    <row r="311" spans="1:44">
      <c r="A311" s="244" t="s">
        <v>389</v>
      </c>
      <c r="B311" s="61"/>
      <c r="C311" s="61"/>
      <c r="D311" s="1023">
        <f>$D$205</f>
        <v>-0.01</v>
      </c>
      <c r="E311" s="305"/>
      <c r="F311" s="490"/>
      <c r="G311" s="1023">
        <v>-0.01</v>
      </c>
      <c r="H311" s="305"/>
      <c r="I311" s="490"/>
      <c r="J311" s="490"/>
      <c r="K311" s="1023">
        <v>-0.01</v>
      </c>
      <c r="L311" s="305"/>
      <c r="M311" s="490"/>
      <c r="N311" s="490"/>
      <c r="O311" s="1023">
        <v>-0.01</v>
      </c>
      <c r="P311" s="305"/>
      <c r="Q311" s="490"/>
      <c r="R311" s="490"/>
      <c r="S311" s="1023">
        <v>-0.01</v>
      </c>
      <c r="T311" s="305"/>
      <c r="U311" s="490"/>
      <c r="V311" s="7"/>
      <c r="W311" s="31"/>
      <c r="X311" s="31"/>
      <c r="Y311" s="31"/>
      <c r="Z311" s="7"/>
      <c r="AA311" s="7"/>
      <c r="AB311" s="7"/>
      <c r="AC311" s="7"/>
      <c r="AD311" s="7"/>
      <c r="AE311" s="7"/>
      <c r="AF311" s="7"/>
      <c r="AG311" s="7"/>
      <c r="AH311" s="7"/>
      <c r="AI311" s="7"/>
      <c r="AJ311" s="7"/>
      <c r="AK311" s="7"/>
      <c r="AL311" s="7"/>
      <c r="AM311" s="7"/>
      <c r="AN311" s="7"/>
      <c r="AO311" s="7"/>
      <c r="AP311" s="7"/>
      <c r="AR311" s="496"/>
    </row>
    <row r="312" spans="1:44">
      <c r="A312" s="305" t="s">
        <v>378</v>
      </c>
      <c r="B312" s="305"/>
      <c r="C312" s="61">
        <v>83.966666666666697</v>
      </c>
      <c r="D312" s="237">
        <f>$D$230</f>
        <v>9.99</v>
      </c>
      <c r="E312" s="490"/>
      <c r="F312" s="490">
        <f>-ROUND(D312*$C312/100,0)</f>
        <v>-8</v>
      </c>
      <c r="G312" s="237">
        <f>G299</f>
        <v>9.99</v>
      </c>
      <c r="H312" s="490"/>
      <c r="I312" s="490">
        <f>-ROUND(G312*$C312/100,0)</f>
        <v>-8</v>
      </c>
      <c r="J312" s="490"/>
      <c r="K312" s="237" t="e">
        <f>K299</f>
        <v>#REF!</v>
      </c>
      <c r="L312" s="490"/>
      <c r="M312" s="490" t="e">
        <f>-ROUND(K312*$C312/100,0)</f>
        <v>#REF!</v>
      </c>
      <c r="N312" s="490"/>
      <c r="O312" s="237" t="e">
        <f>O299</f>
        <v>#REF!</v>
      </c>
      <c r="P312" s="490"/>
      <c r="Q312" s="490" t="e">
        <f>-ROUND(O312*$C312/100,0)</f>
        <v>#REF!</v>
      </c>
      <c r="R312" s="490"/>
      <c r="S312" s="237" t="e">
        <f>S299</f>
        <v>#REF!</v>
      </c>
      <c r="T312" s="490"/>
      <c r="U312" s="490" t="e">
        <f>-ROUND(S312*$C312/100,0)</f>
        <v>#REF!</v>
      </c>
      <c r="V312" s="7"/>
      <c r="W312" s="31"/>
      <c r="X312" s="31"/>
      <c r="Y312" s="31"/>
      <c r="Z312" s="7"/>
      <c r="AA312" s="7"/>
      <c r="AB312" s="7"/>
      <c r="AC312" s="7"/>
      <c r="AD312" s="7"/>
      <c r="AE312" s="7"/>
      <c r="AF312" s="7"/>
      <c r="AG312" s="7"/>
      <c r="AH312" s="7"/>
      <c r="AI312" s="7"/>
      <c r="AJ312" s="7"/>
      <c r="AK312" s="7"/>
      <c r="AL312" s="7"/>
      <c r="AM312" s="7"/>
      <c r="AN312" s="7"/>
      <c r="AO312" s="7"/>
      <c r="AP312" s="7"/>
      <c r="AR312" s="496"/>
    </row>
    <row r="313" spans="1:44">
      <c r="A313" s="305" t="s">
        <v>379</v>
      </c>
      <c r="B313" s="305"/>
      <c r="C313" s="61">
        <v>91.966666666666697</v>
      </c>
      <c r="D313" s="237">
        <f>$D$231</f>
        <v>14.89</v>
      </c>
      <c r="E313" s="490"/>
      <c r="F313" s="490">
        <f t="shared" ref="F313:F315" si="69">-ROUND(D313*$C313/100,0)</f>
        <v>-14</v>
      </c>
      <c r="G313" s="237">
        <f>G300</f>
        <v>14.89</v>
      </c>
      <c r="H313" s="490"/>
      <c r="I313" s="490">
        <f>-ROUND(G313*$C313/100,0)</f>
        <v>-14</v>
      </c>
      <c r="J313" s="490"/>
      <c r="K313" s="237" t="e">
        <f>K300</f>
        <v>#REF!</v>
      </c>
      <c r="L313" s="490"/>
      <c r="M313" s="490" t="e">
        <f>-ROUND(K313*$C313/100,0)</f>
        <v>#REF!</v>
      </c>
      <c r="N313" s="490"/>
      <c r="O313" s="237" t="e">
        <f>O300</f>
        <v>#REF!</v>
      </c>
      <c r="P313" s="490"/>
      <c r="Q313" s="490" t="e">
        <f>-ROUND(O313*$C313/100,0)</f>
        <v>#REF!</v>
      </c>
      <c r="R313" s="490"/>
      <c r="S313" s="237" t="e">
        <f>S300</f>
        <v>#REF!</v>
      </c>
      <c r="T313" s="490"/>
      <c r="U313" s="490" t="e">
        <f>-ROUND(S313*$C313/100,0)</f>
        <v>#REF!</v>
      </c>
      <c r="V313" s="7"/>
      <c r="W313" s="31"/>
      <c r="X313" s="31"/>
      <c r="Y313" s="31"/>
      <c r="Z313" s="7"/>
      <c r="AA313" s="7"/>
      <c r="AB313" s="7"/>
      <c r="AC313" s="7"/>
      <c r="AD313" s="7"/>
      <c r="AE313" s="7"/>
      <c r="AF313" s="7"/>
      <c r="AG313" s="7"/>
      <c r="AH313" s="7"/>
      <c r="AI313" s="7"/>
      <c r="AJ313" s="7"/>
      <c r="AK313" s="7"/>
      <c r="AL313" s="7"/>
      <c r="AM313" s="7"/>
      <c r="AN313" s="7"/>
      <c r="AO313" s="7"/>
      <c r="AP313" s="7"/>
      <c r="AR313" s="496"/>
    </row>
    <row r="314" spans="1:44">
      <c r="A314" s="305" t="s">
        <v>390</v>
      </c>
      <c r="B314" s="305"/>
      <c r="C314" s="61">
        <v>1639</v>
      </c>
      <c r="D314" s="237">
        <f>$D$232</f>
        <v>1.04</v>
      </c>
      <c r="E314" s="490"/>
      <c r="F314" s="490">
        <f t="shared" si="69"/>
        <v>-17</v>
      </c>
      <c r="G314" s="237">
        <f>G301</f>
        <v>1.04</v>
      </c>
      <c r="H314" s="490"/>
      <c r="I314" s="490">
        <f>-ROUND(G314*$C314/100,0)</f>
        <v>-17</v>
      </c>
      <c r="J314" s="490"/>
      <c r="K314" s="237" t="e">
        <f>K301</f>
        <v>#REF!</v>
      </c>
      <c r="L314" s="490"/>
      <c r="M314" s="490" t="e">
        <f>-ROUND(K314*$C314/100,0)</f>
        <v>#REF!</v>
      </c>
      <c r="N314" s="490"/>
      <c r="O314" s="237" t="e">
        <f>O301</f>
        <v>#REF!</v>
      </c>
      <c r="P314" s="490"/>
      <c r="Q314" s="490" t="e">
        <f>-ROUND(O314*$C314/100,0)</f>
        <v>#REF!</v>
      </c>
      <c r="R314" s="490"/>
      <c r="S314" s="237" t="e">
        <f>S301</f>
        <v>#REF!</v>
      </c>
      <c r="T314" s="490"/>
      <c r="U314" s="490" t="e">
        <f>-ROUND(S314*$C314/100,0)</f>
        <v>#REF!</v>
      </c>
      <c r="V314" s="7"/>
      <c r="W314" s="31"/>
      <c r="X314" s="31"/>
      <c r="Y314" s="31"/>
      <c r="Z314" s="7"/>
      <c r="AA314" s="7"/>
      <c r="AB314" s="7"/>
      <c r="AC314" s="7"/>
      <c r="AD314" s="7"/>
      <c r="AE314" s="7"/>
      <c r="AF314" s="7"/>
      <c r="AG314" s="7"/>
      <c r="AH314" s="7"/>
      <c r="AI314" s="7"/>
      <c r="AJ314" s="7"/>
      <c r="AK314" s="7"/>
      <c r="AL314" s="7"/>
      <c r="AM314" s="7"/>
      <c r="AN314" s="7"/>
      <c r="AO314" s="7"/>
      <c r="AP314" s="7"/>
      <c r="AR314" s="496"/>
    </row>
    <row r="315" spans="1:44">
      <c r="A315" s="305" t="s">
        <v>401</v>
      </c>
      <c r="B315" s="305"/>
      <c r="C315" s="61">
        <v>1040</v>
      </c>
      <c r="D315" s="237">
        <f>$D$234</f>
        <v>3.8</v>
      </c>
      <c r="E315" s="305"/>
      <c r="F315" s="490">
        <f t="shared" si="69"/>
        <v>-40</v>
      </c>
      <c r="G315" s="237">
        <f>G303</f>
        <v>3.8099999999999996</v>
      </c>
      <c r="H315" s="305"/>
      <c r="I315" s="490">
        <f>-ROUND(G315*$C315/100,0)</f>
        <v>-40</v>
      </c>
      <c r="J315" s="490"/>
      <c r="K315" s="237" t="e">
        <f>K303</f>
        <v>#REF!</v>
      </c>
      <c r="L315" s="305"/>
      <c r="M315" s="490" t="e">
        <f>-ROUND(K315*$C315/100,0)</f>
        <v>#REF!</v>
      </c>
      <c r="N315" s="490"/>
      <c r="O315" s="237" t="e">
        <f>O303</f>
        <v>#REF!</v>
      </c>
      <c r="P315" s="305"/>
      <c r="Q315" s="490" t="e">
        <f>-ROUND(O315*$C315/100,0)</f>
        <v>#REF!</v>
      </c>
      <c r="R315" s="490"/>
      <c r="S315" s="237" t="e">
        <f>S303</f>
        <v>#REF!</v>
      </c>
      <c r="T315" s="305"/>
      <c r="U315" s="490" t="e">
        <f>-ROUND(S315*$C315/100,0)</f>
        <v>#REF!</v>
      </c>
      <c r="V315" s="7"/>
      <c r="W315" s="31"/>
      <c r="X315" s="31"/>
      <c r="Y315" s="31"/>
      <c r="Z315" s="7"/>
      <c r="AA315" s="7"/>
      <c r="AB315" s="7"/>
      <c r="AC315" s="7"/>
      <c r="AD315" s="7"/>
      <c r="AE315" s="7"/>
      <c r="AF315" s="7"/>
      <c r="AG315" s="7"/>
      <c r="AH315" s="7"/>
      <c r="AI315" s="7"/>
      <c r="AJ315" s="7"/>
      <c r="AK315" s="7"/>
      <c r="AL315" s="7"/>
      <c r="AM315" s="7"/>
      <c r="AN315" s="7"/>
      <c r="AO315" s="7"/>
      <c r="AP315" s="7"/>
      <c r="AR315" s="496"/>
    </row>
    <row r="316" spans="1:44">
      <c r="A316" s="305" t="s">
        <v>393</v>
      </c>
      <c r="B316" s="305"/>
      <c r="C316" s="61">
        <v>137222.66666666669</v>
      </c>
      <c r="D316" s="1025">
        <f>$D$235</f>
        <v>10.878</v>
      </c>
      <c r="E316" s="305" t="s">
        <v>362</v>
      </c>
      <c r="F316" s="490">
        <f>ROUND(D316*$C316/100*D311,0)</f>
        <v>-149</v>
      </c>
      <c r="G316" s="1025">
        <f>G304</f>
        <v>10.879</v>
      </c>
      <c r="H316" s="305" t="s">
        <v>362</v>
      </c>
      <c r="I316" s="490">
        <f>ROUND(G316*$C316/100*G311,0)</f>
        <v>-149</v>
      </c>
      <c r="J316" s="490"/>
      <c r="K316" s="1025" t="e">
        <f>K304</f>
        <v>#REF!</v>
      </c>
      <c r="L316" s="305" t="s">
        <v>362</v>
      </c>
      <c r="M316" s="490" t="e">
        <f>ROUND(K316*$C316/100*K311,0)</f>
        <v>#REF!</v>
      </c>
      <c r="N316" s="490"/>
      <c r="O316" s="1025" t="e">
        <f>O304</f>
        <v>#REF!</v>
      </c>
      <c r="P316" s="305" t="s">
        <v>362</v>
      </c>
      <c r="Q316" s="490" t="e">
        <f>ROUND(O316*$C316/100*O311,0)</f>
        <v>#REF!</v>
      </c>
      <c r="R316" s="490"/>
      <c r="S316" s="1025" t="e">
        <f>S304</f>
        <v>#REF!</v>
      </c>
      <c r="T316" s="305" t="s">
        <v>362</v>
      </c>
      <c r="U316" s="490" t="e">
        <f>ROUND(S316*$C316/100*S311,0)</f>
        <v>#REF!</v>
      </c>
      <c r="V316" s="7"/>
      <c r="W316" s="31"/>
      <c r="X316" s="31"/>
      <c r="Y316" s="31"/>
      <c r="Z316" s="7"/>
      <c r="AA316" s="7"/>
      <c r="AB316" s="7"/>
      <c r="AC316" s="7"/>
      <c r="AD316" s="7"/>
      <c r="AE316" s="7"/>
      <c r="AF316" s="7"/>
      <c r="AG316" s="7"/>
      <c r="AH316" s="7"/>
      <c r="AI316" s="7"/>
      <c r="AJ316" s="7"/>
      <c r="AK316" s="7"/>
      <c r="AL316" s="7"/>
      <c r="AM316" s="7"/>
      <c r="AN316" s="7"/>
      <c r="AO316" s="7"/>
      <c r="AP316" s="7"/>
      <c r="AR316" s="496"/>
    </row>
    <row r="317" spans="1:44">
      <c r="A317" s="305" t="s">
        <v>386</v>
      </c>
      <c r="B317" s="305"/>
      <c r="C317" s="61">
        <v>534325.33333333326</v>
      </c>
      <c r="D317" s="1025">
        <f>$D$236</f>
        <v>7.5140000000000002</v>
      </c>
      <c r="E317" s="305" t="s">
        <v>362</v>
      </c>
      <c r="F317" s="490">
        <f>ROUND(D317*$C317/100*D311,0)</f>
        <v>-401</v>
      </c>
      <c r="G317" s="1025">
        <f>G305</f>
        <v>7.5140000000000002</v>
      </c>
      <c r="H317" s="305" t="s">
        <v>362</v>
      </c>
      <c r="I317" s="490">
        <f>ROUND(G317*$C317/100*G311,0)</f>
        <v>-401</v>
      </c>
      <c r="J317" s="490"/>
      <c r="K317" s="1025" t="e">
        <f>K305</f>
        <v>#REF!</v>
      </c>
      <c r="L317" s="305" t="s">
        <v>362</v>
      </c>
      <c r="M317" s="490" t="e">
        <f>ROUND(K317*$C317/100*K311,0)</f>
        <v>#REF!</v>
      </c>
      <c r="N317" s="490"/>
      <c r="O317" s="1025" t="e">
        <f>O305</f>
        <v>#REF!</v>
      </c>
      <c r="P317" s="305" t="s">
        <v>362</v>
      </c>
      <c r="Q317" s="490" t="e">
        <f>ROUND(O317*$C317/100*O311,0)</f>
        <v>#REF!</v>
      </c>
      <c r="R317" s="490"/>
      <c r="S317" s="1025" t="e">
        <f>S305</f>
        <v>#REF!</v>
      </c>
      <c r="T317" s="305" t="s">
        <v>362</v>
      </c>
      <c r="U317" s="490" t="e">
        <f>ROUND(S317*$C317/100*S311,0)</f>
        <v>#REF!</v>
      </c>
      <c r="V317" s="7"/>
      <c r="W317" s="31"/>
      <c r="X317" s="31"/>
      <c r="Y317" s="31"/>
      <c r="Z317" s="7"/>
      <c r="AA317" s="7"/>
      <c r="AB317" s="7"/>
      <c r="AC317" s="7"/>
      <c r="AD317" s="7"/>
      <c r="AE317" s="7"/>
      <c r="AF317" s="7"/>
      <c r="AG317" s="7"/>
      <c r="AH317" s="7"/>
      <c r="AI317" s="7"/>
      <c r="AJ317" s="7"/>
      <c r="AK317" s="7"/>
      <c r="AL317" s="7"/>
      <c r="AM317" s="7"/>
      <c r="AN317" s="7"/>
      <c r="AO317" s="7"/>
      <c r="AP317" s="7"/>
      <c r="AR317" s="496"/>
    </row>
    <row r="318" spans="1:44">
      <c r="A318" s="305" t="s">
        <v>387</v>
      </c>
      <c r="B318" s="305"/>
      <c r="C318" s="61">
        <v>303141</v>
      </c>
      <c r="D318" s="1025">
        <f>$D$237</f>
        <v>6.4720000000000004</v>
      </c>
      <c r="E318" s="305" t="s">
        <v>362</v>
      </c>
      <c r="F318" s="490">
        <f>ROUND(D318*$C318/100*D311,0)</f>
        <v>-196</v>
      </c>
      <c r="G318" s="1025">
        <f>G306</f>
        <v>6.4720000000000004</v>
      </c>
      <c r="H318" s="305" t="s">
        <v>362</v>
      </c>
      <c r="I318" s="490">
        <f>ROUND(G318*$C318/100*G311,0)</f>
        <v>-196</v>
      </c>
      <c r="J318" s="490"/>
      <c r="K318" s="1025" t="e">
        <f>K306</f>
        <v>#REF!</v>
      </c>
      <c r="L318" s="305" t="s">
        <v>362</v>
      </c>
      <c r="M318" s="490" t="e">
        <f>ROUND(K318*$C318/100*K311,0)</f>
        <v>#REF!</v>
      </c>
      <c r="N318" s="490"/>
      <c r="O318" s="1025" t="e">
        <f>O306</f>
        <v>#REF!</v>
      </c>
      <c r="P318" s="305" t="s">
        <v>362</v>
      </c>
      <c r="Q318" s="490" t="e">
        <f>ROUND(O318*$C318/100*O311,0)</f>
        <v>#REF!</v>
      </c>
      <c r="R318" s="490"/>
      <c r="S318" s="1025" t="e">
        <f>S306</f>
        <v>#REF!</v>
      </c>
      <c r="T318" s="305" t="s">
        <v>362</v>
      </c>
      <c r="U318" s="490" t="e">
        <f>ROUND(S318*$C318/100*S311,0)</f>
        <v>#REF!</v>
      </c>
      <c r="V318" s="7"/>
      <c r="W318" s="31"/>
      <c r="X318" s="31"/>
      <c r="Y318" s="31"/>
      <c r="Z318" s="7"/>
      <c r="AA318" s="7"/>
      <c r="AB318" s="7"/>
      <c r="AC318" s="7"/>
      <c r="AD318" s="7"/>
      <c r="AE318" s="7"/>
      <c r="AF318" s="7"/>
      <c r="AG318" s="7"/>
      <c r="AH318" s="7"/>
      <c r="AI318" s="7"/>
      <c r="AJ318" s="7"/>
      <c r="AK318" s="7"/>
      <c r="AL318" s="7"/>
      <c r="AM318" s="7"/>
      <c r="AN318" s="7"/>
      <c r="AO318" s="7"/>
      <c r="AP318" s="7"/>
      <c r="AR318" s="496"/>
    </row>
    <row r="319" spans="1:44">
      <c r="A319" s="305" t="s">
        <v>388</v>
      </c>
      <c r="B319" s="305"/>
      <c r="C319" s="61">
        <v>744.8</v>
      </c>
      <c r="D319" s="1026">
        <f>$D$238</f>
        <v>58</v>
      </c>
      <c r="E319" s="305" t="s">
        <v>362</v>
      </c>
      <c r="F319" s="490">
        <f>ROUND(D319*$C319/100*D311,0)</f>
        <v>-4</v>
      </c>
      <c r="G319" s="1026">
        <f>G307</f>
        <v>58</v>
      </c>
      <c r="H319" s="305" t="s">
        <v>362</v>
      </c>
      <c r="I319" s="490">
        <f>ROUND(G319*$C319/100*G311,0)</f>
        <v>-4</v>
      </c>
      <c r="J319" s="490"/>
      <c r="K319" s="1026" t="e">
        <f>K307</f>
        <v>#REF!</v>
      </c>
      <c r="L319" s="305" t="s">
        <v>362</v>
      </c>
      <c r="M319" s="490" t="e">
        <f>ROUND(K319*$C319/100*K311,0)</f>
        <v>#REF!</v>
      </c>
      <c r="N319" s="490"/>
      <c r="O319" s="1026" t="e">
        <f>O307</f>
        <v>#REF!</v>
      </c>
      <c r="P319" s="305" t="s">
        <v>362</v>
      </c>
      <c r="Q319" s="490" t="e">
        <f>ROUND(O319*$C319/100*O311,0)</f>
        <v>#REF!</v>
      </c>
      <c r="R319" s="490"/>
      <c r="S319" s="1026" t="e">
        <f>S307</f>
        <v>#REF!</v>
      </c>
      <c r="T319" s="305" t="s">
        <v>362</v>
      </c>
      <c r="U319" s="490" t="e">
        <f>ROUND(S319*$C319/100*S311,0)</f>
        <v>#REF!</v>
      </c>
      <c r="V319" s="7"/>
      <c r="W319" s="31"/>
      <c r="X319" s="31"/>
      <c r="Y319" s="31"/>
      <c r="Z319" s="7"/>
      <c r="AA319" s="7"/>
      <c r="AB319" s="7"/>
      <c r="AC319" s="7"/>
      <c r="AD319" s="7"/>
      <c r="AE319" s="7"/>
      <c r="AF319" s="7"/>
      <c r="AG319" s="7"/>
      <c r="AH319" s="7"/>
      <c r="AI319" s="7"/>
      <c r="AJ319" s="7"/>
      <c r="AK319" s="7"/>
      <c r="AL319" s="7"/>
      <c r="AM319" s="7"/>
      <c r="AN319" s="7"/>
      <c r="AO319" s="7"/>
      <c r="AP319" s="7"/>
      <c r="AR319" s="496"/>
    </row>
    <row r="320" spans="1:44">
      <c r="A320" s="305" t="s">
        <v>395</v>
      </c>
      <c r="B320" s="305"/>
      <c r="C320" s="61">
        <v>143.93333333333339</v>
      </c>
      <c r="D320" s="237">
        <v>60</v>
      </c>
      <c r="E320" s="305"/>
      <c r="F320" s="490">
        <f>ROUND(D320*C320,0)</f>
        <v>8636</v>
      </c>
      <c r="G320" s="237">
        <f>$G$214</f>
        <v>60</v>
      </c>
      <c r="H320" s="305"/>
      <c r="I320" s="490">
        <f>ROUND(G320*$C320,0)</f>
        <v>8636</v>
      </c>
      <c r="J320" s="490"/>
      <c r="K320" s="237" t="str">
        <f>$K$214</f>
        <v xml:space="preserve"> </v>
      </c>
      <c r="L320" s="305"/>
      <c r="M320" s="490">
        <f>ROUND(K320*$C320,0)</f>
        <v>0</v>
      </c>
      <c r="N320" s="490"/>
      <c r="O320" s="237" t="e">
        <f>$O$214</f>
        <v>#REF!</v>
      </c>
      <c r="P320" s="305"/>
      <c r="Q320" s="490" t="e">
        <f>ROUND(O320*$C320,0)</f>
        <v>#REF!</v>
      </c>
      <c r="R320" s="490"/>
      <c r="S320" s="237" t="e">
        <f>$S$214</f>
        <v>#REF!</v>
      </c>
      <c r="T320" s="305"/>
      <c r="U320" s="490" t="e">
        <f>ROUND(S320*$C320,0)</f>
        <v>#REF!</v>
      </c>
      <c r="V320" s="7"/>
      <c r="W320" s="31"/>
      <c r="X320" s="31"/>
      <c r="Y320" s="31"/>
      <c r="Z320" s="7"/>
      <c r="AA320" s="7"/>
      <c r="AB320" s="7"/>
      <c r="AC320" s="7"/>
      <c r="AD320" s="7"/>
      <c r="AE320" s="7"/>
      <c r="AF320" s="7"/>
      <c r="AG320" s="7"/>
      <c r="AH320" s="7"/>
      <c r="AI320" s="7"/>
      <c r="AJ320" s="7"/>
      <c r="AK320" s="7"/>
      <c r="AL320" s="7"/>
      <c r="AM320" s="7"/>
      <c r="AN320" s="7"/>
      <c r="AO320" s="7"/>
      <c r="AP320" s="7"/>
      <c r="AR320" s="496"/>
    </row>
    <row r="321" spans="1:44">
      <c r="A321" s="305" t="s">
        <v>396</v>
      </c>
      <c r="B321" s="305"/>
      <c r="C321" s="61">
        <v>1553</v>
      </c>
      <c r="D321" s="1027">
        <v>-30</v>
      </c>
      <c r="E321" s="305" t="s">
        <v>362</v>
      </c>
      <c r="F321" s="490">
        <f>ROUND(D321*C321/100,0)</f>
        <v>-466</v>
      </c>
      <c r="G321" s="1027">
        <f>$G$215</f>
        <v>-30</v>
      </c>
      <c r="H321" s="305" t="s">
        <v>362</v>
      </c>
      <c r="I321" s="490">
        <f>ROUND(G321*$C321/100,0)</f>
        <v>-466</v>
      </c>
      <c r="J321" s="490"/>
      <c r="K321" s="1027" t="e">
        <f>$K$215</f>
        <v>#REF!</v>
      </c>
      <c r="L321" s="305" t="s">
        <v>362</v>
      </c>
      <c r="M321" s="490" t="e">
        <f>ROUND(K321*$C321/100,0)</f>
        <v>#REF!</v>
      </c>
      <c r="N321" s="490"/>
      <c r="O321" s="1027" t="str">
        <f>$O$215</f>
        <v xml:space="preserve"> </v>
      </c>
      <c r="P321" s="305" t="s">
        <v>362</v>
      </c>
      <c r="Q321" s="490">
        <f>ROUND(O321*$C321/100,0)</f>
        <v>0</v>
      </c>
      <c r="R321" s="490"/>
      <c r="S321" s="1027" t="str">
        <f>$S$215</f>
        <v xml:space="preserve"> </v>
      </c>
      <c r="T321" s="305" t="s">
        <v>362</v>
      </c>
      <c r="U321" s="490">
        <f>ROUND(S321*$C321/100,0)</f>
        <v>0</v>
      </c>
      <c r="V321" s="7"/>
      <c r="W321" s="31"/>
      <c r="X321" s="31"/>
      <c r="Y321" s="31"/>
      <c r="Z321" s="7"/>
      <c r="AA321" s="7"/>
      <c r="AB321" s="7"/>
      <c r="AC321" s="7"/>
      <c r="AD321" s="7"/>
      <c r="AE321" s="7"/>
      <c r="AF321" s="7"/>
      <c r="AG321" s="7"/>
      <c r="AH321" s="7"/>
      <c r="AI321" s="7"/>
      <c r="AJ321" s="7"/>
      <c r="AK321" s="7"/>
      <c r="AL321" s="7"/>
      <c r="AM321" s="7"/>
      <c r="AN321" s="7"/>
      <c r="AO321" s="7"/>
      <c r="AP321" s="7"/>
      <c r="AR321" s="496"/>
    </row>
    <row r="322" spans="1:44" s="588" customFormat="1" hidden="1">
      <c r="A322" s="588" t="s">
        <v>771</v>
      </c>
      <c r="C322" s="631">
        <f>C316</f>
        <v>137222.66666666669</v>
      </c>
      <c r="D322" s="987">
        <v>0</v>
      </c>
      <c r="E322" s="635"/>
      <c r="F322" s="616"/>
      <c r="G322" s="987">
        <f>G199</f>
        <v>0</v>
      </c>
      <c r="H322" s="592" t="s">
        <v>362</v>
      </c>
      <c r="I322" s="616">
        <f>ROUND(G322*$C322/100*G311,0)</f>
        <v>0</v>
      </c>
      <c r="J322" s="616"/>
      <c r="K322" s="987" t="e">
        <f>K199</f>
        <v>#REF!</v>
      </c>
      <c r="L322" s="592" t="s">
        <v>362</v>
      </c>
      <c r="M322" s="616" t="e">
        <f>ROUND(K322*$C322/100*K311,0)</f>
        <v>#REF!</v>
      </c>
      <c r="N322" s="616"/>
      <c r="O322" s="987" t="e">
        <f>O199</f>
        <v>#REF!</v>
      </c>
      <c r="P322" s="592" t="s">
        <v>362</v>
      </c>
      <c r="Q322" s="616" t="e">
        <f>ROUND(O322*$C322/100*O311,0)</f>
        <v>#REF!</v>
      </c>
      <c r="R322" s="616"/>
      <c r="S322" s="987" t="e">
        <f>S199</f>
        <v>#REF!</v>
      </c>
      <c r="T322" s="592" t="s">
        <v>362</v>
      </c>
      <c r="U322" s="616" t="e">
        <f>ROUND(S322*$C322/100*S311,0)</f>
        <v>#REF!</v>
      </c>
      <c r="W322" s="450"/>
      <c r="Z322" s="989"/>
      <c r="AA322" s="989"/>
      <c r="AF322" s="635"/>
      <c r="AG322" s="635"/>
      <c r="AH322" s="635"/>
      <c r="AI322" s="635"/>
      <c r="AJ322" s="635"/>
      <c r="AK322" s="635"/>
      <c r="AL322" s="635"/>
      <c r="AM322" s="635"/>
      <c r="AN322" s="635"/>
      <c r="AO322" s="635"/>
      <c r="AP322" s="635"/>
      <c r="AR322" s="988"/>
    </row>
    <row r="323" spans="1:44" s="588" customFormat="1" hidden="1">
      <c r="A323" s="588" t="s">
        <v>772</v>
      </c>
      <c r="C323" s="631">
        <f>C317</f>
        <v>534325.33333333326</v>
      </c>
      <c r="D323" s="987">
        <v>0</v>
      </c>
      <c r="E323" s="635"/>
      <c r="F323" s="616"/>
      <c r="G323" s="987">
        <f>G200</f>
        <v>0</v>
      </c>
      <c r="H323" s="592" t="s">
        <v>362</v>
      </c>
      <c r="I323" s="616">
        <f>ROUND(G323*$C323/100*G311,0)</f>
        <v>0</v>
      </c>
      <c r="J323" s="616"/>
      <c r="K323" s="987" t="e">
        <f>K200</f>
        <v>#REF!</v>
      </c>
      <c r="L323" s="592" t="s">
        <v>362</v>
      </c>
      <c r="M323" s="616" t="e">
        <f>ROUND(K323*$C323/100*K311,0)</f>
        <v>#REF!</v>
      </c>
      <c r="N323" s="616"/>
      <c r="O323" s="987" t="e">
        <f>O200</f>
        <v>#REF!</v>
      </c>
      <c r="P323" s="592" t="s">
        <v>362</v>
      </c>
      <c r="Q323" s="616" t="e">
        <f>ROUND(O323*$C323/100*O311,0)</f>
        <v>#REF!</v>
      </c>
      <c r="R323" s="616"/>
      <c r="S323" s="987" t="e">
        <f>S200</f>
        <v>#REF!</v>
      </c>
      <c r="T323" s="592" t="s">
        <v>362</v>
      </c>
      <c r="U323" s="616" t="e">
        <f>ROUND(S323*$C323/100*S311,0)</f>
        <v>#REF!</v>
      </c>
      <c r="W323" s="450"/>
      <c r="Z323" s="989"/>
      <c r="AA323" s="989"/>
      <c r="AF323" s="635"/>
      <c r="AG323" s="635"/>
      <c r="AH323" s="635"/>
      <c r="AI323" s="635"/>
      <c r="AJ323" s="635"/>
      <c r="AK323" s="635"/>
      <c r="AL323" s="635"/>
      <c r="AM323" s="635"/>
      <c r="AN323" s="635"/>
      <c r="AO323" s="635"/>
      <c r="AP323" s="635"/>
      <c r="AR323" s="988"/>
    </row>
    <row r="324" spans="1:44" s="588" customFormat="1" hidden="1">
      <c r="A324" s="588" t="s">
        <v>773</v>
      </c>
      <c r="C324" s="631">
        <f>C318</f>
        <v>303141</v>
      </c>
      <c r="D324" s="987">
        <v>0</v>
      </c>
      <c r="E324" s="635"/>
      <c r="F324" s="616"/>
      <c r="G324" s="987">
        <f>G201</f>
        <v>0</v>
      </c>
      <c r="H324" s="592" t="s">
        <v>362</v>
      </c>
      <c r="I324" s="616">
        <f>ROUND(G324*$C324/100*G311,0)</f>
        <v>0</v>
      </c>
      <c r="J324" s="616"/>
      <c r="K324" s="987" t="e">
        <f>K201</f>
        <v>#REF!</v>
      </c>
      <c r="L324" s="592" t="s">
        <v>362</v>
      </c>
      <c r="M324" s="616" t="e">
        <f>ROUND(K324*$C324/100*K313*K311,0)</f>
        <v>#REF!</v>
      </c>
      <c r="N324" s="616"/>
      <c r="O324" s="987" t="e">
        <f>O201</f>
        <v>#REF!</v>
      </c>
      <c r="P324" s="592" t="s">
        <v>362</v>
      </c>
      <c r="Q324" s="616" t="e">
        <f>ROUND(O324*$C324/100*O313*O311,0)</f>
        <v>#REF!</v>
      </c>
      <c r="R324" s="616"/>
      <c r="S324" s="987" t="e">
        <f>S201</f>
        <v>#REF!</v>
      </c>
      <c r="T324" s="592" t="s">
        <v>362</v>
      </c>
      <c r="U324" s="616" t="e">
        <f>ROUND(S324*$C324/100*S311,0)</f>
        <v>#REF!</v>
      </c>
      <c r="W324" s="450"/>
      <c r="Z324" s="989"/>
      <c r="AA324" s="989"/>
      <c r="AF324" s="635"/>
      <c r="AG324" s="635"/>
      <c r="AH324" s="635"/>
      <c r="AI324" s="635"/>
      <c r="AJ324" s="635"/>
      <c r="AK324" s="635"/>
      <c r="AL324" s="635"/>
      <c r="AM324" s="635"/>
      <c r="AN324" s="635"/>
      <c r="AO324" s="635"/>
      <c r="AP324" s="635"/>
      <c r="AR324" s="988"/>
    </row>
    <row r="325" spans="1:44">
      <c r="A325" s="305" t="s">
        <v>369</v>
      </c>
      <c r="B325" s="1010"/>
      <c r="C325" s="61">
        <f>SUM(C304:C306)</f>
        <v>511667485.17531258</v>
      </c>
      <c r="D325" s="1021"/>
      <c r="E325" s="305"/>
      <c r="F325" s="490">
        <f>SUM(F299:F321)</f>
        <v>47581034</v>
      </c>
      <c r="G325" s="1021"/>
      <c r="H325" s="305"/>
      <c r="I325" s="490">
        <f>SUM(I299:I324)</f>
        <v>47589645</v>
      </c>
      <c r="J325" s="490"/>
      <c r="K325" s="1021"/>
      <c r="L325" s="305"/>
      <c r="M325" s="490" t="e">
        <f>SUM(M299:M324)</f>
        <v>#REF!</v>
      </c>
      <c r="N325" s="490"/>
      <c r="O325" s="1021"/>
      <c r="P325" s="305"/>
      <c r="Q325" s="490" t="e">
        <f>SUM(Q299:Q324)</f>
        <v>#REF!</v>
      </c>
      <c r="R325" s="490"/>
      <c r="S325" s="1021"/>
      <c r="T325" s="305"/>
      <c r="U325" s="490" t="e">
        <f>SUM(U299:U324)</f>
        <v>#REF!</v>
      </c>
      <c r="V325" s="342"/>
      <c r="W325" s="31"/>
      <c r="X325" s="31"/>
      <c r="Y325" s="31"/>
      <c r="Z325" s="7"/>
      <c r="AA325" s="7"/>
      <c r="AB325" s="7"/>
      <c r="AC325" s="7"/>
      <c r="AD325" s="7"/>
      <c r="AE325" s="7"/>
      <c r="AF325" s="7"/>
      <c r="AG325" s="7"/>
      <c r="AH325" s="7"/>
      <c r="AI325" s="7"/>
      <c r="AJ325" s="7"/>
      <c r="AK325" s="7"/>
      <c r="AL325" s="7"/>
      <c r="AM325" s="7"/>
      <c r="AN325" s="7"/>
      <c r="AO325" s="7"/>
      <c r="AP325" s="7"/>
      <c r="AR325" s="496"/>
    </row>
    <row r="326" spans="1:44">
      <c r="A326" s="305" t="s">
        <v>351</v>
      </c>
      <c r="B326" s="305"/>
      <c r="C326" s="1017">
        <f>'Table 2'!H41</f>
        <v>4703700.3237753101</v>
      </c>
      <c r="D326" s="305"/>
      <c r="E326" s="305"/>
      <c r="F326" s="993">
        <f>'Table 3'!E41</f>
        <v>624428.93111745664</v>
      </c>
      <c r="G326" s="305"/>
      <c r="H326" s="305"/>
      <c r="I326" s="993">
        <f>F326</f>
        <v>624428.93111745664</v>
      </c>
      <c r="J326" s="723"/>
      <c r="K326" s="305"/>
      <c r="L326" s="305"/>
      <c r="M326" s="993" t="e">
        <f ca="1">M220/I220*I326</f>
        <v>#DIV/0!</v>
      </c>
      <c r="N326" s="723"/>
      <c r="O326" s="305"/>
      <c r="P326" s="305"/>
      <c r="Q326" s="993" t="e">
        <f ca="1">Q220/I220*I326</f>
        <v>#DIV/0!</v>
      </c>
      <c r="R326" s="723"/>
      <c r="S326" s="305"/>
      <c r="T326" s="305"/>
      <c r="U326" s="993" t="e">
        <f ca="1">U220/I220*I326</f>
        <v>#DIV/0!</v>
      </c>
      <c r="V326" s="714"/>
      <c r="W326" s="171"/>
      <c r="X326" s="31"/>
      <c r="Y326" s="31"/>
      <c r="Z326" s="7"/>
      <c r="AA326" s="7"/>
      <c r="AB326" s="7"/>
      <c r="AC326" s="7"/>
      <c r="AD326" s="7"/>
      <c r="AE326" s="7"/>
      <c r="AF326" s="7"/>
      <c r="AG326" s="7"/>
      <c r="AH326" s="7"/>
      <c r="AI326" s="7"/>
      <c r="AJ326" s="7"/>
      <c r="AK326" s="7"/>
      <c r="AL326" s="7"/>
      <c r="AM326" s="7"/>
      <c r="AN326" s="7"/>
      <c r="AO326" s="7"/>
      <c r="AP326" s="7"/>
      <c r="AR326" s="496"/>
    </row>
    <row r="327" spans="1:44" ht="16.5" thickBot="1">
      <c r="A327" s="305" t="s">
        <v>370</v>
      </c>
      <c r="B327" s="305"/>
      <c r="C327" s="1012">
        <f>SUM(C325:C326)</f>
        <v>516371185.49908787</v>
      </c>
      <c r="D327" s="1036"/>
      <c r="E327" s="1030"/>
      <c r="F327" s="995">
        <f>F325+F326</f>
        <v>48205462.93111746</v>
      </c>
      <c r="G327" s="1036"/>
      <c r="H327" s="1030"/>
      <c r="I327" s="995">
        <f>I325+I326</f>
        <v>48214073.93111746</v>
      </c>
      <c r="J327" s="723"/>
      <c r="K327" s="1036"/>
      <c r="L327" s="1030"/>
      <c r="M327" s="995" t="e">
        <f ca="1">M325+M326</f>
        <v>#REF!</v>
      </c>
      <c r="N327" s="995"/>
      <c r="O327" s="1036"/>
      <c r="P327" s="1030"/>
      <c r="Q327" s="995" t="e">
        <f ca="1">Q325+Q326</f>
        <v>#REF!</v>
      </c>
      <c r="R327" s="995"/>
      <c r="S327" s="1036"/>
      <c r="T327" s="1030"/>
      <c r="U327" s="995" t="e">
        <f ca="1">U325+U326</f>
        <v>#REF!</v>
      </c>
      <c r="V327" s="295"/>
      <c r="W327" s="354"/>
      <c r="X327" s="31"/>
      <c r="Y327" s="31"/>
      <c r="Z327" s="7"/>
      <c r="AA327" s="7"/>
      <c r="AB327" s="7"/>
      <c r="AC327" s="7"/>
      <c r="AD327" s="7"/>
      <c r="AE327" s="7"/>
      <c r="AF327" s="7"/>
      <c r="AG327" s="7"/>
      <c r="AH327" s="7"/>
      <c r="AI327" s="7"/>
      <c r="AJ327" s="7"/>
      <c r="AK327" s="7"/>
      <c r="AL327" s="7"/>
      <c r="AM327" s="7"/>
      <c r="AN327" s="7"/>
      <c r="AO327" s="7"/>
      <c r="AP327" s="7"/>
      <c r="AR327" s="496"/>
    </row>
    <row r="328" spans="1:44" ht="16.5" thickTop="1">
      <c r="A328" s="305"/>
      <c r="B328" s="305"/>
      <c r="C328" s="61"/>
      <c r="D328" s="237"/>
      <c r="E328" s="305"/>
      <c r="F328" s="490"/>
      <c r="G328" s="237"/>
      <c r="H328" s="305"/>
      <c r="I328" s="490" t="s">
        <v>31</v>
      </c>
      <c r="J328" s="490"/>
      <c r="K328" s="237"/>
      <c r="L328" s="305"/>
      <c r="M328" s="490" t="s">
        <v>31</v>
      </c>
      <c r="N328" s="490"/>
      <c r="O328" s="237"/>
      <c r="P328" s="305"/>
      <c r="Q328" s="490" t="s">
        <v>31</v>
      </c>
      <c r="R328" s="490"/>
      <c r="S328" s="237"/>
      <c r="T328" s="305"/>
      <c r="U328" s="490" t="s">
        <v>31</v>
      </c>
      <c r="V328" s="7"/>
      <c r="W328" s="31"/>
      <c r="X328" s="31"/>
      <c r="Y328" s="31"/>
      <c r="Z328" s="7"/>
      <c r="AA328" s="7"/>
      <c r="AB328" s="7"/>
      <c r="AC328" s="7"/>
      <c r="AD328" s="7"/>
      <c r="AE328" s="7"/>
      <c r="AF328" s="7"/>
      <c r="AG328" s="7"/>
      <c r="AH328" s="7"/>
      <c r="AI328" s="7"/>
      <c r="AJ328" s="7"/>
      <c r="AK328" s="7"/>
      <c r="AL328" s="7"/>
      <c r="AM328" s="7"/>
      <c r="AN328" s="7"/>
      <c r="AO328" s="7"/>
      <c r="AP328" s="7"/>
      <c r="AR328" s="496"/>
    </row>
    <row r="329" spans="1:44">
      <c r="A329" s="305" t="s">
        <v>375</v>
      </c>
      <c r="B329" s="305"/>
      <c r="C329" s="305"/>
      <c r="D329" s="490"/>
      <c r="E329" s="305"/>
      <c r="F329" s="305"/>
      <c r="G329" s="490"/>
      <c r="H329" s="305"/>
      <c r="I329" s="305"/>
      <c r="J329" s="305"/>
      <c r="K329" s="490"/>
      <c r="L329" s="305"/>
      <c r="M329" s="305"/>
      <c r="N329" s="305"/>
      <c r="O329" s="490"/>
      <c r="P329" s="305"/>
      <c r="Q329" s="305"/>
      <c r="R329" s="305"/>
      <c r="S329" s="490"/>
      <c r="T329" s="305"/>
      <c r="U329" s="305"/>
      <c r="V329" s="7"/>
      <c r="W329" s="31"/>
      <c r="X329" s="31"/>
      <c r="Y329" s="31"/>
      <c r="Z329" s="7"/>
      <c r="AA329" s="7"/>
      <c r="AB329" s="7"/>
      <c r="AC329" s="7"/>
      <c r="AD329" s="7"/>
      <c r="AE329" s="7"/>
      <c r="AF329" s="7"/>
      <c r="AG329" s="7"/>
      <c r="AH329" s="7"/>
      <c r="AI329" s="7"/>
      <c r="AJ329" s="7"/>
      <c r="AK329" s="7"/>
      <c r="AL329" s="7"/>
      <c r="AM329" s="7"/>
      <c r="AN329" s="7"/>
      <c r="AO329" s="7"/>
      <c r="AP329" s="7"/>
      <c r="AR329" s="496"/>
    </row>
    <row r="330" spans="1:44">
      <c r="A330" s="305" t="s">
        <v>402</v>
      </c>
      <c r="B330" s="305"/>
      <c r="C330" s="61"/>
      <c r="D330" s="490"/>
      <c r="E330" s="305"/>
      <c r="F330" s="305"/>
      <c r="G330" s="490"/>
      <c r="H330" s="305"/>
      <c r="I330" s="305"/>
      <c r="J330" s="305"/>
      <c r="K330" s="490"/>
      <c r="L330" s="305"/>
      <c r="M330" s="305"/>
      <c r="N330" s="305"/>
      <c r="O330" s="490"/>
      <c r="P330" s="305"/>
      <c r="Q330" s="305"/>
      <c r="R330" s="305"/>
      <c r="S330" s="490"/>
      <c r="T330" s="305"/>
      <c r="U330" s="305"/>
      <c r="V330" s="7"/>
      <c r="W330" s="31"/>
      <c r="X330" s="31"/>
      <c r="Y330" s="31"/>
      <c r="Z330" s="7"/>
      <c r="AA330" s="7"/>
      <c r="AB330" s="7"/>
      <c r="AC330" s="7"/>
      <c r="AD330" s="7"/>
      <c r="AE330" s="7"/>
      <c r="AF330" s="7"/>
      <c r="AG330" s="7"/>
      <c r="AH330" s="7"/>
      <c r="AI330" s="7"/>
      <c r="AJ330" s="7"/>
      <c r="AK330" s="7"/>
      <c r="AL330" s="7"/>
      <c r="AM330" s="7"/>
      <c r="AN330" s="7"/>
      <c r="AO330" s="7"/>
      <c r="AP330" s="7"/>
      <c r="AR330" s="496"/>
    </row>
    <row r="331" spans="1:44">
      <c r="A331" s="305"/>
      <c r="B331" s="305"/>
      <c r="C331" s="305"/>
      <c r="D331" s="490"/>
      <c r="E331" s="305"/>
      <c r="F331" s="305"/>
      <c r="G331" s="490"/>
      <c r="H331" s="305"/>
      <c r="I331" s="305"/>
      <c r="J331" s="305"/>
      <c r="K331" s="490"/>
      <c r="L331" s="305"/>
      <c r="M331" s="305"/>
      <c r="N331" s="305"/>
      <c r="O331" s="490"/>
      <c r="P331" s="305"/>
      <c r="Q331" s="305"/>
      <c r="R331" s="305"/>
      <c r="S331" s="490"/>
      <c r="T331" s="305"/>
      <c r="U331" s="305"/>
      <c r="V331" s="7"/>
      <c r="W331" s="31"/>
      <c r="X331" s="31"/>
      <c r="Y331" s="31"/>
      <c r="Z331" s="7"/>
      <c r="AA331" s="7"/>
      <c r="AB331" s="7"/>
      <c r="AC331" s="7"/>
      <c r="AD331" s="7"/>
      <c r="AE331" s="7"/>
      <c r="AF331" s="7"/>
      <c r="AG331" s="7"/>
      <c r="AH331" s="7"/>
      <c r="AI331" s="7"/>
      <c r="AJ331" s="7"/>
      <c r="AK331" s="7"/>
      <c r="AL331" s="7"/>
      <c r="AM331" s="7"/>
      <c r="AN331" s="7"/>
      <c r="AO331" s="7"/>
      <c r="AP331" s="7"/>
      <c r="AR331" s="496"/>
    </row>
    <row r="332" spans="1:44">
      <c r="A332" s="305" t="s">
        <v>381</v>
      </c>
      <c r="B332" s="305"/>
      <c r="C332" s="61"/>
      <c r="D332" s="490"/>
      <c r="E332" s="305"/>
      <c r="F332" s="305"/>
      <c r="G332" s="490"/>
      <c r="H332" s="305"/>
      <c r="I332" s="305"/>
      <c r="J332" s="305"/>
      <c r="K332" s="490"/>
      <c r="L332" s="305"/>
      <c r="M332" s="305"/>
      <c r="N332" s="305"/>
      <c r="O332" s="490"/>
      <c r="P332" s="305"/>
      <c r="Q332" s="305"/>
      <c r="R332" s="305"/>
      <c r="S332" s="490"/>
      <c r="T332" s="305"/>
      <c r="U332" s="305"/>
      <c r="V332" s="7"/>
      <c r="W332" s="31"/>
      <c r="X332" s="31"/>
      <c r="Y332" s="31"/>
      <c r="Z332" s="7"/>
      <c r="AA332" s="7"/>
      <c r="AB332" s="7"/>
      <c r="AC332" s="7"/>
      <c r="AD332" s="7"/>
      <c r="AE332" s="7"/>
      <c r="AF332" s="7"/>
      <c r="AG332" s="7"/>
      <c r="AH332" s="7"/>
      <c r="AI332" s="7"/>
      <c r="AJ332" s="7"/>
      <c r="AK332" s="7"/>
      <c r="AL332" s="7"/>
      <c r="AM332" s="7"/>
      <c r="AN332" s="7"/>
      <c r="AO332" s="7"/>
      <c r="AP332" s="7"/>
      <c r="AR332" s="496"/>
    </row>
    <row r="333" spans="1:44">
      <c r="A333" s="305" t="s">
        <v>378</v>
      </c>
      <c r="B333" s="305"/>
      <c r="C333" s="61">
        <v>1583.7666666666701</v>
      </c>
      <c r="D333" s="448">
        <f>$D$189</f>
        <v>9.99</v>
      </c>
      <c r="E333" s="305"/>
      <c r="F333" s="490">
        <f>ROUND(D333*$C333,0)</f>
        <v>15822</v>
      </c>
      <c r="G333" s="448">
        <f>$G$189</f>
        <v>9.99</v>
      </c>
      <c r="H333" s="305"/>
      <c r="I333" s="490">
        <f>ROUND(G333*$C333,0)</f>
        <v>15822</v>
      </c>
      <c r="J333" s="490"/>
      <c r="K333" s="448" t="e">
        <f>$K$189</f>
        <v>#REF!</v>
      </c>
      <c r="L333" s="305"/>
      <c r="M333" s="490" t="e">
        <f>ROUND(K333*$C333,0)</f>
        <v>#REF!</v>
      </c>
      <c r="N333" s="490"/>
      <c r="O333" s="448" t="e">
        <f>$O$189</f>
        <v>#REF!</v>
      </c>
      <c r="P333" s="305"/>
      <c r="Q333" s="490" t="e">
        <f>ROUND(O333*$C333,0)</f>
        <v>#REF!</v>
      </c>
      <c r="R333" s="490"/>
      <c r="S333" s="448" t="e">
        <f>$S$189</f>
        <v>#REF!</v>
      </c>
      <c r="T333" s="305"/>
      <c r="U333" s="490" t="e">
        <f>ROUND(S333*$C333,0)</f>
        <v>#REF!</v>
      </c>
      <c r="V333" s="7"/>
      <c r="W333" s="31"/>
      <c r="X333" s="31"/>
      <c r="Y333" s="31"/>
      <c r="Z333" s="7"/>
      <c r="AA333" s="7"/>
      <c r="AB333" s="7"/>
      <c r="AC333" s="7"/>
      <c r="AD333" s="7"/>
      <c r="AE333" s="7"/>
      <c r="AF333" s="7"/>
      <c r="AG333" s="7"/>
      <c r="AH333" s="7"/>
      <c r="AI333" s="7"/>
      <c r="AJ333" s="7"/>
      <c r="AK333" s="7"/>
      <c r="AL333" s="7"/>
      <c r="AM333" s="7"/>
      <c r="AN333" s="7"/>
      <c r="AO333" s="7"/>
      <c r="AP333" s="7"/>
      <c r="AR333" s="496"/>
    </row>
    <row r="334" spans="1:44">
      <c r="A334" s="305" t="s">
        <v>379</v>
      </c>
      <c r="B334" s="305"/>
      <c r="C334" s="61">
        <v>2849.4333333333302</v>
      </c>
      <c r="D334" s="448">
        <f>$D$190</f>
        <v>14.89</v>
      </c>
      <c r="E334" s="1004"/>
      <c r="F334" s="490">
        <f t="shared" ref="F334:F335" si="70">ROUND(D334*$C334,0)</f>
        <v>42428</v>
      </c>
      <c r="G334" s="448">
        <f>$G$190</f>
        <v>14.89</v>
      </c>
      <c r="H334" s="1004"/>
      <c r="I334" s="490">
        <f>ROUND(G334*$C334,0)</f>
        <v>42428</v>
      </c>
      <c r="J334" s="490"/>
      <c r="K334" s="448" t="e">
        <f>$K$190</f>
        <v>#REF!</v>
      </c>
      <c r="L334" s="1004"/>
      <c r="M334" s="490" t="e">
        <f>ROUND(K334*$C334,0)</f>
        <v>#REF!</v>
      </c>
      <c r="N334" s="490"/>
      <c r="O334" s="448" t="e">
        <f>$O$190</f>
        <v>#REF!</v>
      </c>
      <c r="P334" s="1004"/>
      <c r="Q334" s="490" t="e">
        <f>ROUND(O334*$C334,0)</f>
        <v>#REF!</v>
      </c>
      <c r="R334" s="490"/>
      <c r="S334" s="448" t="e">
        <f>$S$190</f>
        <v>#REF!</v>
      </c>
      <c r="T334" s="1004"/>
      <c r="U334" s="490" t="e">
        <f>ROUND(S334*$C334,0)</f>
        <v>#REF!</v>
      </c>
      <c r="V334" s="7"/>
      <c r="W334" s="31"/>
      <c r="X334" s="31"/>
      <c r="Y334" s="31"/>
      <c r="Z334" s="7"/>
      <c r="AA334" s="7"/>
      <c r="AB334" s="7"/>
      <c r="AC334" s="7"/>
      <c r="AD334" s="7"/>
      <c r="AE334" s="7"/>
      <c r="AF334" s="7"/>
      <c r="AG334" s="7"/>
      <c r="AH334" s="7"/>
      <c r="AI334" s="7"/>
      <c r="AJ334" s="7"/>
      <c r="AK334" s="7"/>
      <c r="AL334" s="7"/>
      <c r="AM334" s="7"/>
      <c r="AN334" s="7"/>
      <c r="AO334" s="7"/>
      <c r="AP334" s="7"/>
      <c r="AR334" s="496"/>
    </row>
    <row r="335" spans="1:44">
      <c r="A335" s="305" t="s">
        <v>380</v>
      </c>
      <c r="B335" s="305"/>
      <c r="C335" s="61">
        <v>57347</v>
      </c>
      <c r="D335" s="448">
        <f>$D$191</f>
        <v>1.04</v>
      </c>
      <c r="E335" s="1004"/>
      <c r="F335" s="490">
        <f t="shared" si="70"/>
        <v>59641</v>
      </c>
      <c r="G335" s="448">
        <f>$G$191</f>
        <v>1.04</v>
      </c>
      <c r="H335" s="1004"/>
      <c r="I335" s="490">
        <f>ROUND(G335*$C335,0)</f>
        <v>59641</v>
      </c>
      <c r="J335" s="490"/>
      <c r="K335" s="448" t="e">
        <f>$K$191</f>
        <v>#REF!</v>
      </c>
      <c r="L335" s="1004"/>
      <c r="M335" s="490" t="e">
        <f>ROUND(K335*$C335,0)</f>
        <v>#REF!</v>
      </c>
      <c r="N335" s="490"/>
      <c r="O335" s="448" t="e">
        <f>$O$191</f>
        <v>#REF!</v>
      </c>
      <c r="P335" s="1004"/>
      <c r="Q335" s="490" t="e">
        <f>ROUND(O335*$C335,0)</f>
        <v>#REF!</v>
      </c>
      <c r="R335" s="490"/>
      <c r="S335" s="448" t="e">
        <f>$S$191</f>
        <v>#REF!</v>
      </c>
      <c r="T335" s="1004"/>
      <c r="U335" s="490" t="e">
        <f>ROUND(S335*$C335,0)</f>
        <v>#REF!</v>
      </c>
      <c r="V335" s="7"/>
      <c r="W335" s="31"/>
      <c r="X335" s="31"/>
      <c r="Y335" s="31"/>
      <c r="Z335" s="7"/>
      <c r="AA335" s="7"/>
      <c r="AB335" s="7"/>
      <c r="AC335" s="7"/>
      <c r="AD335" s="7"/>
      <c r="AE335" s="7"/>
      <c r="AF335" s="7"/>
      <c r="AG335" s="7"/>
      <c r="AH335" s="7"/>
      <c r="AI335" s="7"/>
      <c r="AJ335" s="7"/>
      <c r="AK335" s="7"/>
      <c r="AL335" s="7"/>
      <c r="AM335" s="7"/>
      <c r="AN335" s="7"/>
      <c r="AO335" s="7"/>
      <c r="AP335" s="7"/>
      <c r="AR335" s="496"/>
    </row>
    <row r="336" spans="1:44">
      <c r="A336" s="305" t="s">
        <v>382</v>
      </c>
      <c r="B336" s="305"/>
      <c r="C336" s="61">
        <f>SUM(C333:C334)</f>
        <v>4433.2000000000007</v>
      </c>
      <c r="D336" s="448"/>
      <c r="E336" s="305"/>
      <c r="F336" s="490"/>
      <c r="G336" s="448"/>
      <c r="H336" s="305"/>
      <c r="I336" s="490"/>
      <c r="J336" s="490"/>
      <c r="K336" s="448"/>
      <c r="L336" s="305"/>
      <c r="M336" s="490"/>
      <c r="N336" s="490"/>
      <c r="O336" s="448"/>
      <c r="P336" s="305"/>
      <c r="Q336" s="490"/>
      <c r="R336" s="490"/>
      <c r="S336" s="448"/>
      <c r="T336" s="305"/>
      <c r="U336" s="490"/>
      <c r="V336" s="7"/>
      <c r="W336" s="31"/>
      <c r="X336" s="31"/>
      <c r="Y336" s="31"/>
      <c r="Z336" s="7"/>
      <c r="AA336" s="7"/>
      <c r="AB336" s="7"/>
      <c r="AC336" s="7"/>
      <c r="AD336" s="7"/>
      <c r="AE336" s="7"/>
      <c r="AF336" s="7"/>
      <c r="AG336" s="7"/>
      <c r="AH336" s="7"/>
      <c r="AI336" s="7"/>
      <c r="AJ336" s="7"/>
      <c r="AK336" s="7"/>
      <c r="AL336" s="7"/>
      <c r="AM336" s="7"/>
      <c r="AN336" s="7"/>
      <c r="AO336" s="7"/>
      <c r="AP336" s="7"/>
      <c r="AR336" s="496"/>
    </row>
    <row r="337" spans="1:44">
      <c r="A337" s="305" t="s">
        <v>383</v>
      </c>
      <c r="B337" s="305"/>
      <c r="C337" s="61">
        <v>35513</v>
      </c>
      <c r="D337" s="237">
        <f>$D$194</f>
        <v>3.8</v>
      </c>
      <c r="E337" s="305"/>
      <c r="F337" s="490">
        <f>ROUND(D337*C337,0)</f>
        <v>134949</v>
      </c>
      <c r="G337" s="237">
        <f>$G$194</f>
        <v>3.8099999999999996</v>
      </c>
      <c r="H337" s="305"/>
      <c r="I337" s="490">
        <f>ROUND(G337*$C337,0)</f>
        <v>135305</v>
      </c>
      <c r="J337" s="490"/>
      <c r="K337" s="237" t="e">
        <f>$K$194</f>
        <v>#REF!</v>
      </c>
      <c r="L337" s="305"/>
      <c r="M337" s="490" t="e">
        <f>ROUND(K337*$C337,0)</f>
        <v>#REF!</v>
      </c>
      <c r="N337" s="490"/>
      <c r="O337" s="237" t="e">
        <f>$O$194</f>
        <v>#REF!</v>
      </c>
      <c r="P337" s="305"/>
      <c r="Q337" s="490" t="e">
        <f>ROUND(O337*$C337,0)</f>
        <v>#REF!</v>
      </c>
      <c r="R337" s="490"/>
      <c r="S337" s="237" t="e">
        <f>$S$194</f>
        <v>#REF!</v>
      </c>
      <c r="T337" s="305"/>
      <c r="U337" s="490" t="e">
        <f>ROUND(S337*$C337,0)</f>
        <v>#REF!</v>
      </c>
      <c r="V337" s="7"/>
      <c r="W337" s="31"/>
      <c r="X337" s="31"/>
      <c r="Y337" s="31"/>
      <c r="Z337" s="7"/>
      <c r="AA337" s="7"/>
      <c r="AB337" s="7"/>
      <c r="AC337" s="7"/>
      <c r="AD337" s="7"/>
      <c r="AE337" s="7"/>
      <c r="AF337" s="7"/>
      <c r="AG337" s="7"/>
      <c r="AH337" s="7"/>
      <c r="AI337" s="7"/>
      <c r="AJ337" s="7"/>
      <c r="AK337" s="7"/>
      <c r="AL337" s="7"/>
      <c r="AM337" s="7"/>
      <c r="AN337" s="7"/>
      <c r="AO337" s="7"/>
      <c r="AP337" s="7"/>
      <c r="AR337" s="496"/>
    </row>
    <row r="338" spans="1:44">
      <c r="A338" s="305" t="s">
        <v>385</v>
      </c>
      <c r="B338" s="305"/>
      <c r="C338" s="61">
        <v>2997648.9999999972</v>
      </c>
      <c r="D338" s="1006">
        <f>$D$195</f>
        <v>10.878</v>
      </c>
      <c r="E338" s="305" t="s">
        <v>362</v>
      </c>
      <c r="F338" s="490">
        <f>ROUND(D338*C338/100,0)</f>
        <v>326084</v>
      </c>
      <c r="G338" s="1006">
        <f>$G$195</f>
        <v>10.879</v>
      </c>
      <c r="H338" s="305" t="s">
        <v>362</v>
      </c>
      <c r="I338" s="490">
        <f>ROUND(G338*$C338/100,0)</f>
        <v>326114</v>
      </c>
      <c r="J338" s="490"/>
      <c r="K338" s="1006" t="e">
        <f>$K$195</f>
        <v>#REF!</v>
      </c>
      <c r="L338" s="305" t="s">
        <v>362</v>
      </c>
      <c r="M338" s="490" t="e">
        <f>ROUND(K338*$C338/100,0)</f>
        <v>#REF!</v>
      </c>
      <c r="N338" s="490"/>
      <c r="O338" s="1006" t="e">
        <f>$O$195</f>
        <v>#REF!</v>
      </c>
      <c r="P338" s="305" t="s">
        <v>362</v>
      </c>
      <c r="Q338" s="490" t="e">
        <f>ROUND(O338*$C338/100,0)</f>
        <v>#REF!</v>
      </c>
      <c r="R338" s="490"/>
      <c r="S338" s="1006" t="e">
        <f>$S$195</f>
        <v>#REF!</v>
      </c>
      <c r="T338" s="305" t="s">
        <v>362</v>
      </c>
      <c r="U338" s="490" t="e">
        <f>ROUND(S338*$C338/100,0)</f>
        <v>#REF!</v>
      </c>
      <c r="V338" s="7"/>
      <c r="W338" s="31"/>
      <c r="X338" s="31"/>
      <c r="Y338" s="31"/>
      <c r="Z338" s="7"/>
      <c r="AA338" s="7"/>
      <c r="AB338" s="7"/>
      <c r="AC338" s="7"/>
      <c r="AD338" s="7"/>
      <c r="AE338" s="7"/>
      <c r="AF338" s="7"/>
      <c r="AG338" s="7"/>
      <c r="AH338" s="7"/>
      <c r="AI338" s="7"/>
      <c r="AJ338" s="7"/>
      <c r="AK338" s="7"/>
      <c r="AL338" s="7"/>
      <c r="AM338" s="7"/>
      <c r="AN338" s="7"/>
      <c r="AO338" s="7"/>
      <c r="AP338" s="7"/>
      <c r="AR338" s="496"/>
    </row>
    <row r="339" spans="1:44">
      <c r="A339" s="305" t="s">
        <v>386</v>
      </c>
      <c r="B339" s="305"/>
      <c r="C339" s="61">
        <v>9072829.0000000037</v>
      </c>
      <c r="D339" s="1006">
        <f>$D$196</f>
        <v>7.5140000000000002</v>
      </c>
      <c r="E339" s="305" t="s">
        <v>362</v>
      </c>
      <c r="F339" s="490">
        <f>ROUND(D339*C339/100,0)</f>
        <v>681732</v>
      </c>
      <c r="G339" s="1006">
        <f>$G$196</f>
        <v>7.5140000000000002</v>
      </c>
      <c r="H339" s="305" t="s">
        <v>362</v>
      </c>
      <c r="I339" s="490">
        <f>ROUND(G339*$C339/100,0)</f>
        <v>681732</v>
      </c>
      <c r="J339" s="490"/>
      <c r="K339" s="1006" t="e">
        <f>$K$196</f>
        <v>#REF!</v>
      </c>
      <c r="L339" s="305" t="s">
        <v>362</v>
      </c>
      <c r="M339" s="490" t="e">
        <f>ROUND(K339*$C339/100,0)</f>
        <v>#REF!</v>
      </c>
      <c r="N339" s="490"/>
      <c r="O339" s="1006" t="e">
        <f>$O$196</f>
        <v>#REF!</v>
      </c>
      <c r="P339" s="305" t="s">
        <v>362</v>
      </c>
      <c r="Q339" s="490" t="e">
        <f>ROUND(O339*$C339/100,0)</f>
        <v>#REF!</v>
      </c>
      <c r="R339" s="490"/>
      <c r="S339" s="1006" t="e">
        <f>$S$196</f>
        <v>#REF!</v>
      </c>
      <c r="T339" s="305" t="s">
        <v>362</v>
      </c>
      <c r="U339" s="490" t="e">
        <f>ROUND(S339*$C339/100,0)</f>
        <v>#REF!</v>
      </c>
      <c r="V339" s="7"/>
      <c r="W339" s="31"/>
      <c r="X339" s="31"/>
      <c r="Y339" s="31"/>
      <c r="Z339" s="7"/>
      <c r="AA339" s="7"/>
      <c r="AB339" s="7"/>
      <c r="AC339" s="7"/>
      <c r="AD339" s="7"/>
      <c r="AE339" s="7"/>
      <c r="AF339" s="7"/>
      <c r="AG339" s="7"/>
      <c r="AH339" s="7"/>
      <c r="AI339" s="7"/>
      <c r="AJ339" s="7"/>
      <c r="AK339" s="7"/>
      <c r="AL339" s="7"/>
      <c r="AM339" s="7"/>
      <c r="AN339" s="7"/>
      <c r="AO339" s="7"/>
      <c r="AP339" s="7"/>
      <c r="AR339" s="496"/>
    </row>
    <row r="340" spans="1:44">
      <c r="A340" s="305" t="s">
        <v>387</v>
      </c>
      <c r="B340" s="305"/>
      <c r="C340" s="61">
        <v>4035046</v>
      </c>
      <c r="D340" s="1006">
        <f>$D$197</f>
        <v>6.4720000000000004</v>
      </c>
      <c r="E340" s="305" t="s">
        <v>362</v>
      </c>
      <c r="F340" s="490">
        <f>ROUND(D340*C340/100,0)</f>
        <v>261148</v>
      </c>
      <c r="G340" s="1006">
        <f>$G$197</f>
        <v>6.4720000000000004</v>
      </c>
      <c r="H340" s="305" t="s">
        <v>362</v>
      </c>
      <c r="I340" s="490">
        <f>ROUND(G340*$C340/100,0)</f>
        <v>261148</v>
      </c>
      <c r="J340" s="490"/>
      <c r="K340" s="1006" t="e">
        <f>$K$197</f>
        <v>#REF!</v>
      </c>
      <c r="L340" s="305" t="s">
        <v>362</v>
      </c>
      <c r="M340" s="490" t="e">
        <f>ROUND(K340*$C340/100,0)</f>
        <v>#REF!</v>
      </c>
      <c r="N340" s="490"/>
      <c r="O340" s="1006" t="e">
        <f>$O$197</f>
        <v>#REF!</v>
      </c>
      <c r="P340" s="305" t="s">
        <v>362</v>
      </c>
      <c r="Q340" s="490" t="e">
        <f>ROUND(O340*$C340/100,0)</f>
        <v>#REF!</v>
      </c>
      <c r="R340" s="490"/>
      <c r="S340" s="1006" t="e">
        <f>$S$197</f>
        <v>#REF!</v>
      </c>
      <c r="T340" s="305" t="s">
        <v>362</v>
      </c>
      <c r="U340" s="490" t="e">
        <f>ROUND(S340*$C340/100,0)</f>
        <v>#REF!</v>
      </c>
      <c r="V340" s="7"/>
      <c r="W340" s="31"/>
      <c r="X340" s="31"/>
      <c r="Y340" s="31"/>
      <c r="Z340" s="7"/>
      <c r="AA340" s="7"/>
      <c r="AB340" s="7"/>
      <c r="AC340" s="7"/>
      <c r="AD340" s="7"/>
      <c r="AE340" s="7"/>
      <c r="AF340" s="7"/>
      <c r="AG340" s="7"/>
      <c r="AH340" s="7"/>
      <c r="AI340" s="7"/>
      <c r="AJ340" s="7"/>
      <c r="AK340" s="7"/>
      <c r="AL340" s="7"/>
      <c r="AM340" s="7"/>
      <c r="AN340" s="7"/>
      <c r="AO340" s="7"/>
      <c r="AP340" s="7"/>
      <c r="AR340" s="496"/>
    </row>
    <row r="341" spans="1:44">
      <c r="A341" s="305" t="s">
        <v>388</v>
      </c>
      <c r="B341" s="305"/>
      <c r="C341" s="61">
        <v>14630.9</v>
      </c>
      <c r="D341" s="237">
        <f>$D$198</f>
        <v>58</v>
      </c>
      <c r="E341" s="305" t="s">
        <v>362</v>
      </c>
      <c r="F341" s="490">
        <f>ROUND(D341*C341/100,0)</f>
        <v>8486</v>
      </c>
      <c r="G341" s="1021">
        <f>$G$198</f>
        <v>58</v>
      </c>
      <c r="H341" s="305" t="s">
        <v>362</v>
      </c>
      <c r="I341" s="490">
        <f>ROUND(G341*$C341/100,0)</f>
        <v>8486</v>
      </c>
      <c r="J341" s="490"/>
      <c r="K341" s="1021" t="e">
        <f>$K$198</f>
        <v>#REF!</v>
      </c>
      <c r="L341" s="305" t="s">
        <v>362</v>
      </c>
      <c r="M341" s="490" t="e">
        <f>ROUND(K341*$C341/100,0)</f>
        <v>#REF!</v>
      </c>
      <c r="N341" s="490"/>
      <c r="O341" s="1021" t="e">
        <f>$O$198</f>
        <v>#REF!</v>
      </c>
      <c r="P341" s="305" t="s">
        <v>362</v>
      </c>
      <c r="Q341" s="490" t="e">
        <f>ROUND(O341*$C341/100,0)</f>
        <v>#REF!</v>
      </c>
      <c r="R341" s="490"/>
      <c r="S341" s="1021" t="e">
        <f>$S$198</f>
        <v>#REF!</v>
      </c>
      <c r="T341" s="305" t="s">
        <v>362</v>
      </c>
      <c r="U341" s="490" t="e">
        <f>ROUND(S341*$C341/100,0)</f>
        <v>#REF!</v>
      </c>
      <c r="V341" s="7"/>
      <c r="W341" s="31"/>
      <c r="X341" s="31"/>
      <c r="Y341" s="31"/>
      <c r="Z341" s="7"/>
      <c r="AA341" s="7"/>
      <c r="AB341" s="7"/>
      <c r="AC341" s="7"/>
      <c r="AD341" s="7"/>
      <c r="AE341" s="7"/>
      <c r="AF341" s="7"/>
      <c r="AG341" s="7"/>
      <c r="AH341" s="7"/>
      <c r="AI341" s="7"/>
      <c r="AJ341" s="7"/>
      <c r="AK341" s="7"/>
      <c r="AL341" s="7"/>
      <c r="AM341" s="7"/>
      <c r="AN341" s="7"/>
      <c r="AO341" s="7"/>
      <c r="AP341" s="7"/>
      <c r="AR341" s="496"/>
    </row>
    <row r="342" spans="1:44" s="588" customFormat="1" hidden="1">
      <c r="A342" s="588" t="s">
        <v>771</v>
      </c>
      <c r="C342" s="631">
        <f>C338</f>
        <v>2997648.9999999972</v>
      </c>
      <c r="D342" s="987">
        <v>0</v>
      </c>
      <c r="E342" s="635"/>
      <c r="F342" s="616"/>
      <c r="G342" s="987">
        <f>G199</f>
        <v>0</v>
      </c>
      <c r="H342" s="592" t="s">
        <v>362</v>
      </c>
      <c r="I342" s="616">
        <f t="shared" ref="I342:I344" si="71">ROUND(G342*$C342/100,0)</f>
        <v>0</v>
      </c>
      <c r="J342" s="616"/>
      <c r="K342" s="987" t="e">
        <f>K199</f>
        <v>#REF!</v>
      </c>
      <c r="L342" s="592" t="s">
        <v>362</v>
      </c>
      <c r="M342" s="616" t="e">
        <f t="shared" ref="M342:M344" si="72">ROUND(K342*$C342/100,0)</f>
        <v>#REF!</v>
      </c>
      <c r="N342" s="616"/>
      <c r="O342" s="987" t="e">
        <f>O199</f>
        <v>#REF!</v>
      </c>
      <c r="P342" s="592" t="s">
        <v>362</v>
      </c>
      <c r="Q342" s="616" t="e">
        <f t="shared" ref="Q342:Q344" si="73">ROUND(O342*$C342/100,0)</f>
        <v>#REF!</v>
      </c>
      <c r="R342" s="616"/>
      <c r="S342" s="987" t="e">
        <f>S199</f>
        <v>#REF!</v>
      </c>
      <c r="T342" s="592" t="s">
        <v>362</v>
      </c>
      <c r="U342" s="616" t="e">
        <f t="shared" ref="U342:U344" si="74">ROUND(S342*$C342/100,0)</f>
        <v>#REF!</v>
      </c>
      <c r="W342" s="450"/>
      <c r="Z342" s="989"/>
      <c r="AA342" s="989"/>
      <c r="AF342" s="635"/>
      <c r="AG342" s="635"/>
      <c r="AH342" s="635"/>
      <c r="AI342" s="635"/>
      <c r="AJ342" s="635"/>
      <c r="AK342" s="635"/>
      <c r="AL342" s="635"/>
      <c r="AM342" s="635"/>
      <c r="AN342" s="635"/>
      <c r="AO342" s="635"/>
      <c r="AP342" s="635"/>
      <c r="AR342" s="988"/>
    </row>
    <row r="343" spans="1:44" s="588" customFormat="1" hidden="1">
      <c r="A343" s="588" t="s">
        <v>772</v>
      </c>
      <c r="C343" s="631">
        <f>C339</f>
        <v>9072829.0000000037</v>
      </c>
      <c r="D343" s="987">
        <v>0</v>
      </c>
      <c r="E343" s="635"/>
      <c r="F343" s="616"/>
      <c r="G343" s="987">
        <f>G200</f>
        <v>0</v>
      </c>
      <c r="H343" s="592" t="s">
        <v>362</v>
      </c>
      <c r="I343" s="616">
        <f t="shared" si="71"/>
        <v>0</v>
      </c>
      <c r="J343" s="616"/>
      <c r="K343" s="987" t="e">
        <f>K200</f>
        <v>#REF!</v>
      </c>
      <c r="L343" s="592" t="s">
        <v>362</v>
      </c>
      <c r="M343" s="616" t="e">
        <f t="shared" si="72"/>
        <v>#REF!</v>
      </c>
      <c r="N343" s="616"/>
      <c r="O343" s="987" t="e">
        <f>O200</f>
        <v>#REF!</v>
      </c>
      <c r="P343" s="592" t="s">
        <v>362</v>
      </c>
      <c r="Q343" s="616" t="e">
        <f t="shared" si="73"/>
        <v>#REF!</v>
      </c>
      <c r="R343" s="616"/>
      <c r="S343" s="987" t="e">
        <f>S200</f>
        <v>#REF!</v>
      </c>
      <c r="T343" s="592" t="s">
        <v>362</v>
      </c>
      <c r="U343" s="616" t="e">
        <f t="shared" si="74"/>
        <v>#REF!</v>
      </c>
      <c r="W343" s="450"/>
      <c r="Z343" s="989"/>
      <c r="AA343" s="989"/>
      <c r="AF343" s="635"/>
      <c r="AG343" s="635"/>
      <c r="AH343" s="635"/>
      <c r="AI343" s="635"/>
      <c r="AJ343" s="635"/>
      <c r="AK343" s="635"/>
      <c r="AL343" s="635"/>
      <c r="AM343" s="635"/>
      <c r="AN343" s="635"/>
      <c r="AO343" s="635"/>
      <c r="AP343" s="635"/>
      <c r="AR343" s="988"/>
    </row>
    <row r="344" spans="1:44" s="588" customFormat="1" hidden="1">
      <c r="A344" s="588" t="s">
        <v>773</v>
      </c>
      <c r="C344" s="631">
        <f>C340</f>
        <v>4035046</v>
      </c>
      <c r="D344" s="987">
        <v>0</v>
      </c>
      <c r="E344" s="635"/>
      <c r="F344" s="616"/>
      <c r="G344" s="987">
        <f>G201</f>
        <v>0</v>
      </c>
      <c r="H344" s="592" t="s">
        <v>362</v>
      </c>
      <c r="I344" s="616">
        <f t="shared" si="71"/>
        <v>0</v>
      </c>
      <c r="J344" s="616"/>
      <c r="K344" s="987" t="e">
        <f>K201</f>
        <v>#REF!</v>
      </c>
      <c r="L344" s="592" t="s">
        <v>362</v>
      </c>
      <c r="M344" s="616" t="e">
        <f t="shared" si="72"/>
        <v>#REF!</v>
      </c>
      <c r="N344" s="616"/>
      <c r="O344" s="987" t="e">
        <f>O201</f>
        <v>#REF!</v>
      </c>
      <c r="P344" s="592" t="s">
        <v>362</v>
      </c>
      <c r="Q344" s="616" t="e">
        <f t="shared" si="73"/>
        <v>#REF!</v>
      </c>
      <c r="R344" s="616"/>
      <c r="S344" s="987" t="e">
        <f>S201</f>
        <v>#REF!</v>
      </c>
      <c r="T344" s="592" t="s">
        <v>362</v>
      </c>
      <c r="U344" s="616" t="e">
        <f t="shared" si="74"/>
        <v>#REF!</v>
      </c>
      <c r="W344" s="450"/>
      <c r="Z344" s="989"/>
      <c r="AA344" s="989"/>
      <c r="AF344" s="635"/>
      <c r="AG344" s="635"/>
      <c r="AH344" s="635"/>
      <c r="AI344" s="635"/>
      <c r="AJ344" s="635"/>
      <c r="AK344" s="635"/>
      <c r="AL344" s="635"/>
      <c r="AM344" s="635"/>
      <c r="AN344" s="635"/>
      <c r="AO344" s="635"/>
      <c r="AP344" s="635"/>
      <c r="AR344" s="988"/>
    </row>
    <row r="345" spans="1:44">
      <c r="A345" s="244" t="s">
        <v>389</v>
      </c>
      <c r="B345" s="305"/>
      <c r="C345" s="61"/>
      <c r="D345" s="1023">
        <f>$D$205</f>
        <v>-0.01</v>
      </c>
      <c r="E345" s="305"/>
      <c r="F345" s="490"/>
      <c r="G345" s="1023">
        <v>-0.01</v>
      </c>
      <c r="H345" s="305"/>
      <c r="I345" s="490"/>
      <c r="J345" s="490"/>
      <c r="K345" s="1023">
        <v>-0.01</v>
      </c>
      <c r="L345" s="305"/>
      <c r="M345" s="490"/>
      <c r="N345" s="490"/>
      <c r="O345" s="1023">
        <v>-0.01</v>
      </c>
      <c r="P345" s="305"/>
      <c r="Q345" s="490"/>
      <c r="R345" s="490"/>
      <c r="S345" s="1023">
        <v>-0.01</v>
      </c>
      <c r="T345" s="305"/>
      <c r="U345" s="490"/>
      <c r="V345" s="7"/>
      <c r="W345" s="31"/>
      <c r="X345" s="31"/>
      <c r="Y345" s="31"/>
      <c r="Z345" s="7"/>
      <c r="AA345" s="7"/>
      <c r="AB345" s="7"/>
      <c r="AC345" s="7"/>
      <c r="AD345" s="7"/>
      <c r="AE345" s="7"/>
      <c r="AF345" s="7"/>
      <c r="AG345" s="7"/>
      <c r="AH345" s="7"/>
      <c r="AI345" s="7"/>
      <c r="AJ345" s="7"/>
      <c r="AK345" s="7"/>
      <c r="AL345" s="7"/>
      <c r="AM345" s="7"/>
      <c r="AN345" s="7"/>
      <c r="AO345" s="7"/>
      <c r="AP345" s="7"/>
      <c r="AR345" s="496"/>
    </row>
    <row r="346" spans="1:44">
      <c r="A346" s="305" t="s">
        <v>378</v>
      </c>
      <c r="B346" s="305"/>
      <c r="C346" s="61">
        <v>0</v>
      </c>
      <c r="D346" s="237">
        <f>$D$230</f>
        <v>9.99</v>
      </c>
      <c r="E346" s="490"/>
      <c r="F346" s="490">
        <f>-ROUND(D346*$C346/100,0)</f>
        <v>0</v>
      </c>
      <c r="G346" s="237">
        <f>G333</f>
        <v>9.99</v>
      </c>
      <c r="H346" s="490"/>
      <c r="I346" s="490">
        <f>-ROUND(G346*$C346/100,0)</f>
        <v>0</v>
      </c>
      <c r="J346" s="490"/>
      <c r="K346" s="237" t="e">
        <f>K333</f>
        <v>#REF!</v>
      </c>
      <c r="L346" s="490"/>
      <c r="M346" s="490" t="e">
        <f>-ROUND(K346*$C346/100,0)</f>
        <v>#REF!</v>
      </c>
      <c r="N346" s="490"/>
      <c r="O346" s="237" t="e">
        <f>O333</f>
        <v>#REF!</v>
      </c>
      <c r="P346" s="490"/>
      <c r="Q346" s="490" t="e">
        <f>-ROUND(O346*$C346/100,0)</f>
        <v>#REF!</v>
      </c>
      <c r="R346" s="490"/>
      <c r="S346" s="237" t="e">
        <f>S333</f>
        <v>#REF!</v>
      </c>
      <c r="T346" s="490"/>
      <c r="U346" s="490" t="e">
        <f>-ROUND(S346*$C346/100,0)</f>
        <v>#REF!</v>
      </c>
      <c r="V346" s="7"/>
      <c r="W346" s="31"/>
      <c r="X346" s="31"/>
      <c r="Y346" s="31"/>
      <c r="Z346" s="7"/>
      <c r="AA346" s="7"/>
      <c r="AB346" s="7"/>
      <c r="AC346" s="7"/>
      <c r="AD346" s="7"/>
      <c r="AE346" s="7"/>
      <c r="AF346" s="7"/>
      <c r="AG346" s="7"/>
      <c r="AH346" s="7"/>
      <c r="AI346" s="7"/>
      <c r="AJ346" s="7"/>
      <c r="AK346" s="7"/>
      <c r="AL346" s="7"/>
      <c r="AM346" s="7"/>
      <c r="AN346" s="7"/>
      <c r="AO346" s="7"/>
      <c r="AP346" s="7"/>
      <c r="AR346" s="496"/>
    </row>
    <row r="347" spans="1:44">
      <c r="A347" s="305" t="s">
        <v>379</v>
      </c>
      <c r="B347" s="305"/>
      <c r="C347" s="61">
        <v>12</v>
      </c>
      <c r="D347" s="237">
        <f>$D$231</f>
        <v>14.89</v>
      </c>
      <c r="E347" s="490"/>
      <c r="F347" s="490">
        <f t="shared" ref="F347:F349" si="75">-ROUND(D347*$C347/100,0)</f>
        <v>-2</v>
      </c>
      <c r="G347" s="237">
        <f>G334</f>
        <v>14.89</v>
      </c>
      <c r="H347" s="490"/>
      <c r="I347" s="490">
        <f>-ROUND(G347*$C347/100,0)</f>
        <v>-2</v>
      </c>
      <c r="J347" s="490"/>
      <c r="K347" s="237" t="e">
        <f>K334</f>
        <v>#REF!</v>
      </c>
      <c r="L347" s="490"/>
      <c r="M347" s="490" t="e">
        <f>-ROUND(K347*$C347/100,0)</f>
        <v>#REF!</v>
      </c>
      <c r="N347" s="490"/>
      <c r="O347" s="237" t="e">
        <f>O334</f>
        <v>#REF!</v>
      </c>
      <c r="P347" s="490"/>
      <c r="Q347" s="490" t="e">
        <f>-ROUND(O347*$C347/100,0)</f>
        <v>#REF!</v>
      </c>
      <c r="R347" s="490"/>
      <c r="S347" s="237" t="e">
        <f>S334</f>
        <v>#REF!</v>
      </c>
      <c r="T347" s="490"/>
      <c r="U347" s="490" t="e">
        <f>-ROUND(S347*$C347/100,0)</f>
        <v>#REF!</v>
      </c>
      <c r="V347" s="7"/>
      <c r="W347" s="31"/>
      <c r="X347" s="31"/>
      <c r="Y347" s="31"/>
      <c r="Z347" s="7"/>
      <c r="AA347" s="7"/>
      <c r="AB347" s="7"/>
      <c r="AC347" s="7"/>
      <c r="AD347" s="7"/>
      <c r="AE347" s="7"/>
      <c r="AF347" s="7"/>
      <c r="AG347" s="7"/>
      <c r="AH347" s="7"/>
      <c r="AI347" s="7"/>
      <c r="AJ347" s="7"/>
      <c r="AK347" s="7"/>
      <c r="AL347" s="7"/>
      <c r="AM347" s="7"/>
      <c r="AN347" s="7"/>
      <c r="AO347" s="7"/>
      <c r="AP347" s="7"/>
      <c r="AR347" s="496"/>
    </row>
    <row r="348" spans="1:44">
      <c r="A348" s="305" t="s">
        <v>390</v>
      </c>
      <c r="B348" s="305"/>
      <c r="C348" s="61">
        <v>3902</v>
      </c>
      <c r="D348" s="237">
        <f>$D$232</f>
        <v>1.04</v>
      </c>
      <c r="E348" s="490"/>
      <c r="F348" s="490">
        <f t="shared" si="75"/>
        <v>-41</v>
      </c>
      <c r="G348" s="237">
        <f>G335</f>
        <v>1.04</v>
      </c>
      <c r="H348" s="490"/>
      <c r="I348" s="490">
        <f>-ROUND(G348*$C348/100,0)</f>
        <v>-41</v>
      </c>
      <c r="J348" s="490"/>
      <c r="K348" s="237" t="e">
        <f>K335</f>
        <v>#REF!</v>
      </c>
      <c r="L348" s="490"/>
      <c r="M348" s="490" t="e">
        <f>-ROUND(K348*$C348/100,0)</f>
        <v>#REF!</v>
      </c>
      <c r="N348" s="490"/>
      <c r="O348" s="237" t="e">
        <f>O335</f>
        <v>#REF!</v>
      </c>
      <c r="P348" s="490"/>
      <c r="Q348" s="490" t="e">
        <f>-ROUND(O348*$C348/100,0)</f>
        <v>#REF!</v>
      </c>
      <c r="R348" s="490"/>
      <c r="S348" s="237" t="e">
        <f>S335</f>
        <v>#REF!</v>
      </c>
      <c r="T348" s="490"/>
      <c r="U348" s="490" t="e">
        <f>-ROUND(S348*$C348/100,0)</f>
        <v>#REF!</v>
      </c>
      <c r="V348" s="7"/>
      <c r="W348" s="31"/>
      <c r="X348" s="31"/>
      <c r="Y348" s="31"/>
      <c r="Z348" s="7"/>
      <c r="AA348" s="7"/>
      <c r="AB348" s="7"/>
      <c r="AC348" s="7"/>
      <c r="AD348" s="7"/>
      <c r="AE348" s="7"/>
      <c r="AF348" s="7"/>
      <c r="AG348" s="7"/>
      <c r="AH348" s="7"/>
      <c r="AI348" s="7"/>
      <c r="AJ348" s="7"/>
      <c r="AK348" s="7"/>
      <c r="AL348" s="7"/>
      <c r="AM348" s="7"/>
      <c r="AN348" s="7"/>
      <c r="AO348" s="7"/>
      <c r="AP348" s="7"/>
      <c r="AR348" s="496"/>
    </row>
    <row r="349" spans="1:44">
      <c r="A349" s="305" t="s">
        <v>391</v>
      </c>
      <c r="B349" s="305"/>
      <c r="C349" s="61">
        <v>952</v>
      </c>
      <c r="D349" s="237">
        <f>$D$234</f>
        <v>3.8</v>
      </c>
      <c r="E349" s="305"/>
      <c r="F349" s="490">
        <f t="shared" si="75"/>
        <v>-36</v>
      </c>
      <c r="G349" s="237">
        <f>G337</f>
        <v>3.8099999999999996</v>
      </c>
      <c r="H349" s="305"/>
      <c r="I349" s="490">
        <f>-ROUND(G349*$C349/100,0)</f>
        <v>-36</v>
      </c>
      <c r="J349" s="490"/>
      <c r="K349" s="237" t="e">
        <f>K337</f>
        <v>#REF!</v>
      </c>
      <c r="L349" s="305"/>
      <c r="M349" s="490" t="e">
        <f>-ROUND(K349*$C349/100,0)</f>
        <v>#REF!</v>
      </c>
      <c r="N349" s="490"/>
      <c r="O349" s="237" t="e">
        <f>O337</f>
        <v>#REF!</v>
      </c>
      <c r="P349" s="305"/>
      <c r="Q349" s="490" t="e">
        <f>-ROUND(O349*$C349/100,0)</f>
        <v>#REF!</v>
      </c>
      <c r="R349" s="490"/>
      <c r="S349" s="237" t="e">
        <f>S337</f>
        <v>#REF!</v>
      </c>
      <c r="T349" s="305"/>
      <c r="U349" s="490" t="e">
        <f>-ROUND(S349*$C349/100,0)</f>
        <v>#REF!</v>
      </c>
      <c r="V349" s="7"/>
      <c r="W349" s="31"/>
      <c r="X349" s="31"/>
      <c r="Y349" s="31"/>
      <c r="Z349" s="7"/>
      <c r="AA349" s="7"/>
      <c r="AB349" s="7"/>
      <c r="AC349" s="7"/>
      <c r="AD349" s="7"/>
      <c r="AE349" s="7"/>
      <c r="AF349" s="7"/>
      <c r="AG349" s="7"/>
      <c r="AH349" s="7"/>
      <c r="AI349" s="7"/>
      <c r="AJ349" s="7"/>
      <c r="AK349" s="7"/>
      <c r="AL349" s="7"/>
      <c r="AM349" s="7"/>
      <c r="AN349" s="7"/>
      <c r="AO349" s="7"/>
      <c r="AP349" s="7"/>
      <c r="AR349" s="496"/>
    </row>
    <row r="350" spans="1:44">
      <c r="A350" s="305" t="s">
        <v>393</v>
      </c>
      <c r="B350" s="305"/>
      <c r="C350" s="61">
        <v>12000</v>
      </c>
      <c r="D350" s="1025">
        <f>$D$235</f>
        <v>10.878</v>
      </c>
      <c r="E350" s="305" t="s">
        <v>362</v>
      </c>
      <c r="F350" s="490">
        <f>ROUND(D350*$C350/100*D345,0)</f>
        <v>-13</v>
      </c>
      <c r="G350" s="1025">
        <f>G338</f>
        <v>10.879</v>
      </c>
      <c r="H350" s="305" t="s">
        <v>362</v>
      </c>
      <c r="I350" s="490">
        <f>ROUND(G350*$C350/100*G345,0)</f>
        <v>-13</v>
      </c>
      <c r="J350" s="490"/>
      <c r="K350" s="1025" t="e">
        <f>K338</f>
        <v>#REF!</v>
      </c>
      <c r="L350" s="305" t="s">
        <v>362</v>
      </c>
      <c r="M350" s="490" t="e">
        <f>ROUND(K350*$C350/100*K345,0)</f>
        <v>#REF!</v>
      </c>
      <c r="N350" s="490"/>
      <c r="O350" s="1025" t="e">
        <f>O338</f>
        <v>#REF!</v>
      </c>
      <c r="P350" s="305" t="s">
        <v>362</v>
      </c>
      <c r="Q350" s="490" t="e">
        <f>ROUND(O350*$C350/100*O345,0)</f>
        <v>#REF!</v>
      </c>
      <c r="R350" s="490"/>
      <c r="S350" s="1025" t="e">
        <f>S338</f>
        <v>#REF!</v>
      </c>
      <c r="T350" s="305" t="s">
        <v>362</v>
      </c>
      <c r="U350" s="490" t="e">
        <f>ROUND(S350*$C350/100*S345,0)</f>
        <v>#REF!</v>
      </c>
      <c r="V350" s="7"/>
      <c r="W350" s="31"/>
      <c r="X350" s="31"/>
      <c r="Y350" s="31"/>
      <c r="Z350" s="7"/>
      <c r="AA350" s="7"/>
      <c r="AB350" s="7"/>
      <c r="AC350" s="7"/>
      <c r="AD350" s="7"/>
      <c r="AE350" s="7"/>
      <c r="AF350" s="7"/>
      <c r="AG350" s="7"/>
      <c r="AH350" s="7"/>
      <c r="AI350" s="7"/>
      <c r="AJ350" s="7"/>
      <c r="AK350" s="7"/>
      <c r="AL350" s="7"/>
      <c r="AM350" s="7"/>
      <c r="AN350" s="7"/>
      <c r="AO350" s="7"/>
      <c r="AP350" s="7"/>
      <c r="AR350" s="496"/>
    </row>
    <row r="351" spans="1:44">
      <c r="A351" s="305" t="s">
        <v>386</v>
      </c>
      <c r="B351" s="305"/>
      <c r="C351" s="61">
        <v>91800</v>
      </c>
      <c r="D351" s="1025">
        <f>$D$236</f>
        <v>7.5140000000000002</v>
      </c>
      <c r="E351" s="305" t="s">
        <v>362</v>
      </c>
      <c r="F351" s="490">
        <f>ROUND(D351*$C351/100*D345,0)</f>
        <v>-69</v>
      </c>
      <c r="G351" s="1025">
        <f>G339</f>
        <v>7.5140000000000002</v>
      </c>
      <c r="H351" s="305" t="s">
        <v>362</v>
      </c>
      <c r="I351" s="490">
        <f>ROUND(G351*$C351/100*G345,0)</f>
        <v>-69</v>
      </c>
      <c r="J351" s="490"/>
      <c r="K351" s="1025" t="e">
        <f>K339</f>
        <v>#REF!</v>
      </c>
      <c r="L351" s="305" t="s">
        <v>362</v>
      </c>
      <c r="M351" s="490" t="e">
        <f>ROUND(K351*$C351/100*K345,0)</f>
        <v>#REF!</v>
      </c>
      <c r="N351" s="490"/>
      <c r="O351" s="1025" t="e">
        <f>O339</f>
        <v>#REF!</v>
      </c>
      <c r="P351" s="305" t="s">
        <v>362</v>
      </c>
      <c r="Q351" s="490" t="e">
        <f>ROUND(O351*$C351/100*O345,0)</f>
        <v>#REF!</v>
      </c>
      <c r="R351" s="490"/>
      <c r="S351" s="1025" t="e">
        <f>S339</f>
        <v>#REF!</v>
      </c>
      <c r="T351" s="305" t="s">
        <v>362</v>
      </c>
      <c r="U351" s="490" t="e">
        <f>ROUND(S351*$C351/100*S345,0)</f>
        <v>#REF!</v>
      </c>
      <c r="V351" s="7"/>
      <c r="W351" s="31"/>
      <c r="X351" s="31"/>
      <c r="Y351" s="31"/>
      <c r="Z351" s="7"/>
      <c r="AA351" s="7"/>
      <c r="AB351" s="7"/>
      <c r="AC351" s="7"/>
      <c r="AD351" s="7"/>
      <c r="AE351" s="7"/>
      <c r="AF351" s="7"/>
      <c r="AG351" s="7"/>
      <c r="AH351" s="7"/>
      <c r="AI351" s="7"/>
      <c r="AJ351" s="7"/>
      <c r="AK351" s="7"/>
      <c r="AL351" s="7"/>
      <c r="AM351" s="7"/>
      <c r="AN351" s="7"/>
      <c r="AO351" s="7"/>
      <c r="AP351" s="7"/>
      <c r="AR351" s="496"/>
    </row>
    <row r="352" spans="1:44">
      <c r="A352" s="305" t="s">
        <v>387</v>
      </c>
      <c r="B352" s="305"/>
      <c r="C352" s="61">
        <v>59400</v>
      </c>
      <c r="D352" s="1025">
        <f>$D$237</f>
        <v>6.4720000000000004</v>
      </c>
      <c r="E352" s="305" t="s">
        <v>362</v>
      </c>
      <c r="F352" s="490">
        <f>ROUND(D352*$C352/100*D345,0)</f>
        <v>-38</v>
      </c>
      <c r="G352" s="1025">
        <f>G340</f>
        <v>6.4720000000000004</v>
      </c>
      <c r="H352" s="305" t="s">
        <v>362</v>
      </c>
      <c r="I352" s="490">
        <f>ROUND(G352*$C352/100*G345,0)</f>
        <v>-38</v>
      </c>
      <c r="J352" s="490"/>
      <c r="K352" s="1025" t="e">
        <f>K340</f>
        <v>#REF!</v>
      </c>
      <c r="L352" s="305" t="s">
        <v>362</v>
      </c>
      <c r="M352" s="490" t="e">
        <f>ROUND(K352*$C352/100*K345,0)</f>
        <v>#REF!</v>
      </c>
      <c r="N352" s="490"/>
      <c r="O352" s="1025" t="e">
        <f>O340</f>
        <v>#REF!</v>
      </c>
      <c r="P352" s="305" t="s">
        <v>362</v>
      </c>
      <c r="Q352" s="490" t="e">
        <f>ROUND(O352*$C352/100*O345,0)</f>
        <v>#REF!</v>
      </c>
      <c r="R352" s="490"/>
      <c r="S352" s="1025" t="e">
        <f>S340</f>
        <v>#REF!</v>
      </c>
      <c r="T352" s="305" t="s">
        <v>362</v>
      </c>
      <c r="U352" s="490" t="e">
        <f>ROUND(S352*$C352/100*S345,0)</f>
        <v>#REF!</v>
      </c>
      <c r="V352" s="7"/>
      <c r="W352" s="31"/>
      <c r="X352" s="31"/>
      <c r="Y352" s="31"/>
      <c r="Z352" s="7"/>
      <c r="AA352" s="7"/>
      <c r="AB352" s="7"/>
      <c r="AC352" s="7"/>
      <c r="AD352" s="7"/>
      <c r="AE352" s="7"/>
      <c r="AF352" s="7"/>
      <c r="AG352" s="7"/>
      <c r="AH352" s="7"/>
      <c r="AI352" s="7"/>
      <c r="AJ352" s="7"/>
      <c r="AK352" s="7"/>
      <c r="AL352" s="7"/>
      <c r="AM352" s="7"/>
      <c r="AN352" s="7"/>
      <c r="AO352" s="7"/>
      <c r="AP352" s="7"/>
      <c r="AR352" s="496"/>
    </row>
    <row r="353" spans="1:44">
      <c r="A353" s="305" t="s">
        <v>388</v>
      </c>
      <c r="B353" s="305"/>
      <c r="C353" s="61">
        <v>425</v>
      </c>
      <c r="D353" s="1026">
        <f>$D$238</f>
        <v>58</v>
      </c>
      <c r="E353" s="305" t="s">
        <v>362</v>
      </c>
      <c r="F353" s="490">
        <f>ROUND(D353*$C353/100*D345,0)</f>
        <v>-2</v>
      </c>
      <c r="G353" s="1026">
        <f>G341</f>
        <v>58</v>
      </c>
      <c r="H353" s="305" t="s">
        <v>362</v>
      </c>
      <c r="I353" s="490">
        <f>ROUND(G353*$C353/100*G345,0)</f>
        <v>-2</v>
      </c>
      <c r="J353" s="490"/>
      <c r="K353" s="1026" t="e">
        <f>K341</f>
        <v>#REF!</v>
      </c>
      <c r="L353" s="305" t="s">
        <v>362</v>
      </c>
      <c r="M353" s="490" t="e">
        <f>ROUND(K353*$C353/100*K345,0)</f>
        <v>#REF!</v>
      </c>
      <c r="N353" s="490"/>
      <c r="O353" s="1026" t="e">
        <f>O341</f>
        <v>#REF!</v>
      </c>
      <c r="P353" s="305" t="s">
        <v>362</v>
      </c>
      <c r="Q353" s="490" t="e">
        <f>ROUND(O353*$C353/100*O345,0)</f>
        <v>#REF!</v>
      </c>
      <c r="R353" s="490"/>
      <c r="S353" s="1026" t="e">
        <f>S341</f>
        <v>#REF!</v>
      </c>
      <c r="T353" s="305" t="s">
        <v>362</v>
      </c>
      <c r="U353" s="490" t="e">
        <f>ROUND(S353*$C353/100*S345,0)</f>
        <v>#REF!</v>
      </c>
      <c r="V353" s="7"/>
      <c r="W353" s="31"/>
      <c r="X353" s="31"/>
      <c r="Y353" s="31"/>
      <c r="Z353" s="7"/>
      <c r="AA353" s="7"/>
      <c r="AB353" s="7"/>
      <c r="AC353" s="7"/>
      <c r="AD353" s="7"/>
      <c r="AE353" s="7"/>
      <c r="AF353" s="7"/>
      <c r="AG353" s="7"/>
      <c r="AH353" s="7"/>
      <c r="AI353" s="7"/>
      <c r="AJ353" s="7"/>
      <c r="AK353" s="7"/>
      <c r="AL353" s="7"/>
      <c r="AM353" s="7"/>
      <c r="AN353" s="7"/>
      <c r="AO353" s="7"/>
      <c r="AP353" s="7"/>
      <c r="AR353" s="496"/>
    </row>
    <row r="354" spans="1:44">
      <c r="A354" s="305" t="s">
        <v>395</v>
      </c>
      <c r="B354" s="305"/>
      <c r="C354" s="61">
        <v>12</v>
      </c>
      <c r="D354" s="237">
        <v>60</v>
      </c>
      <c r="E354" s="305"/>
      <c r="F354" s="490">
        <f>ROUND(D354*C354,0)</f>
        <v>720</v>
      </c>
      <c r="G354" s="237">
        <f>$G$214</f>
        <v>60</v>
      </c>
      <c r="H354" s="305"/>
      <c r="I354" s="490">
        <f>ROUND(G354*$C354,0)</f>
        <v>720</v>
      </c>
      <c r="J354" s="490"/>
      <c r="K354" s="237" t="str">
        <f>$K$214</f>
        <v xml:space="preserve"> </v>
      </c>
      <c r="L354" s="305"/>
      <c r="M354" s="490">
        <f>ROUND(K354*$C354,0)</f>
        <v>0</v>
      </c>
      <c r="N354" s="490"/>
      <c r="O354" s="237" t="e">
        <f>$O$214</f>
        <v>#REF!</v>
      </c>
      <c r="P354" s="305"/>
      <c r="Q354" s="490" t="e">
        <f>ROUND(O354*$C354,0)</f>
        <v>#REF!</v>
      </c>
      <c r="R354" s="490"/>
      <c r="S354" s="237" t="e">
        <f>$S$214</f>
        <v>#REF!</v>
      </c>
      <c r="T354" s="305"/>
      <c r="U354" s="490" t="e">
        <f>ROUND(S354*$C354,0)</f>
        <v>#REF!</v>
      </c>
      <c r="V354" s="7"/>
      <c r="W354" s="31"/>
      <c r="X354" s="31"/>
      <c r="Y354" s="31"/>
      <c r="Z354" s="7"/>
      <c r="AA354" s="7"/>
      <c r="AB354" s="7"/>
      <c r="AC354" s="7"/>
      <c r="AD354" s="7"/>
      <c r="AE354" s="7"/>
      <c r="AF354" s="7"/>
      <c r="AG354" s="7"/>
      <c r="AH354" s="7"/>
      <c r="AI354" s="7"/>
      <c r="AJ354" s="7"/>
      <c r="AK354" s="7"/>
      <c r="AL354" s="7"/>
      <c r="AM354" s="7"/>
      <c r="AN354" s="7"/>
      <c r="AO354" s="7"/>
      <c r="AP354" s="7"/>
      <c r="AR354" s="496"/>
    </row>
    <row r="355" spans="1:44">
      <c r="A355" s="305" t="s">
        <v>396</v>
      </c>
      <c r="B355" s="305"/>
      <c r="C355" s="61">
        <v>3902</v>
      </c>
      <c r="D355" s="1027">
        <v>-30</v>
      </c>
      <c r="E355" s="305" t="s">
        <v>362</v>
      </c>
      <c r="F355" s="490">
        <f>ROUND(D355*C355/100,0)</f>
        <v>-1171</v>
      </c>
      <c r="G355" s="1027">
        <f>$G$215</f>
        <v>-30</v>
      </c>
      <c r="H355" s="305" t="s">
        <v>362</v>
      </c>
      <c r="I355" s="490">
        <f>ROUND(G355*$C355/100,0)</f>
        <v>-1171</v>
      </c>
      <c r="J355" s="490"/>
      <c r="K355" s="1027" t="e">
        <f>$K$215</f>
        <v>#REF!</v>
      </c>
      <c r="L355" s="305" t="s">
        <v>362</v>
      </c>
      <c r="M355" s="490" t="e">
        <f>ROUND(K355*$C355/100,0)</f>
        <v>#REF!</v>
      </c>
      <c r="N355" s="490"/>
      <c r="O355" s="1027" t="str">
        <f>$O$215</f>
        <v xml:space="preserve"> </v>
      </c>
      <c r="P355" s="305" t="s">
        <v>362</v>
      </c>
      <c r="Q355" s="490">
        <f>ROUND(O355*$C355/100,0)</f>
        <v>0</v>
      </c>
      <c r="R355" s="490"/>
      <c r="S355" s="1027" t="str">
        <f>$S$215</f>
        <v xml:space="preserve"> </v>
      </c>
      <c r="T355" s="305" t="s">
        <v>362</v>
      </c>
      <c r="U355" s="490">
        <f>ROUND(S355*$C355/100,0)</f>
        <v>0</v>
      </c>
      <c r="V355" s="7"/>
      <c r="W355" s="31"/>
      <c r="X355" s="31"/>
      <c r="Y355" s="31"/>
      <c r="Z355" s="7"/>
      <c r="AA355" s="7"/>
      <c r="AB355" s="7"/>
      <c r="AC355" s="7"/>
      <c r="AD355" s="7"/>
      <c r="AE355" s="7"/>
      <c r="AF355" s="7"/>
      <c r="AG355" s="7"/>
      <c r="AH355" s="7"/>
      <c r="AI355" s="7"/>
      <c r="AJ355" s="7"/>
      <c r="AK355" s="7"/>
      <c r="AL355" s="7"/>
      <c r="AM355" s="7"/>
      <c r="AN355" s="7"/>
      <c r="AO355" s="7"/>
      <c r="AP355" s="7"/>
      <c r="AR355" s="496"/>
    </row>
    <row r="356" spans="1:44" s="588" customFormat="1" hidden="1">
      <c r="A356" s="588" t="s">
        <v>771</v>
      </c>
      <c r="C356" s="631">
        <f>C350</f>
        <v>12000</v>
      </c>
      <c r="D356" s="987">
        <v>0</v>
      </c>
      <c r="E356" s="635"/>
      <c r="F356" s="616"/>
      <c r="G356" s="987">
        <f>G199</f>
        <v>0</v>
      </c>
      <c r="H356" s="592" t="s">
        <v>362</v>
      </c>
      <c r="I356" s="616">
        <f>ROUND(G356*$C356/100*G345,0)</f>
        <v>0</v>
      </c>
      <c r="J356" s="616"/>
      <c r="K356" s="987" t="e">
        <f>K199</f>
        <v>#REF!</v>
      </c>
      <c r="L356" s="592" t="s">
        <v>362</v>
      </c>
      <c r="M356" s="616" t="e">
        <f>ROUND(K356*$C356/100*K345,0)</f>
        <v>#REF!</v>
      </c>
      <c r="N356" s="616"/>
      <c r="O356" s="987" t="e">
        <f>O199</f>
        <v>#REF!</v>
      </c>
      <c r="P356" s="592" t="s">
        <v>362</v>
      </c>
      <c r="Q356" s="616" t="e">
        <f>ROUND(O356*$C356/100*O345,0)</f>
        <v>#REF!</v>
      </c>
      <c r="R356" s="616"/>
      <c r="S356" s="987" t="e">
        <f>S199</f>
        <v>#REF!</v>
      </c>
      <c r="T356" s="592" t="s">
        <v>362</v>
      </c>
      <c r="U356" s="616" t="e">
        <f>ROUND(S356*$C356/100*S345,0)</f>
        <v>#REF!</v>
      </c>
      <c r="W356" s="450"/>
      <c r="Z356" s="989"/>
      <c r="AA356" s="989"/>
      <c r="AF356" s="635"/>
      <c r="AG356" s="635"/>
      <c r="AH356" s="635"/>
      <c r="AI356" s="635"/>
      <c r="AJ356" s="635"/>
      <c r="AK356" s="635"/>
      <c r="AL356" s="635"/>
      <c r="AM356" s="635"/>
      <c r="AN356" s="635"/>
      <c r="AO356" s="635"/>
      <c r="AP356" s="635"/>
      <c r="AR356" s="988"/>
    </row>
    <row r="357" spans="1:44" s="588" customFormat="1" hidden="1">
      <c r="A357" s="588" t="s">
        <v>772</v>
      </c>
      <c r="C357" s="631">
        <f>C351</f>
        <v>91800</v>
      </c>
      <c r="D357" s="987">
        <v>0</v>
      </c>
      <c r="E357" s="635"/>
      <c r="F357" s="616"/>
      <c r="G357" s="987">
        <f>G200</f>
        <v>0</v>
      </c>
      <c r="H357" s="592" t="s">
        <v>362</v>
      </c>
      <c r="I357" s="616">
        <f>ROUND(G357*$C357/100*G345,0)</f>
        <v>0</v>
      </c>
      <c r="J357" s="616"/>
      <c r="K357" s="987" t="e">
        <f>K200</f>
        <v>#REF!</v>
      </c>
      <c r="L357" s="592" t="s">
        <v>362</v>
      </c>
      <c r="M357" s="616" t="e">
        <f>ROUND(K357*$C357/100*K345,0)</f>
        <v>#REF!</v>
      </c>
      <c r="N357" s="616"/>
      <c r="O357" s="987" t="e">
        <f>O200</f>
        <v>#REF!</v>
      </c>
      <c r="P357" s="592" t="s">
        <v>362</v>
      </c>
      <c r="Q357" s="616" t="e">
        <f>ROUND(O357*$C357/100*O345,0)</f>
        <v>#REF!</v>
      </c>
      <c r="R357" s="616"/>
      <c r="S357" s="987" t="e">
        <f>S200</f>
        <v>#REF!</v>
      </c>
      <c r="T357" s="592" t="s">
        <v>362</v>
      </c>
      <c r="U357" s="616" t="e">
        <f>ROUND(S357*$C357/100*S345,0)</f>
        <v>#REF!</v>
      </c>
      <c r="W357" s="450"/>
      <c r="Z357" s="989"/>
      <c r="AA357" s="989"/>
      <c r="AF357" s="635"/>
      <c r="AG357" s="635"/>
      <c r="AH357" s="635"/>
      <c r="AI357" s="635"/>
      <c r="AJ357" s="635"/>
      <c r="AK357" s="635"/>
      <c r="AL357" s="635"/>
      <c r="AM357" s="635"/>
      <c r="AN357" s="635"/>
      <c r="AO357" s="635"/>
      <c r="AP357" s="635"/>
      <c r="AR357" s="988"/>
    </row>
    <row r="358" spans="1:44" s="588" customFormat="1" hidden="1">
      <c r="A358" s="588" t="s">
        <v>773</v>
      </c>
      <c r="C358" s="631">
        <f>C352</f>
        <v>59400</v>
      </c>
      <c r="D358" s="987">
        <v>0</v>
      </c>
      <c r="E358" s="635"/>
      <c r="F358" s="616"/>
      <c r="G358" s="987">
        <f>G201</f>
        <v>0</v>
      </c>
      <c r="H358" s="592" t="s">
        <v>362</v>
      </c>
      <c r="I358" s="616">
        <f>ROUND(G358*$C358/100*G345,0)</f>
        <v>0</v>
      </c>
      <c r="J358" s="616"/>
      <c r="K358" s="987" t="e">
        <f>K201</f>
        <v>#REF!</v>
      </c>
      <c r="L358" s="592" t="s">
        <v>362</v>
      </c>
      <c r="M358" s="616" t="e">
        <f>ROUND(K358*$C358/100*K345,0)</f>
        <v>#REF!</v>
      </c>
      <c r="N358" s="616"/>
      <c r="O358" s="987" t="e">
        <f>O201</f>
        <v>#REF!</v>
      </c>
      <c r="P358" s="592" t="s">
        <v>362</v>
      </c>
      <c r="Q358" s="616" t="e">
        <f>ROUND(O358*$C358/100*O345,0)</f>
        <v>#REF!</v>
      </c>
      <c r="R358" s="616"/>
      <c r="S358" s="987" t="e">
        <f>S201</f>
        <v>#REF!</v>
      </c>
      <c r="T358" s="592" t="s">
        <v>362</v>
      </c>
      <c r="U358" s="616" t="e">
        <f>ROUND(S358*$C358/100*S345,0)</f>
        <v>#REF!</v>
      </c>
      <c r="W358" s="450"/>
      <c r="Z358" s="989"/>
      <c r="AA358" s="989"/>
      <c r="AF358" s="635"/>
      <c r="AG358" s="635"/>
      <c r="AH358" s="635"/>
      <c r="AI358" s="635"/>
      <c r="AJ358" s="635"/>
      <c r="AK358" s="635"/>
      <c r="AL358" s="635"/>
      <c r="AM358" s="635"/>
      <c r="AN358" s="635"/>
      <c r="AO358" s="635"/>
      <c r="AP358" s="635"/>
      <c r="AR358" s="988"/>
    </row>
    <row r="359" spans="1:44">
      <c r="A359" s="305" t="s">
        <v>369</v>
      </c>
      <c r="B359" s="305"/>
      <c r="C359" s="61">
        <f>SUM(C338:C340)</f>
        <v>16105524</v>
      </c>
      <c r="D359" s="1021"/>
      <c r="E359" s="305"/>
      <c r="F359" s="490">
        <f>SUM(F333:F355)</f>
        <v>1529638</v>
      </c>
      <c r="G359" s="1021"/>
      <c r="H359" s="305"/>
      <c r="I359" s="490">
        <f>SUM(I333:I358)</f>
        <v>1530024</v>
      </c>
      <c r="J359" s="490"/>
      <c r="K359" s="1021"/>
      <c r="L359" s="305"/>
      <c r="M359" s="490" t="e">
        <f>SUM(M333:M358)</f>
        <v>#REF!</v>
      </c>
      <c r="N359" s="490"/>
      <c r="O359" s="1021"/>
      <c r="P359" s="305"/>
      <c r="Q359" s="490" t="e">
        <f>SUM(Q333:Q358)</f>
        <v>#REF!</v>
      </c>
      <c r="R359" s="490"/>
      <c r="S359" s="1021"/>
      <c r="T359" s="305"/>
      <c r="U359" s="490" t="e">
        <f>SUM(U333:U358)</f>
        <v>#REF!</v>
      </c>
      <c r="V359" s="7"/>
      <c r="W359" s="31"/>
      <c r="X359" s="31"/>
      <c r="Y359" s="31"/>
      <c r="Z359" s="7"/>
      <c r="AA359" s="7"/>
      <c r="AB359" s="7"/>
      <c r="AC359" s="7"/>
      <c r="AD359" s="7"/>
      <c r="AE359" s="7"/>
      <c r="AF359" s="7"/>
      <c r="AG359" s="7"/>
      <c r="AH359" s="7"/>
      <c r="AI359" s="7"/>
      <c r="AJ359" s="7"/>
      <c r="AK359" s="7"/>
      <c r="AL359" s="7"/>
      <c r="AM359" s="7"/>
      <c r="AN359" s="7"/>
      <c r="AO359" s="7"/>
      <c r="AP359" s="7"/>
      <c r="AR359" s="496"/>
    </row>
    <row r="360" spans="1:44">
      <c r="A360" s="305" t="s">
        <v>351</v>
      </c>
      <c r="B360" s="305"/>
      <c r="C360" s="1017">
        <f ca="1">'Table 2'!H72</f>
        <v>300686.69518359675</v>
      </c>
      <c r="D360" s="305"/>
      <c r="E360" s="305"/>
      <c r="F360" s="993">
        <f ca="1">'Table 3'!E72</f>
        <v>9128.2704464299368</v>
      </c>
      <c r="G360" s="305"/>
      <c r="H360" s="305"/>
      <c r="I360" s="993">
        <f ca="1">F360</f>
        <v>9128.2704464299368</v>
      </c>
      <c r="J360" s="723"/>
      <c r="K360" s="305"/>
      <c r="L360" s="305"/>
      <c r="M360" s="993" t="e">
        <f ca="1">M220/I220*I360</f>
        <v>#DIV/0!</v>
      </c>
      <c r="N360" s="723"/>
      <c r="O360" s="305"/>
      <c r="P360" s="305"/>
      <c r="Q360" s="993" t="e">
        <f ca="1">Q220/I220*I360</f>
        <v>#DIV/0!</v>
      </c>
      <c r="R360" s="723"/>
      <c r="S360" s="305"/>
      <c r="T360" s="305"/>
      <c r="U360" s="993" t="e">
        <f ca="1">U220/I220*I360</f>
        <v>#DIV/0!</v>
      </c>
      <c r="V360" s="714"/>
      <c r="W360" s="171"/>
      <c r="X360" s="31"/>
      <c r="Y360" s="31"/>
      <c r="Z360" s="7"/>
      <c r="AA360" s="7"/>
      <c r="AB360" s="7"/>
      <c r="AC360" s="7"/>
      <c r="AD360" s="7"/>
      <c r="AE360" s="7"/>
      <c r="AF360" s="7"/>
      <c r="AG360" s="7"/>
      <c r="AH360" s="7"/>
      <c r="AI360" s="7"/>
      <c r="AJ360" s="7"/>
      <c r="AK360" s="7"/>
      <c r="AL360" s="7"/>
      <c r="AM360" s="7"/>
      <c r="AN360" s="7"/>
      <c r="AO360" s="7"/>
      <c r="AP360" s="7"/>
      <c r="AR360" s="496"/>
    </row>
    <row r="361" spans="1:44" ht="16.5" thickBot="1">
      <c r="A361" s="305" t="s">
        <v>370</v>
      </c>
      <c r="B361" s="305"/>
      <c r="C361" s="1012">
        <f ca="1">SUM(C359:C360)</f>
        <v>16406210.695183598</v>
      </c>
      <c r="D361" s="1036"/>
      <c r="E361" s="1030"/>
      <c r="F361" s="995">
        <f ca="1">F359+F360</f>
        <v>1538766.27044643</v>
      </c>
      <c r="G361" s="1036"/>
      <c r="H361" s="1030"/>
      <c r="I361" s="995">
        <f ca="1">I359+I360</f>
        <v>1539152.27044643</v>
      </c>
      <c r="J361" s="723"/>
      <c r="K361" s="1036"/>
      <c r="L361" s="1030"/>
      <c r="M361" s="995" t="e">
        <f ca="1">M359+M360</f>
        <v>#REF!</v>
      </c>
      <c r="N361" s="995"/>
      <c r="O361" s="1036"/>
      <c r="P361" s="1030"/>
      <c r="Q361" s="995" t="e">
        <f ca="1">Q359+Q360</f>
        <v>#REF!</v>
      </c>
      <c r="R361" s="995"/>
      <c r="S361" s="1036"/>
      <c r="T361" s="1030"/>
      <c r="U361" s="995" t="e">
        <f ca="1">U359+U360</f>
        <v>#REF!</v>
      </c>
      <c r="V361" s="295"/>
      <c r="W361" s="354"/>
      <c r="X361" s="31"/>
      <c r="Y361" s="31"/>
      <c r="Z361" s="7"/>
      <c r="AA361" s="7"/>
      <c r="AB361" s="7"/>
      <c r="AC361" s="7"/>
      <c r="AD361" s="7"/>
      <c r="AE361" s="7"/>
      <c r="AF361" s="7"/>
      <c r="AG361" s="7"/>
      <c r="AH361" s="7"/>
      <c r="AI361" s="7"/>
      <c r="AJ361" s="7"/>
      <c r="AK361" s="7"/>
      <c r="AL361" s="7"/>
      <c r="AM361" s="7"/>
      <c r="AN361" s="7"/>
      <c r="AO361" s="7"/>
      <c r="AP361" s="7"/>
      <c r="AR361" s="496"/>
    </row>
    <row r="362" spans="1:44" ht="16.5" thickTop="1">
      <c r="A362" s="305"/>
      <c r="B362" s="305"/>
      <c r="C362" s="999"/>
      <c r="D362" s="1037"/>
      <c r="E362" s="1033"/>
      <c r="F362" s="723"/>
      <c r="G362" s="1037"/>
      <c r="H362" s="1033"/>
      <c r="I362" s="723"/>
      <c r="J362" s="723"/>
      <c r="K362" s="1037"/>
      <c r="L362" s="1033"/>
      <c r="M362" s="723"/>
      <c r="N362" s="723"/>
      <c r="O362" s="1037"/>
      <c r="P362" s="1033"/>
      <c r="Q362" s="723"/>
      <c r="R362" s="723"/>
      <c r="S362" s="1037"/>
      <c r="T362" s="1033"/>
      <c r="U362" s="723"/>
      <c r="V362" s="7"/>
      <c r="W362" s="31"/>
      <c r="X362" s="31"/>
      <c r="Y362" s="31"/>
      <c r="Z362" s="7"/>
      <c r="AA362" s="7"/>
      <c r="AB362" s="7"/>
      <c r="AC362" s="7"/>
      <c r="AD362" s="7"/>
      <c r="AE362" s="7"/>
      <c r="AF362" s="7"/>
      <c r="AG362" s="7"/>
      <c r="AH362" s="7"/>
      <c r="AI362" s="7"/>
      <c r="AJ362" s="7"/>
      <c r="AK362" s="7"/>
      <c r="AL362" s="7"/>
      <c r="AM362" s="7"/>
      <c r="AN362" s="7"/>
      <c r="AO362" s="7"/>
      <c r="AP362" s="7"/>
      <c r="AR362" s="496"/>
    </row>
    <row r="363" spans="1:44">
      <c r="A363" s="305" t="s">
        <v>403</v>
      </c>
      <c r="B363" s="305"/>
      <c r="C363" s="305"/>
      <c r="D363" s="490"/>
      <c r="E363" s="305"/>
      <c r="F363" s="305"/>
      <c r="G363" s="490"/>
      <c r="H363" s="305"/>
      <c r="I363" s="305"/>
      <c r="J363" s="305"/>
      <c r="K363" s="490"/>
      <c r="L363" s="305"/>
      <c r="M363" s="305"/>
      <c r="N363" s="305"/>
      <c r="O363" s="490"/>
      <c r="P363" s="305"/>
      <c r="Q363" s="305"/>
      <c r="R363" s="305"/>
      <c r="S363" s="490"/>
      <c r="T363" s="305"/>
      <c r="U363" s="305"/>
      <c r="V363" s="7"/>
      <c r="W363" s="31"/>
      <c r="X363" s="31"/>
      <c r="Y363" s="31"/>
      <c r="Z363" s="7"/>
      <c r="AA363" s="7"/>
      <c r="AB363" s="7"/>
      <c r="AC363" s="7"/>
      <c r="AD363" s="7"/>
      <c r="AE363" s="7"/>
      <c r="AF363" s="7"/>
      <c r="AG363" s="7"/>
      <c r="AH363" s="7"/>
      <c r="AI363" s="7"/>
      <c r="AJ363" s="7"/>
      <c r="AK363" s="7"/>
      <c r="AL363" s="7"/>
      <c r="AM363" s="7"/>
      <c r="AN363" s="7"/>
      <c r="AO363" s="7"/>
      <c r="AP363" s="7"/>
      <c r="AR363" s="496"/>
    </row>
    <row r="364" spans="1:44">
      <c r="A364" s="305" t="s">
        <v>398</v>
      </c>
      <c r="B364" s="305"/>
      <c r="C364" s="305"/>
      <c r="D364" s="490"/>
      <c r="E364" s="305"/>
      <c r="F364" s="305"/>
      <c r="G364" s="490"/>
      <c r="H364" s="305"/>
      <c r="I364" s="305"/>
      <c r="J364" s="305"/>
      <c r="K364" s="490"/>
      <c r="L364" s="305"/>
      <c r="M364" s="305"/>
      <c r="N364" s="305"/>
      <c r="O364" s="490"/>
      <c r="P364" s="305"/>
      <c r="Q364" s="305"/>
      <c r="R364" s="305"/>
      <c r="S364" s="490"/>
      <c r="T364" s="305"/>
      <c r="U364" s="305"/>
      <c r="V364" s="7"/>
      <c r="W364" s="31"/>
      <c r="X364" s="31"/>
      <c r="Y364" s="31"/>
      <c r="Z364" s="7"/>
      <c r="AA364" s="7"/>
      <c r="AB364" s="7"/>
      <c r="AC364" s="7"/>
      <c r="AD364" s="7"/>
      <c r="AE364" s="7"/>
      <c r="AF364" s="7"/>
      <c r="AG364" s="7"/>
      <c r="AH364" s="7"/>
      <c r="AI364" s="7"/>
      <c r="AJ364" s="7"/>
      <c r="AK364" s="7"/>
      <c r="AL364" s="7"/>
      <c r="AM364" s="7"/>
      <c r="AN364" s="7"/>
      <c r="AO364" s="7"/>
      <c r="AP364" s="7"/>
      <c r="AR364" s="496"/>
    </row>
    <row r="365" spans="1:44">
      <c r="A365" s="305"/>
      <c r="B365" s="305"/>
      <c r="C365" s="305"/>
      <c r="D365" s="490"/>
      <c r="E365" s="305"/>
      <c r="F365" s="305"/>
      <c r="G365" s="490"/>
      <c r="H365" s="305"/>
      <c r="I365" s="305"/>
      <c r="J365" s="305"/>
      <c r="K365" s="490"/>
      <c r="L365" s="305"/>
      <c r="M365" s="305"/>
      <c r="N365" s="305"/>
      <c r="O365" s="490"/>
      <c r="P365" s="305"/>
      <c r="Q365" s="305"/>
      <c r="R365" s="305"/>
      <c r="S365" s="490"/>
      <c r="T365" s="305"/>
      <c r="U365" s="305"/>
      <c r="V365" s="7"/>
      <c r="W365" s="31"/>
      <c r="X365" s="31"/>
      <c r="Y365" s="31"/>
      <c r="Z365" s="7"/>
      <c r="AA365" s="7"/>
      <c r="AB365" s="7"/>
      <c r="AC365" s="7"/>
      <c r="AD365" s="7"/>
      <c r="AE365" s="7"/>
      <c r="AF365" s="7"/>
      <c r="AG365" s="7"/>
      <c r="AH365" s="7"/>
      <c r="AI365" s="7"/>
      <c r="AJ365" s="7"/>
      <c r="AK365" s="7"/>
      <c r="AL365" s="7"/>
      <c r="AM365" s="7"/>
      <c r="AN365" s="7"/>
      <c r="AO365" s="7"/>
      <c r="AP365" s="7"/>
      <c r="AR365" s="496"/>
    </row>
    <row r="366" spans="1:44">
      <c r="A366" s="305" t="s">
        <v>381</v>
      </c>
      <c r="B366" s="305"/>
      <c r="C366" s="61"/>
      <c r="D366" s="490"/>
      <c r="E366" s="305"/>
      <c r="F366" s="305"/>
      <c r="G366" s="490"/>
      <c r="H366" s="305"/>
      <c r="I366" s="305"/>
      <c r="J366" s="305"/>
      <c r="K366" s="490"/>
      <c r="L366" s="305"/>
      <c r="M366" s="305"/>
      <c r="N366" s="305"/>
      <c r="O366" s="490"/>
      <c r="P366" s="305"/>
      <c r="Q366" s="305"/>
      <c r="R366" s="305"/>
      <c r="S366" s="490"/>
      <c r="T366" s="305"/>
      <c r="U366" s="305"/>
      <c r="V366" s="7"/>
      <c r="W366" s="31"/>
      <c r="X366" s="31"/>
      <c r="Y366" s="31"/>
      <c r="Z366" s="7"/>
      <c r="AA366" s="7"/>
      <c r="AB366" s="7"/>
      <c r="AC366" s="7"/>
      <c r="AD366" s="7"/>
      <c r="AE366" s="7"/>
      <c r="AF366" s="7"/>
      <c r="AG366" s="7"/>
      <c r="AH366" s="7"/>
      <c r="AI366" s="7"/>
      <c r="AJ366" s="7"/>
      <c r="AK366" s="7"/>
      <c r="AL366" s="7"/>
      <c r="AM366" s="7"/>
      <c r="AN366" s="7"/>
      <c r="AO366" s="7"/>
      <c r="AP366" s="7"/>
      <c r="AR366" s="496"/>
    </row>
    <row r="367" spans="1:44">
      <c r="A367" s="305" t="s">
        <v>404</v>
      </c>
      <c r="B367" s="305"/>
      <c r="C367" s="61">
        <f>C402+C437</f>
        <v>4428.0001738685805</v>
      </c>
      <c r="D367" s="448">
        <f>$D$189</f>
        <v>9.99</v>
      </c>
      <c r="E367" s="305"/>
      <c r="F367" s="490">
        <f>ROUND(D367*$C367,0)</f>
        <v>44236</v>
      </c>
      <c r="G367" s="448">
        <f>$G$189</f>
        <v>9.99</v>
      </c>
      <c r="H367" s="305"/>
      <c r="I367" s="490">
        <f>I402+I437</f>
        <v>44236</v>
      </c>
      <c r="J367" s="490"/>
      <c r="K367" s="448" t="e">
        <f>$K$189</f>
        <v>#REF!</v>
      </c>
      <c r="L367" s="305"/>
      <c r="M367" s="490" t="e">
        <f>M402+M437</f>
        <v>#REF!</v>
      </c>
      <c r="N367" s="490"/>
      <c r="O367" s="448" t="e">
        <f>$O$189</f>
        <v>#REF!</v>
      </c>
      <c r="P367" s="305"/>
      <c r="Q367" s="490" t="e">
        <f>Q402+Q437</f>
        <v>#REF!</v>
      </c>
      <c r="R367" s="490"/>
      <c r="S367" s="448" t="e">
        <f>$S$189</f>
        <v>#REF!</v>
      </c>
      <c r="T367" s="305"/>
      <c r="U367" s="490" t="e">
        <f>U402+U437</f>
        <v>#REF!</v>
      </c>
      <c r="V367" s="7"/>
      <c r="W367" s="31"/>
      <c r="X367" s="31"/>
      <c r="Y367" s="31"/>
      <c r="Z367" s="7"/>
      <c r="AA367" s="7"/>
      <c r="AB367" s="7"/>
      <c r="AC367" s="7"/>
      <c r="AD367" s="7"/>
      <c r="AE367" s="7"/>
      <c r="AF367" s="7"/>
      <c r="AG367" s="7"/>
      <c r="AH367" s="7"/>
      <c r="AI367" s="7"/>
      <c r="AJ367" s="7"/>
      <c r="AK367" s="7"/>
      <c r="AL367" s="7"/>
      <c r="AM367" s="7"/>
      <c r="AN367" s="7"/>
      <c r="AO367" s="7"/>
      <c r="AP367" s="7"/>
      <c r="AR367" s="496"/>
    </row>
    <row r="368" spans="1:44">
      <c r="A368" s="305" t="s">
        <v>379</v>
      </c>
      <c r="B368" s="305"/>
      <c r="C368" s="61">
        <f>C403+C438</f>
        <v>0</v>
      </c>
      <c r="D368" s="448">
        <f>$D$190</f>
        <v>14.89</v>
      </c>
      <c r="E368" s="1004"/>
      <c r="F368" s="490">
        <f t="shared" ref="F368:F369" si="76">ROUND(D368*$C368,0)</f>
        <v>0</v>
      </c>
      <c r="G368" s="448">
        <f>$G$190</f>
        <v>14.89</v>
      </c>
      <c r="H368" s="1004"/>
      <c r="I368" s="490">
        <f>I403+I438</f>
        <v>0</v>
      </c>
      <c r="J368" s="490"/>
      <c r="K368" s="448" t="e">
        <f>$K$190</f>
        <v>#REF!</v>
      </c>
      <c r="L368" s="1004"/>
      <c r="M368" s="490" t="e">
        <f>M403+M438</f>
        <v>#REF!</v>
      </c>
      <c r="N368" s="490"/>
      <c r="O368" s="448" t="e">
        <f>$O$190</f>
        <v>#REF!</v>
      </c>
      <c r="P368" s="1004"/>
      <c r="Q368" s="490" t="e">
        <f>Q403+Q438</f>
        <v>#REF!</v>
      </c>
      <c r="R368" s="490"/>
      <c r="S368" s="448" t="e">
        <f>$S$190</f>
        <v>#REF!</v>
      </c>
      <c r="T368" s="1004"/>
      <c r="U368" s="490" t="e">
        <f>U403+U438</f>
        <v>#REF!</v>
      </c>
      <c r="V368" s="7"/>
      <c r="W368" s="31"/>
      <c r="X368" s="31"/>
      <c r="Y368" s="31"/>
      <c r="Z368" s="7"/>
      <c r="AA368" s="7"/>
      <c r="AB368" s="7"/>
      <c r="AC368" s="7"/>
      <c r="AD368" s="7"/>
      <c r="AE368" s="7"/>
      <c r="AF368" s="7"/>
      <c r="AG368" s="7"/>
      <c r="AH368" s="7"/>
      <c r="AI368" s="7"/>
      <c r="AJ368" s="7"/>
      <c r="AK368" s="7"/>
      <c r="AL368" s="7"/>
      <c r="AM368" s="7"/>
      <c r="AN368" s="7"/>
      <c r="AO368" s="7"/>
      <c r="AP368" s="7"/>
      <c r="AR368" s="496"/>
    </row>
    <row r="369" spans="1:44">
      <c r="A369" s="305" t="s">
        <v>380</v>
      </c>
      <c r="B369" s="305"/>
      <c r="C369" s="61">
        <f>C404+C439</f>
        <v>0</v>
      </c>
      <c r="D369" s="448">
        <f>$D$191</f>
        <v>1.04</v>
      </c>
      <c r="E369" s="1004"/>
      <c r="F369" s="490">
        <f t="shared" si="76"/>
        <v>0</v>
      </c>
      <c r="G369" s="448">
        <f>$G$191</f>
        <v>1.04</v>
      </c>
      <c r="H369" s="1004"/>
      <c r="I369" s="490">
        <f>I404+I439</f>
        <v>0</v>
      </c>
      <c r="J369" s="490"/>
      <c r="K369" s="448" t="e">
        <f>$K$191</f>
        <v>#REF!</v>
      </c>
      <c r="L369" s="1004"/>
      <c r="M369" s="490" t="e">
        <f>M404+M439</f>
        <v>#REF!</v>
      </c>
      <c r="N369" s="490"/>
      <c r="O369" s="448" t="e">
        <f>$O$191</f>
        <v>#REF!</v>
      </c>
      <c r="P369" s="1004"/>
      <c r="Q369" s="490" t="e">
        <f>Q404+Q439</f>
        <v>#REF!</v>
      </c>
      <c r="R369" s="490"/>
      <c r="S369" s="448" t="e">
        <f>$S$191</f>
        <v>#REF!</v>
      </c>
      <c r="T369" s="1004"/>
      <c r="U369" s="490" t="e">
        <f>U404+U439</f>
        <v>#REF!</v>
      </c>
      <c r="V369" s="7"/>
      <c r="W369" s="31"/>
      <c r="X369" s="31"/>
      <c r="Y369" s="31"/>
      <c r="Z369" s="7"/>
      <c r="AA369" s="7"/>
      <c r="AB369" s="7"/>
      <c r="AC369" s="7"/>
      <c r="AD369" s="7"/>
      <c r="AE369" s="7"/>
      <c r="AF369" s="7"/>
      <c r="AG369" s="7"/>
      <c r="AH369" s="7"/>
      <c r="AI369" s="7"/>
      <c r="AJ369" s="7"/>
      <c r="AK369" s="7"/>
      <c r="AL369" s="7"/>
      <c r="AM369" s="7"/>
      <c r="AN369" s="7"/>
      <c r="AO369" s="7"/>
      <c r="AP369" s="7"/>
      <c r="AR369" s="496"/>
    </row>
    <row r="370" spans="1:44">
      <c r="A370" s="305" t="s">
        <v>382</v>
      </c>
      <c r="B370" s="305"/>
      <c r="C370" s="61">
        <f>SUM(C367:C368)</f>
        <v>4428.0001738685805</v>
      </c>
      <c r="D370" s="448"/>
      <c r="E370" s="305"/>
      <c r="F370" s="490"/>
      <c r="G370" s="448"/>
      <c r="H370" s="305"/>
      <c r="I370" s="490"/>
      <c r="J370" s="490"/>
      <c r="K370" s="448"/>
      <c r="L370" s="305"/>
      <c r="M370" s="490"/>
      <c r="N370" s="490"/>
      <c r="O370" s="448"/>
      <c r="P370" s="305"/>
      <c r="Q370" s="490"/>
      <c r="R370" s="490"/>
      <c r="S370" s="448"/>
      <c r="T370" s="305"/>
      <c r="U370" s="490"/>
      <c r="V370" s="7"/>
      <c r="W370" s="31"/>
      <c r="X370" s="31"/>
      <c r="Y370" s="31"/>
      <c r="Z370" s="7"/>
      <c r="AA370" s="7"/>
      <c r="AB370" s="7"/>
      <c r="AC370" s="7"/>
      <c r="AD370" s="7"/>
      <c r="AE370" s="7"/>
      <c r="AF370" s="7"/>
      <c r="AG370" s="7"/>
      <c r="AH370" s="7"/>
      <c r="AI370" s="7"/>
      <c r="AJ370" s="7"/>
      <c r="AK370" s="7"/>
      <c r="AL370" s="7"/>
      <c r="AM370" s="7"/>
      <c r="AN370" s="7"/>
      <c r="AO370" s="7"/>
      <c r="AP370" s="7"/>
      <c r="AR370" s="496"/>
    </row>
    <row r="371" spans="1:44">
      <c r="A371" s="305" t="s">
        <v>350</v>
      </c>
      <c r="B371" s="305"/>
      <c r="C371" s="61">
        <f t="shared" ref="C371:C376" si="77">C406+C441</f>
        <v>1371.2</v>
      </c>
      <c r="D371" s="448"/>
      <c r="E371" s="305"/>
      <c r="F371" s="490"/>
      <c r="G371" s="448"/>
      <c r="H371" s="305"/>
      <c r="I371" s="490"/>
      <c r="J371" s="490"/>
      <c r="K371" s="448"/>
      <c r="L371" s="305"/>
      <c r="M371" s="490"/>
      <c r="N371" s="490"/>
      <c r="O371" s="448"/>
      <c r="P371" s="305"/>
      <c r="Q371" s="490"/>
      <c r="R371" s="490"/>
      <c r="S371" s="448"/>
      <c r="T371" s="305"/>
      <c r="U371" s="490"/>
      <c r="V371" s="7"/>
      <c r="W371" s="31"/>
      <c r="X371" s="31"/>
      <c r="Y371" s="31"/>
      <c r="Z371" s="7"/>
      <c r="AA371" s="7"/>
      <c r="AB371" s="7"/>
      <c r="AC371" s="7"/>
      <c r="AD371" s="7"/>
      <c r="AE371" s="7"/>
      <c r="AF371" s="7"/>
      <c r="AG371" s="7"/>
      <c r="AH371" s="7"/>
      <c r="AI371" s="7"/>
      <c r="AJ371" s="7"/>
      <c r="AK371" s="7"/>
      <c r="AL371" s="7"/>
      <c r="AM371" s="7"/>
      <c r="AN371" s="7"/>
      <c r="AO371" s="7"/>
      <c r="AP371" s="7"/>
      <c r="AR371" s="496"/>
    </row>
    <row r="372" spans="1:44">
      <c r="A372" s="305" t="s">
        <v>383</v>
      </c>
      <c r="B372" s="305"/>
      <c r="C372" s="61">
        <f t="shared" si="77"/>
        <v>0</v>
      </c>
      <c r="D372" s="237">
        <f>$D$194</f>
        <v>3.8</v>
      </c>
      <c r="E372" s="305"/>
      <c r="F372" s="490">
        <f>ROUND(D372*C372,0)</f>
        <v>0</v>
      </c>
      <c r="G372" s="237">
        <f>$G$194</f>
        <v>3.8099999999999996</v>
      </c>
      <c r="H372" s="305"/>
      <c r="I372" s="490">
        <f>I407+I442</f>
        <v>0</v>
      </c>
      <c r="J372" s="490"/>
      <c r="K372" s="237" t="e">
        <f>$K$194</f>
        <v>#REF!</v>
      </c>
      <c r="L372" s="305"/>
      <c r="M372" s="490" t="e">
        <f>M407+M442</f>
        <v>#REF!</v>
      </c>
      <c r="N372" s="490"/>
      <c r="O372" s="237" t="e">
        <f>$O$194</f>
        <v>#REF!</v>
      </c>
      <c r="P372" s="305"/>
      <c r="Q372" s="490" t="e">
        <f>Q407+Q442</f>
        <v>#REF!</v>
      </c>
      <c r="R372" s="490"/>
      <c r="S372" s="237" t="e">
        <f>$S$194</f>
        <v>#REF!</v>
      </c>
      <c r="T372" s="305"/>
      <c r="U372" s="490" t="e">
        <f>U407+U442</f>
        <v>#REF!</v>
      </c>
      <c r="V372" s="7"/>
      <c r="W372" s="31"/>
      <c r="X372" s="31"/>
      <c r="Y372" s="31"/>
      <c r="Z372" s="7"/>
      <c r="AA372" s="7"/>
      <c r="AB372" s="7"/>
      <c r="AC372" s="7"/>
      <c r="AD372" s="7"/>
      <c r="AE372" s="7"/>
      <c r="AF372" s="7"/>
      <c r="AG372" s="7"/>
      <c r="AH372" s="7"/>
      <c r="AI372" s="7"/>
      <c r="AJ372" s="7"/>
      <c r="AK372" s="7"/>
      <c r="AL372" s="7"/>
      <c r="AM372" s="7"/>
      <c r="AN372" s="7"/>
      <c r="AO372" s="7"/>
      <c r="AP372" s="7"/>
      <c r="AR372" s="496"/>
    </row>
    <row r="373" spans="1:44">
      <c r="A373" s="305" t="s">
        <v>385</v>
      </c>
      <c r="B373" s="305"/>
      <c r="C373" s="61">
        <f t="shared" si="77"/>
        <v>1204399.1537199491</v>
      </c>
      <c r="D373" s="1006">
        <f>$D$195</f>
        <v>10.878</v>
      </c>
      <c r="E373" s="305" t="s">
        <v>362</v>
      </c>
      <c r="F373" s="490">
        <f>ROUND(D373*C373/100,0)</f>
        <v>131015</v>
      </c>
      <c r="G373" s="1006">
        <f>$G$195</f>
        <v>10.879</v>
      </c>
      <c r="H373" s="305" t="s">
        <v>362</v>
      </c>
      <c r="I373" s="490">
        <f>I408+I443</f>
        <v>131027</v>
      </c>
      <c r="J373" s="490"/>
      <c r="K373" s="1006" t="e">
        <f>$K$195</f>
        <v>#REF!</v>
      </c>
      <c r="L373" s="305" t="s">
        <v>362</v>
      </c>
      <c r="M373" s="490" t="e">
        <f>M408+M443</f>
        <v>#REF!</v>
      </c>
      <c r="N373" s="490"/>
      <c r="O373" s="1006" t="e">
        <f>$O$195</f>
        <v>#REF!</v>
      </c>
      <c r="P373" s="305" t="s">
        <v>362</v>
      </c>
      <c r="Q373" s="490" t="e">
        <f>Q408+Q443</f>
        <v>#REF!</v>
      </c>
      <c r="R373" s="490"/>
      <c r="S373" s="1006" t="e">
        <f>$S$195</f>
        <v>#REF!</v>
      </c>
      <c r="T373" s="305" t="s">
        <v>362</v>
      </c>
      <c r="U373" s="490" t="e">
        <f>U408+U443</f>
        <v>#REF!</v>
      </c>
      <c r="V373" s="7"/>
      <c r="W373" s="31"/>
      <c r="X373" s="31"/>
      <c r="Y373" s="31"/>
      <c r="Z373" s="7"/>
      <c r="AA373" s="7"/>
      <c r="AB373" s="7"/>
      <c r="AC373" s="7"/>
      <c r="AD373" s="7"/>
      <c r="AE373" s="7"/>
      <c r="AF373" s="7"/>
      <c r="AG373" s="7"/>
      <c r="AH373" s="7"/>
      <c r="AI373" s="7"/>
      <c r="AJ373" s="7"/>
      <c r="AK373" s="7"/>
      <c r="AL373" s="7"/>
      <c r="AM373" s="7"/>
      <c r="AN373" s="7"/>
      <c r="AO373" s="7"/>
      <c r="AP373" s="7"/>
      <c r="AR373" s="496"/>
    </row>
    <row r="374" spans="1:44">
      <c r="A374" s="305" t="s">
        <v>386</v>
      </c>
      <c r="B374" s="305"/>
      <c r="C374" s="61">
        <f t="shared" si="77"/>
        <v>55032</v>
      </c>
      <c r="D374" s="1006">
        <f>$D$196</f>
        <v>7.5140000000000002</v>
      </c>
      <c r="E374" s="305" t="s">
        <v>362</v>
      </c>
      <c r="F374" s="490">
        <f>ROUND(D374*C374/100,0)</f>
        <v>4135</v>
      </c>
      <c r="G374" s="1006">
        <f>$G$196</f>
        <v>7.5140000000000002</v>
      </c>
      <c r="H374" s="305" t="s">
        <v>362</v>
      </c>
      <c r="I374" s="490">
        <f>I409+I444</f>
        <v>4135</v>
      </c>
      <c r="J374" s="490"/>
      <c r="K374" s="1006" t="e">
        <f>$K$196</f>
        <v>#REF!</v>
      </c>
      <c r="L374" s="305" t="s">
        <v>362</v>
      </c>
      <c r="M374" s="490" t="e">
        <f>M409+M444</f>
        <v>#REF!</v>
      </c>
      <c r="N374" s="490"/>
      <c r="O374" s="1006" t="e">
        <f>$O$196</f>
        <v>#REF!</v>
      </c>
      <c r="P374" s="305" t="s">
        <v>362</v>
      </c>
      <c r="Q374" s="490" t="e">
        <f>Q409+Q444</f>
        <v>#REF!</v>
      </c>
      <c r="R374" s="490"/>
      <c r="S374" s="1006" t="e">
        <f>$S$196</f>
        <v>#REF!</v>
      </c>
      <c r="T374" s="305" t="s">
        <v>362</v>
      </c>
      <c r="U374" s="490" t="e">
        <f>U409+U444</f>
        <v>#REF!</v>
      </c>
      <c r="V374" s="7"/>
      <c r="W374" s="31"/>
      <c r="X374" s="31"/>
      <c r="Y374" s="31"/>
      <c r="Z374" s="7"/>
      <c r="AA374" s="7"/>
      <c r="AB374" s="7"/>
      <c r="AC374" s="7"/>
      <c r="AD374" s="7"/>
      <c r="AE374" s="7"/>
      <c r="AF374" s="7"/>
      <c r="AG374" s="7"/>
      <c r="AH374" s="7"/>
      <c r="AI374" s="7"/>
      <c r="AJ374" s="7"/>
      <c r="AK374" s="7"/>
      <c r="AL374" s="7"/>
      <c r="AM374" s="7"/>
      <c r="AN374" s="7"/>
      <c r="AO374" s="7"/>
      <c r="AP374" s="7"/>
      <c r="AR374" s="496"/>
    </row>
    <row r="375" spans="1:44">
      <c r="A375" s="305" t="s">
        <v>387</v>
      </c>
      <c r="B375" s="305"/>
      <c r="C375" s="61">
        <f t="shared" si="77"/>
        <v>0</v>
      </c>
      <c r="D375" s="1006">
        <f>$D$197</f>
        <v>6.4720000000000004</v>
      </c>
      <c r="E375" s="305" t="s">
        <v>362</v>
      </c>
      <c r="F375" s="490">
        <f>ROUND(D375*C375/100,0)</f>
        <v>0</v>
      </c>
      <c r="G375" s="1006">
        <f>$G$197</f>
        <v>6.4720000000000004</v>
      </c>
      <c r="H375" s="305" t="s">
        <v>362</v>
      </c>
      <c r="I375" s="490">
        <f t="shared" ref="I375:I378" si="78">I410+I445</f>
        <v>0</v>
      </c>
      <c r="J375" s="490"/>
      <c r="K375" s="1006" t="e">
        <f>$K$197</f>
        <v>#REF!</v>
      </c>
      <c r="L375" s="305" t="s">
        <v>362</v>
      </c>
      <c r="M375" s="490" t="e">
        <f t="shared" ref="M375:M379" si="79">M410+M445</f>
        <v>#REF!</v>
      </c>
      <c r="N375" s="490"/>
      <c r="O375" s="1006" t="e">
        <f>$O$197</f>
        <v>#REF!</v>
      </c>
      <c r="P375" s="305" t="s">
        <v>362</v>
      </c>
      <c r="Q375" s="490" t="e">
        <f t="shared" ref="Q375:Q379" si="80">Q410+Q445</f>
        <v>#REF!</v>
      </c>
      <c r="R375" s="490"/>
      <c r="S375" s="1006" t="e">
        <f>$S$197</f>
        <v>#REF!</v>
      </c>
      <c r="T375" s="305" t="s">
        <v>362</v>
      </c>
      <c r="U375" s="490" t="e">
        <f t="shared" ref="U375:U378" si="81">U410+U445</f>
        <v>#REF!</v>
      </c>
      <c r="V375" s="7"/>
      <c r="W375" s="31"/>
      <c r="X375" s="31"/>
      <c r="Y375" s="31"/>
      <c r="Z375" s="7"/>
      <c r="AA375" s="7"/>
      <c r="AB375" s="7"/>
      <c r="AC375" s="7"/>
      <c r="AD375" s="7"/>
      <c r="AE375" s="7"/>
      <c r="AF375" s="7"/>
      <c r="AG375" s="7"/>
      <c r="AH375" s="7"/>
      <c r="AI375" s="7"/>
      <c r="AJ375" s="7"/>
      <c r="AK375" s="7"/>
      <c r="AL375" s="7"/>
      <c r="AM375" s="7"/>
      <c r="AN375" s="7"/>
      <c r="AO375" s="7"/>
      <c r="AP375" s="7"/>
      <c r="AR375" s="496"/>
    </row>
    <row r="376" spans="1:44">
      <c r="A376" s="305" t="s">
        <v>388</v>
      </c>
      <c r="B376" s="305"/>
      <c r="C376" s="61">
        <f t="shared" si="77"/>
        <v>0</v>
      </c>
      <c r="D376" s="237">
        <f>$D$198</f>
        <v>58</v>
      </c>
      <c r="E376" s="305" t="s">
        <v>362</v>
      </c>
      <c r="F376" s="490">
        <f>ROUND(D376*C376/100,0)</f>
        <v>0</v>
      </c>
      <c r="G376" s="1021">
        <f>$G$198</f>
        <v>58</v>
      </c>
      <c r="H376" s="305" t="s">
        <v>362</v>
      </c>
      <c r="I376" s="490">
        <f t="shared" si="78"/>
        <v>0</v>
      </c>
      <c r="J376" s="490"/>
      <c r="K376" s="1021" t="e">
        <f>$K$198</f>
        <v>#REF!</v>
      </c>
      <c r="L376" s="305" t="s">
        <v>362</v>
      </c>
      <c r="M376" s="490" t="e">
        <f t="shared" si="79"/>
        <v>#REF!</v>
      </c>
      <c r="N376" s="490"/>
      <c r="O376" s="1021" t="e">
        <f>$O$198</f>
        <v>#REF!</v>
      </c>
      <c r="P376" s="305" t="s">
        <v>362</v>
      </c>
      <c r="Q376" s="490" t="e">
        <f t="shared" si="80"/>
        <v>#REF!</v>
      </c>
      <c r="R376" s="490"/>
      <c r="S376" s="1021" t="e">
        <f>$S$198</f>
        <v>#REF!</v>
      </c>
      <c r="T376" s="305" t="s">
        <v>362</v>
      </c>
      <c r="U376" s="490" t="e">
        <f t="shared" si="81"/>
        <v>#REF!</v>
      </c>
      <c r="V376" s="7"/>
      <c r="W376" s="31"/>
      <c r="X376" s="31"/>
      <c r="Y376" s="31"/>
      <c r="Z376" s="7"/>
      <c r="AA376" s="7"/>
      <c r="AB376" s="7"/>
      <c r="AC376" s="7"/>
      <c r="AD376" s="7"/>
      <c r="AE376" s="7"/>
      <c r="AF376" s="7"/>
      <c r="AG376" s="7"/>
      <c r="AH376" s="7"/>
      <c r="AI376" s="7"/>
      <c r="AJ376" s="7"/>
      <c r="AK376" s="7"/>
      <c r="AL376" s="7"/>
      <c r="AM376" s="7"/>
      <c r="AN376" s="7"/>
      <c r="AO376" s="7"/>
      <c r="AP376" s="7"/>
      <c r="AR376" s="496"/>
    </row>
    <row r="377" spans="1:44" s="588" customFormat="1" hidden="1">
      <c r="A377" s="588" t="s">
        <v>771</v>
      </c>
      <c r="C377" s="604">
        <f>C418+C459</f>
        <v>0</v>
      </c>
      <c r="D377" s="990">
        <v>0</v>
      </c>
      <c r="E377" s="635"/>
      <c r="F377" s="616"/>
      <c r="G377" s="987">
        <f>G199</f>
        <v>0</v>
      </c>
      <c r="H377" s="592" t="s">
        <v>362</v>
      </c>
      <c r="I377" s="490">
        <f t="shared" si="78"/>
        <v>0</v>
      </c>
      <c r="J377" s="490"/>
      <c r="K377" s="987" t="e">
        <f>K199</f>
        <v>#REF!</v>
      </c>
      <c r="L377" s="592" t="s">
        <v>362</v>
      </c>
      <c r="M377" s="490" t="e">
        <f t="shared" si="79"/>
        <v>#REF!</v>
      </c>
      <c r="N377" s="490"/>
      <c r="O377" s="987" t="e">
        <f>O199</f>
        <v>#REF!</v>
      </c>
      <c r="P377" s="592" t="s">
        <v>362</v>
      </c>
      <c r="Q377" s="490" t="e">
        <f t="shared" si="80"/>
        <v>#REF!</v>
      </c>
      <c r="R377" s="490"/>
      <c r="S377" s="987" t="e">
        <f>S199</f>
        <v>#REF!</v>
      </c>
      <c r="T377" s="592" t="s">
        <v>362</v>
      </c>
      <c r="U377" s="490" t="e">
        <f t="shared" si="81"/>
        <v>#REF!</v>
      </c>
      <c r="W377" s="450"/>
      <c r="Z377" s="989"/>
      <c r="AA377" s="989"/>
      <c r="AF377" s="635"/>
      <c r="AG377" s="635"/>
      <c r="AH377" s="635"/>
      <c r="AI377" s="635"/>
      <c r="AJ377" s="635"/>
      <c r="AK377" s="635"/>
      <c r="AL377" s="635"/>
      <c r="AM377" s="635"/>
      <c r="AN377" s="635"/>
      <c r="AO377" s="635"/>
      <c r="AP377" s="635"/>
      <c r="AR377" s="988"/>
    </row>
    <row r="378" spans="1:44" s="588" customFormat="1" hidden="1">
      <c r="A378" s="588" t="s">
        <v>772</v>
      </c>
      <c r="C378" s="604">
        <f>C419+C460</f>
        <v>0</v>
      </c>
      <c r="D378" s="990">
        <v>0</v>
      </c>
      <c r="E378" s="635"/>
      <c r="F378" s="616"/>
      <c r="G378" s="987">
        <f>G200</f>
        <v>0</v>
      </c>
      <c r="H378" s="592" t="s">
        <v>362</v>
      </c>
      <c r="I378" s="490">
        <f t="shared" si="78"/>
        <v>0</v>
      </c>
      <c r="J378" s="490"/>
      <c r="K378" s="987" t="e">
        <f>K200</f>
        <v>#REF!</v>
      </c>
      <c r="L378" s="592" t="s">
        <v>362</v>
      </c>
      <c r="M378" s="490" t="e">
        <f t="shared" si="79"/>
        <v>#REF!</v>
      </c>
      <c r="N378" s="490"/>
      <c r="O378" s="987" t="e">
        <f>O200</f>
        <v>#REF!</v>
      </c>
      <c r="P378" s="592" t="s">
        <v>362</v>
      </c>
      <c r="Q378" s="490" t="e">
        <f t="shared" si="80"/>
        <v>#REF!</v>
      </c>
      <c r="R378" s="490"/>
      <c r="S378" s="987" t="e">
        <f>S200</f>
        <v>#REF!</v>
      </c>
      <c r="T378" s="592" t="s">
        <v>362</v>
      </c>
      <c r="U378" s="490" t="e">
        <f t="shared" si="81"/>
        <v>#REF!</v>
      </c>
      <c r="W378" s="450"/>
      <c r="Z378" s="989"/>
      <c r="AA378" s="989"/>
      <c r="AF378" s="635"/>
      <c r="AG378" s="635"/>
      <c r="AH378" s="635"/>
      <c r="AI378" s="635"/>
      <c r="AJ378" s="635"/>
      <c r="AK378" s="635"/>
      <c r="AL378" s="635"/>
      <c r="AM378" s="635"/>
      <c r="AN378" s="635"/>
      <c r="AO378" s="635"/>
      <c r="AP378" s="635"/>
      <c r="AR378" s="988"/>
    </row>
    <row r="379" spans="1:44" s="588" customFormat="1" hidden="1">
      <c r="A379" s="588" t="s">
        <v>773</v>
      </c>
      <c r="C379" s="604">
        <f>C420+C464</f>
        <v>33312</v>
      </c>
      <c r="D379" s="990">
        <v>0</v>
      </c>
      <c r="E379" s="635"/>
      <c r="F379" s="616"/>
      <c r="G379" s="987">
        <f>G201</f>
        <v>0</v>
      </c>
      <c r="H379" s="592" t="s">
        <v>362</v>
      </c>
      <c r="I379" s="616">
        <f>I420+I464</f>
        <v>8779</v>
      </c>
      <c r="J379" s="616"/>
      <c r="K379" s="987" t="e">
        <f>K201</f>
        <v>#REF!</v>
      </c>
      <c r="L379" s="592" t="s">
        <v>362</v>
      </c>
      <c r="M379" s="490" t="e">
        <f t="shared" si="79"/>
        <v>#REF!</v>
      </c>
      <c r="N379" s="616"/>
      <c r="O379" s="987" t="e">
        <f>O201</f>
        <v>#REF!</v>
      </c>
      <c r="P379" s="592" t="s">
        <v>362</v>
      </c>
      <c r="Q379" s="490" t="e">
        <f t="shared" si="80"/>
        <v>#REF!</v>
      </c>
      <c r="R379" s="616"/>
      <c r="S379" s="987" t="e">
        <f>S201</f>
        <v>#REF!</v>
      </c>
      <c r="T379" s="592" t="s">
        <v>362</v>
      </c>
      <c r="U379" s="616" t="e">
        <f>U420+U464</f>
        <v>#REF!</v>
      </c>
      <c r="W379" s="450"/>
      <c r="Z379" s="989"/>
      <c r="AA379" s="989"/>
      <c r="AF379" s="635"/>
      <c r="AG379" s="635"/>
      <c r="AH379" s="635"/>
      <c r="AI379" s="635"/>
      <c r="AJ379" s="635"/>
      <c r="AK379" s="635"/>
      <c r="AL379" s="635"/>
      <c r="AM379" s="635"/>
      <c r="AN379" s="635"/>
      <c r="AO379" s="635"/>
      <c r="AP379" s="635"/>
      <c r="AR379" s="988"/>
    </row>
    <row r="380" spans="1:44">
      <c r="A380" s="244" t="s">
        <v>389</v>
      </c>
      <c r="B380" s="305"/>
      <c r="C380" s="61"/>
      <c r="D380" s="1023">
        <f>$D$205</f>
        <v>-0.01</v>
      </c>
      <c r="E380" s="305"/>
      <c r="F380" s="490"/>
      <c r="G380" s="1023">
        <v>-0.01</v>
      </c>
      <c r="H380" s="305"/>
      <c r="I380" s="490"/>
      <c r="J380" s="490"/>
      <c r="K380" s="1023">
        <v>-0.01</v>
      </c>
      <c r="L380" s="305"/>
      <c r="M380" s="490"/>
      <c r="N380" s="490"/>
      <c r="O380" s="1023">
        <v>-0.01</v>
      </c>
      <c r="P380" s="305"/>
      <c r="Q380" s="490"/>
      <c r="R380" s="490"/>
      <c r="S380" s="1023">
        <v>-0.01</v>
      </c>
      <c r="T380" s="305"/>
      <c r="U380" s="490"/>
      <c r="V380" s="7"/>
      <c r="W380" s="31"/>
      <c r="X380" s="31"/>
      <c r="Y380" s="31"/>
      <c r="Z380" s="7"/>
      <c r="AA380" s="7"/>
      <c r="AB380" s="7"/>
      <c r="AC380" s="7"/>
      <c r="AD380" s="7"/>
      <c r="AE380" s="7"/>
      <c r="AF380" s="7"/>
      <c r="AG380" s="7"/>
      <c r="AH380" s="7"/>
      <c r="AI380" s="7"/>
      <c r="AJ380" s="7"/>
      <c r="AK380" s="7"/>
      <c r="AL380" s="7"/>
      <c r="AM380" s="7"/>
      <c r="AN380" s="7"/>
      <c r="AO380" s="7"/>
      <c r="AP380" s="7"/>
      <c r="AR380" s="496"/>
    </row>
    <row r="381" spans="1:44">
      <c r="A381" s="305" t="s">
        <v>378</v>
      </c>
      <c r="B381" s="305"/>
      <c r="C381" s="61">
        <v>0</v>
      </c>
      <c r="D381" s="237">
        <f>$D$230</f>
        <v>9.99</v>
      </c>
      <c r="E381" s="490"/>
      <c r="F381" s="490">
        <f>-ROUND(D381*$C381/100,0)</f>
        <v>0</v>
      </c>
      <c r="G381" s="237">
        <f>G367</f>
        <v>9.99</v>
      </c>
      <c r="H381" s="490"/>
      <c r="I381" s="490">
        <f t="shared" ref="I381:I394" si="82">I416+I451</f>
        <v>0</v>
      </c>
      <c r="J381" s="490"/>
      <c r="K381" s="237" t="e">
        <f>K367</f>
        <v>#REF!</v>
      </c>
      <c r="L381" s="490"/>
      <c r="M381" s="490" t="e">
        <f t="shared" ref="M381:M394" si="83">M416+M451</f>
        <v>#REF!</v>
      </c>
      <c r="N381" s="490"/>
      <c r="O381" s="237" t="e">
        <f>O367</f>
        <v>#REF!</v>
      </c>
      <c r="P381" s="490"/>
      <c r="Q381" s="490" t="e">
        <f t="shared" ref="Q381:Q394" si="84">Q416+Q451</f>
        <v>#REF!</v>
      </c>
      <c r="R381" s="490"/>
      <c r="S381" s="237" t="e">
        <f>S367</f>
        <v>#REF!</v>
      </c>
      <c r="T381" s="490"/>
      <c r="U381" s="490" t="e">
        <f t="shared" ref="U381:U394" si="85">U416+U451</f>
        <v>#REF!</v>
      </c>
      <c r="V381" s="7"/>
      <c r="W381" s="31"/>
      <c r="X381" s="31"/>
      <c r="Y381" s="31"/>
      <c r="Z381" s="7"/>
      <c r="AA381" s="7"/>
      <c r="AB381" s="7"/>
      <c r="AC381" s="7"/>
      <c r="AD381" s="7"/>
      <c r="AE381" s="7"/>
      <c r="AF381" s="7"/>
      <c r="AG381" s="7"/>
      <c r="AH381" s="7"/>
      <c r="AI381" s="7"/>
      <c r="AJ381" s="7"/>
      <c r="AK381" s="7"/>
      <c r="AL381" s="7"/>
      <c r="AM381" s="7"/>
      <c r="AN381" s="7"/>
      <c r="AO381" s="7"/>
      <c r="AP381" s="7"/>
      <c r="AR381" s="496"/>
    </row>
    <row r="382" spans="1:44">
      <c r="A382" s="305" t="s">
        <v>379</v>
      </c>
      <c r="B382" s="305"/>
      <c r="C382" s="61">
        <v>0</v>
      </c>
      <c r="D382" s="237">
        <f>$D$231</f>
        <v>14.89</v>
      </c>
      <c r="E382" s="490"/>
      <c r="F382" s="490">
        <f t="shared" ref="F382:F384" si="86">-ROUND(D382*$C382/100,0)</f>
        <v>0</v>
      </c>
      <c r="G382" s="237">
        <f>G368</f>
        <v>14.89</v>
      </c>
      <c r="H382" s="490"/>
      <c r="I382" s="490">
        <f t="shared" si="82"/>
        <v>0</v>
      </c>
      <c r="J382" s="490"/>
      <c r="K382" s="237" t="e">
        <f>K368</f>
        <v>#REF!</v>
      </c>
      <c r="L382" s="490"/>
      <c r="M382" s="490" t="e">
        <f t="shared" si="83"/>
        <v>#REF!</v>
      </c>
      <c r="N382" s="490"/>
      <c r="O382" s="237" t="e">
        <f>O368</f>
        <v>#REF!</v>
      </c>
      <c r="P382" s="490"/>
      <c r="Q382" s="490" t="e">
        <f t="shared" si="84"/>
        <v>#REF!</v>
      </c>
      <c r="R382" s="490"/>
      <c r="S382" s="237" t="e">
        <f>S368</f>
        <v>#REF!</v>
      </c>
      <c r="T382" s="490"/>
      <c r="U382" s="490" t="e">
        <f t="shared" si="85"/>
        <v>#REF!</v>
      </c>
      <c r="V382" s="7"/>
      <c r="W382" s="31"/>
      <c r="X382" s="31"/>
      <c r="Y382" s="31"/>
      <c r="Z382" s="7"/>
      <c r="AA382" s="7"/>
      <c r="AB382" s="7"/>
      <c r="AC382" s="7"/>
      <c r="AD382" s="7"/>
      <c r="AE382" s="7"/>
      <c r="AF382" s="7"/>
      <c r="AG382" s="7"/>
      <c r="AH382" s="7"/>
      <c r="AI382" s="7"/>
      <c r="AJ382" s="7"/>
      <c r="AK382" s="7"/>
      <c r="AL382" s="7"/>
      <c r="AM382" s="7"/>
      <c r="AN382" s="7"/>
      <c r="AO382" s="7"/>
      <c r="AP382" s="7"/>
      <c r="AR382" s="496"/>
    </row>
    <row r="383" spans="1:44">
      <c r="A383" s="305" t="s">
        <v>390</v>
      </c>
      <c r="B383" s="305"/>
      <c r="C383" s="61">
        <v>0</v>
      </c>
      <c r="D383" s="237">
        <f>$D$232</f>
        <v>1.04</v>
      </c>
      <c r="E383" s="490"/>
      <c r="F383" s="490">
        <f t="shared" si="86"/>
        <v>0</v>
      </c>
      <c r="G383" s="237">
        <f>G369</f>
        <v>1.04</v>
      </c>
      <c r="H383" s="490"/>
      <c r="I383" s="490">
        <f t="shared" si="82"/>
        <v>0</v>
      </c>
      <c r="J383" s="490"/>
      <c r="K383" s="237" t="e">
        <f>K369</f>
        <v>#REF!</v>
      </c>
      <c r="L383" s="490"/>
      <c r="M383" s="490" t="e">
        <f t="shared" si="83"/>
        <v>#REF!</v>
      </c>
      <c r="N383" s="490"/>
      <c r="O383" s="237" t="e">
        <f>O369</f>
        <v>#REF!</v>
      </c>
      <c r="P383" s="490"/>
      <c r="Q383" s="490" t="e">
        <f t="shared" si="84"/>
        <v>#REF!</v>
      </c>
      <c r="R383" s="490"/>
      <c r="S383" s="237" t="e">
        <f>S369</f>
        <v>#REF!</v>
      </c>
      <c r="T383" s="490"/>
      <c r="U383" s="490" t="e">
        <f t="shared" si="85"/>
        <v>#REF!</v>
      </c>
      <c r="V383" s="7"/>
      <c r="W383" s="31"/>
      <c r="X383" s="31"/>
      <c r="Y383" s="31"/>
      <c r="Z383" s="7"/>
      <c r="AA383" s="7"/>
      <c r="AB383" s="7"/>
      <c r="AC383" s="7"/>
      <c r="AD383" s="7"/>
      <c r="AE383" s="7"/>
      <c r="AF383" s="7"/>
      <c r="AG383" s="7"/>
      <c r="AH383" s="7"/>
      <c r="AI383" s="7"/>
      <c r="AJ383" s="7"/>
      <c r="AK383" s="7"/>
      <c r="AL383" s="7"/>
      <c r="AM383" s="7"/>
      <c r="AN383" s="7"/>
      <c r="AO383" s="7"/>
      <c r="AP383" s="7"/>
      <c r="AR383" s="496"/>
    </row>
    <row r="384" spans="1:44">
      <c r="A384" s="305" t="s">
        <v>391</v>
      </c>
      <c r="B384" s="305"/>
      <c r="C384" s="61">
        <v>0</v>
      </c>
      <c r="D384" s="237">
        <f>$D$234</f>
        <v>3.8</v>
      </c>
      <c r="E384" s="305"/>
      <c r="F384" s="490">
        <f t="shared" si="86"/>
        <v>0</v>
      </c>
      <c r="G384" s="237">
        <f>G372</f>
        <v>3.8099999999999996</v>
      </c>
      <c r="H384" s="305"/>
      <c r="I384" s="490">
        <f t="shared" si="82"/>
        <v>0</v>
      </c>
      <c r="J384" s="490"/>
      <c r="K384" s="237" t="e">
        <f>K372</f>
        <v>#REF!</v>
      </c>
      <c r="L384" s="305"/>
      <c r="M384" s="490" t="e">
        <f t="shared" si="83"/>
        <v>#REF!</v>
      </c>
      <c r="N384" s="490"/>
      <c r="O384" s="237" t="e">
        <f>O372</f>
        <v>#REF!</v>
      </c>
      <c r="P384" s="305"/>
      <c r="Q384" s="490" t="e">
        <f t="shared" si="84"/>
        <v>#REF!</v>
      </c>
      <c r="R384" s="490"/>
      <c r="S384" s="237" t="e">
        <f>S372</f>
        <v>#REF!</v>
      </c>
      <c r="T384" s="305"/>
      <c r="U384" s="490" t="e">
        <f t="shared" si="85"/>
        <v>#REF!</v>
      </c>
      <c r="V384" s="7"/>
      <c r="W384" s="31"/>
      <c r="X384" s="31"/>
      <c r="Y384" s="31"/>
      <c r="Z384" s="7"/>
      <c r="AA384" s="7"/>
      <c r="AB384" s="7"/>
      <c r="AC384" s="7"/>
      <c r="AD384" s="7"/>
      <c r="AE384" s="7"/>
      <c r="AF384" s="7"/>
      <c r="AG384" s="7"/>
      <c r="AH384" s="7"/>
      <c r="AI384" s="7"/>
      <c r="AJ384" s="7"/>
      <c r="AK384" s="7"/>
      <c r="AL384" s="7"/>
      <c r="AM384" s="7"/>
      <c r="AN384" s="7"/>
      <c r="AO384" s="7"/>
      <c r="AP384" s="7"/>
      <c r="AR384" s="496"/>
    </row>
    <row r="385" spans="1:44">
      <c r="A385" s="305" t="s">
        <v>393</v>
      </c>
      <c r="B385" s="305"/>
      <c r="C385" s="61">
        <v>0</v>
      </c>
      <c r="D385" s="1025">
        <f>$D$235</f>
        <v>10.878</v>
      </c>
      <c r="E385" s="305" t="s">
        <v>362</v>
      </c>
      <c r="F385" s="490">
        <f>ROUND(D385*$C385/100*D380,0)</f>
        <v>0</v>
      </c>
      <c r="G385" s="1025">
        <f>G373</f>
        <v>10.879</v>
      </c>
      <c r="H385" s="305" t="s">
        <v>362</v>
      </c>
      <c r="I385" s="490">
        <f t="shared" si="82"/>
        <v>0</v>
      </c>
      <c r="J385" s="490"/>
      <c r="K385" s="1025" t="e">
        <f>K373</f>
        <v>#REF!</v>
      </c>
      <c r="L385" s="305" t="s">
        <v>362</v>
      </c>
      <c r="M385" s="490" t="e">
        <f t="shared" si="83"/>
        <v>#REF!</v>
      </c>
      <c r="N385" s="490"/>
      <c r="O385" s="1025" t="e">
        <f>O373</f>
        <v>#REF!</v>
      </c>
      <c r="P385" s="305" t="s">
        <v>362</v>
      </c>
      <c r="Q385" s="490" t="e">
        <f t="shared" si="84"/>
        <v>#REF!</v>
      </c>
      <c r="R385" s="490"/>
      <c r="S385" s="1025" t="e">
        <f>S373</f>
        <v>#REF!</v>
      </c>
      <c r="T385" s="305" t="s">
        <v>362</v>
      </c>
      <c r="U385" s="490" t="e">
        <f t="shared" si="85"/>
        <v>#REF!</v>
      </c>
      <c r="V385" s="7"/>
      <c r="W385" s="31"/>
      <c r="X385" s="31"/>
      <c r="Y385" s="31"/>
      <c r="Z385" s="7"/>
      <c r="AA385" s="7"/>
      <c r="AB385" s="7"/>
      <c r="AC385" s="7"/>
      <c r="AD385" s="7"/>
      <c r="AE385" s="7"/>
      <c r="AF385" s="7"/>
      <c r="AG385" s="7"/>
      <c r="AH385" s="7"/>
      <c r="AI385" s="7"/>
      <c r="AJ385" s="7"/>
      <c r="AK385" s="7"/>
      <c r="AL385" s="7"/>
      <c r="AM385" s="7"/>
      <c r="AN385" s="7"/>
      <c r="AO385" s="7"/>
      <c r="AP385" s="7"/>
      <c r="AR385" s="496"/>
    </row>
    <row r="386" spans="1:44">
      <c r="A386" s="305" t="s">
        <v>386</v>
      </c>
      <c r="B386" s="305"/>
      <c r="C386" s="61">
        <v>0</v>
      </c>
      <c r="D386" s="1025">
        <f>$D$236</f>
        <v>7.5140000000000002</v>
      </c>
      <c r="E386" s="305" t="s">
        <v>362</v>
      </c>
      <c r="F386" s="490">
        <f>ROUND(D386*$C386/100*D380,0)</f>
        <v>0</v>
      </c>
      <c r="G386" s="1025">
        <f>G374</f>
        <v>7.5140000000000002</v>
      </c>
      <c r="H386" s="305" t="s">
        <v>362</v>
      </c>
      <c r="I386" s="490">
        <f t="shared" si="82"/>
        <v>0</v>
      </c>
      <c r="J386" s="490"/>
      <c r="K386" s="1025" t="e">
        <f>K374</f>
        <v>#REF!</v>
      </c>
      <c r="L386" s="305" t="s">
        <v>362</v>
      </c>
      <c r="M386" s="490" t="e">
        <f t="shared" si="83"/>
        <v>#REF!</v>
      </c>
      <c r="N386" s="490"/>
      <c r="O386" s="1025" t="e">
        <f>O374</f>
        <v>#REF!</v>
      </c>
      <c r="P386" s="305" t="s">
        <v>362</v>
      </c>
      <c r="Q386" s="490" t="e">
        <f t="shared" si="84"/>
        <v>#REF!</v>
      </c>
      <c r="R386" s="490"/>
      <c r="S386" s="1025" t="e">
        <f>S374</f>
        <v>#REF!</v>
      </c>
      <c r="T386" s="305" t="s">
        <v>362</v>
      </c>
      <c r="U386" s="490" t="e">
        <f t="shared" si="85"/>
        <v>#REF!</v>
      </c>
      <c r="V386" s="7"/>
      <c r="W386" s="31"/>
      <c r="X386" s="31"/>
      <c r="Y386" s="31"/>
      <c r="Z386" s="7"/>
      <c r="AA386" s="7"/>
      <c r="AB386" s="7"/>
      <c r="AC386" s="7"/>
      <c r="AD386" s="7"/>
      <c r="AE386" s="7"/>
      <c r="AF386" s="7"/>
      <c r="AG386" s="7"/>
      <c r="AH386" s="7"/>
      <c r="AI386" s="7"/>
      <c r="AJ386" s="7"/>
      <c r="AK386" s="7"/>
      <c r="AL386" s="7"/>
      <c r="AM386" s="7"/>
      <c r="AN386" s="7"/>
      <c r="AO386" s="7"/>
      <c r="AP386" s="7"/>
      <c r="AR386" s="496"/>
    </row>
    <row r="387" spans="1:44">
      <c r="A387" s="305" t="s">
        <v>387</v>
      </c>
      <c r="B387" s="305"/>
      <c r="C387" s="61">
        <v>0</v>
      </c>
      <c r="D387" s="1025">
        <f>$D$237</f>
        <v>6.4720000000000004</v>
      </c>
      <c r="E387" s="305" t="s">
        <v>362</v>
      </c>
      <c r="F387" s="490">
        <f>ROUND(D387*$C387/100*D380,0)</f>
        <v>0</v>
      </c>
      <c r="G387" s="1025">
        <f>G375</f>
        <v>6.4720000000000004</v>
      </c>
      <c r="H387" s="305" t="s">
        <v>362</v>
      </c>
      <c r="I387" s="490">
        <f t="shared" si="82"/>
        <v>0</v>
      </c>
      <c r="J387" s="490"/>
      <c r="K387" s="1025" t="e">
        <f>K375</f>
        <v>#REF!</v>
      </c>
      <c r="L387" s="305" t="s">
        <v>362</v>
      </c>
      <c r="M387" s="490" t="e">
        <f t="shared" si="83"/>
        <v>#REF!</v>
      </c>
      <c r="N387" s="490"/>
      <c r="O387" s="1025" t="e">
        <f>O375</f>
        <v>#REF!</v>
      </c>
      <c r="P387" s="305" t="s">
        <v>362</v>
      </c>
      <c r="Q387" s="490" t="e">
        <f t="shared" si="84"/>
        <v>#REF!</v>
      </c>
      <c r="R387" s="490"/>
      <c r="S387" s="1025" t="e">
        <f>S375</f>
        <v>#REF!</v>
      </c>
      <c r="T387" s="305" t="s">
        <v>362</v>
      </c>
      <c r="U387" s="490" t="e">
        <f t="shared" si="85"/>
        <v>#REF!</v>
      </c>
      <c r="V387" s="7"/>
      <c r="W387" s="31"/>
      <c r="X387" s="31"/>
      <c r="Y387" s="31"/>
      <c r="Z387" s="7"/>
      <c r="AA387" s="7"/>
      <c r="AB387" s="7"/>
      <c r="AC387" s="7"/>
      <c r="AD387" s="7"/>
      <c r="AE387" s="7"/>
      <c r="AF387" s="7"/>
      <c r="AG387" s="7"/>
      <c r="AH387" s="7"/>
      <c r="AI387" s="7"/>
      <c r="AJ387" s="7"/>
      <c r="AK387" s="7"/>
      <c r="AL387" s="7"/>
      <c r="AM387" s="7"/>
      <c r="AN387" s="7"/>
      <c r="AO387" s="7"/>
      <c r="AP387" s="7"/>
      <c r="AR387" s="496"/>
    </row>
    <row r="388" spans="1:44">
      <c r="A388" s="305" t="s">
        <v>388</v>
      </c>
      <c r="B388" s="305"/>
      <c r="C388" s="61">
        <v>0</v>
      </c>
      <c r="D388" s="1026">
        <f>$D$238</f>
        <v>58</v>
      </c>
      <c r="E388" s="305" t="s">
        <v>362</v>
      </c>
      <c r="F388" s="490">
        <f>ROUND(D388*$C388/100*D380,0)</f>
        <v>0</v>
      </c>
      <c r="G388" s="1026">
        <f>G376</f>
        <v>58</v>
      </c>
      <c r="H388" s="305" t="s">
        <v>362</v>
      </c>
      <c r="I388" s="490">
        <f t="shared" si="82"/>
        <v>0</v>
      </c>
      <c r="J388" s="490"/>
      <c r="K388" s="1026" t="e">
        <f>K376</f>
        <v>#REF!</v>
      </c>
      <c r="L388" s="305" t="s">
        <v>362</v>
      </c>
      <c r="M388" s="490" t="e">
        <f t="shared" si="83"/>
        <v>#REF!</v>
      </c>
      <c r="N388" s="490"/>
      <c r="O388" s="1026" t="e">
        <f>O376</f>
        <v>#REF!</v>
      </c>
      <c r="P388" s="305" t="s">
        <v>362</v>
      </c>
      <c r="Q388" s="490" t="e">
        <f t="shared" si="84"/>
        <v>#REF!</v>
      </c>
      <c r="R388" s="490"/>
      <c r="S388" s="1026" t="e">
        <f>S376</f>
        <v>#REF!</v>
      </c>
      <c r="T388" s="305" t="s">
        <v>362</v>
      </c>
      <c r="U388" s="490" t="e">
        <f t="shared" si="85"/>
        <v>#REF!</v>
      </c>
      <c r="V388" s="7"/>
      <c r="W388" s="31"/>
      <c r="X388" s="31"/>
      <c r="Y388" s="31"/>
      <c r="Z388" s="7"/>
      <c r="AA388" s="7"/>
      <c r="AB388" s="7"/>
      <c r="AC388" s="7"/>
      <c r="AD388" s="7"/>
      <c r="AE388" s="7"/>
      <c r="AF388" s="7"/>
      <c r="AG388" s="7"/>
      <c r="AH388" s="7"/>
      <c r="AI388" s="7"/>
      <c r="AJ388" s="7"/>
      <c r="AK388" s="7"/>
      <c r="AL388" s="7"/>
      <c r="AM388" s="7"/>
      <c r="AN388" s="7"/>
      <c r="AO388" s="7"/>
      <c r="AP388" s="7"/>
      <c r="AR388" s="496"/>
    </row>
    <row r="389" spans="1:44">
      <c r="A389" s="305" t="s">
        <v>395</v>
      </c>
      <c r="B389" s="305"/>
      <c r="C389" s="61">
        <v>0</v>
      </c>
      <c r="D389" s="237">
        <v>60</v>
      </c>
      <c r="E389" s="305"/>
      <c r="F389" s="490">
        <f>ROUND(D389*C389,0)</f>
        <v>0</v>
      </c>
      <c r="G389" s="237">
        <f>$G$214</f>
        <v>60</v>
      </c>
      <c r="H389" s="305"/>
      <c r="I389" s="490">
        <f t="shared" si="82"/>
        <v>0</v>
      </c>
      <c r="J389" s="490"/>
      <c r="K389" s="237" t="str">
        <f>$K$214</f>
        <v xml:space="preserve"> </v>
      </c>
      <c r="L389" s="305"/>
      <c r="M389" s="490">
        <f t="shared" si="83"/>
        <v>0</v>
      </c>
      <c r="N389" s="490"/>
      <c r="O389" s="237" t="e">
        <f>$O$214</f>
        <v>#REF!</v>
      </c>
      <c r="P389" s="305"/>
      <c r="Q389" s="490" t="e">
        <f t="shared" si="84"/>
        <v>#REF!</v>
      </c>
      <c r="R389" s="490"/>
      <c r="S389" s="237" t="e">
        <f>$S$214</f>
        <v>#REF!</v>
      </c>
      <c r="T389" s="305"/>
      <c r="U389" s="490" t="e">
        <f t="shared" si="85"/>
        <v>#REF!</v>
      </c>
      <c r="V389" s="7"/>
      <c r="W389" s="31"/>
      <c r="X389" s="31"/>
      <c r="Y389" s="31"/>
      <c r="Z389" s="7"/>
      <c r="AA389" s="7"/>
      <c r="AB389" s="7"/>
      <c r="AC389" s="7"/>
      <c r="AD389" s="7"/>
      <c r="AE389" s="7"/>
      <c r="AF389" s="7"/>
      <c r="AG389" s="7"/>
      <c r="AH389" s="7"/>
      <c r="AI389" s="7"/>
      <c r="AJ389" s="7"/>
      <c r="AK389" s="7"/>
      <c r="AL389" s="7"/>
      <c r="AM389" s="7"/>
      <c r="AN389" s="7"/>
      <c r="AO389" s="7"/>
      <c r="AP389" s="7"/>
      <c r="AR389" s="496"/>
    </row>
    <row r="390" spans="1:44">
      <c r="A390" s="305" t="s">
        <v>396</v>
      </c>
      <c r="B390" s="305"/>
      <c r="C390" s="61">
        <v>0</v>
      </c>
      <c r="D390" s="1027">
        <v>-30</v>
      </c>
      <c r="E390" s="305" t="s">
        <v>362</v>
      </c>
      <c r="F390" s="490">
        <f>ROUND(D390*C390/100,0)</f>
        <v>0</v>
      </c>
      <c r="G390" s="1027">
        <f>$G$215</f>
        <v>-30</v>
      </c>
      <c r="H390" s="305" t="s">
        <v>362</v>
      </c>
      <c r="I390" s="490">
        <f t="shared" si="82"/>
        <v>0</v>
      </c>
      <c r="J390" s="490"/>
      <c r="K390" s="1027" t="e">
        <f>$K$215</f>
        <v>#REF!</v>
      </c>
      <c r="L390" s="305" t="s">
        <v>362</v>
      </c>
      <c r="M390" s="490" t="e">
        <f t="shared" si="83"/>
        <v>#REF!</v>
      </c>
      <c r="N390" s="490"/>
      <c r="O390" s="1027" t="str">
        <f>$O$215</f>
        <v xml:space="preserve"> </v>
      </c>
      <c r="P390" s="305" t="s">
        <v>362</v>
      </c>
      <c r="Q390" s="490">
        <f t="shared" si="84"/>
        <v>0</v>
      </c>
      <c r="R390" s="490"/>
      <c r="S390" s="1027" t="str">
        <f>$S$215</f>
        <v xml:space="preserve"> </v>
      </c>
      <c r="T390" s="305" t="s">
        <v>362</v>
      </c>
      <c r="U390" s="490">
        <f t="shared" si="85"/>
        <v>0</v>
      </c>
      <c r="V390" s="7"/>
      <c r="W390" s="31"/>
      <c r="X390" s="31"/>
      <c r="Y390" s="31"/>
      <c r="Z390" s="7"/>
      <c r="AA390" s="7"/>
      <c r="AB390" s="7"/>
      <c r="AC390" s="7"/>
      <c r="AD390" s="7"/>
      <c r="AE390" s="7"/>
      <c r="AF390" s="7"/>
      <c r="AG390" s="7"/>
      <c r="AH390" s="7"/>
      <c r="AI390" s="7"/>
      <c r="AJ390" s="7"/>
      <c r="AK390" s="7"/>
      <c r="AL390" s="7"/>
      <c r="AM390" s="7"/>
      <c r="AN390" s="7"/>
      <c r="AO390" s="7"/>
      <c r="AP390" s="7"/>
      <c r="AR390" s="496"/>
    </row>
    <row r="391" spans="1:44" s="588" customFormat="1" hidden="1">
      <c r="A391" s="588" t="s">
        <v>771</v>
      </c>
      <c r="C391" s="604">
        <v>0</v>
      </c>
      <c r="D391" s="987">
        <v>0</v>
      </c>
      <c r="E391" s="635"/>
      <c r="F391" s="616"/>
      <c r="G391" s="987">
        <f>G199</f>
        <v>0</v>
      </c>
      <c r="H391" s="592" t="s">
        <v>362</v>
      </c>
      <c r="I391" s="490">
        <f t="shared" si="82"/>
        <v>0</v>
      </c>
      <c r="J391" s="490"/>
      <c r="K391" s="987" t="e">
        <f>K199</f>
        <v>#REF!</v>
      </c>
      <c r="L391" s="592" t="s">
        <v>362</v>
      </c>
      <c r="M391" s="490" t="e">
        <f t="shared" si="83"/>
        <v>#REF!</v>
      </c>
      <c r="N391" s="490"/>
      <c r="O391" s="987" t="e">
        <f>O199</f>
        <v>#REF!</v>
      </c>
      <c r="P391" s="592" t="s">
        <v>362</v>
      </c>
      <c r="Q391" s="490" t="e">
        <f t="shared" si="84"/>
        <v>#REF!</v>
      </c>
      <c r="R391" s="490"/>
      <c r="S391" s="987" t="e">
        <f>S199</f>
        <v>#REF!</v>
      </c>
      <c r="T391" s="592" t="s">
        <v>362</v>
      </c>
      <c r="U391" s="490" t="e">
        <f t="shared" si="85"/>
        <v>#REF!</v>
      </c>
      <c r="W391" s="450"/>
      <c r="Z391" s="989"/>
      <c r="AA391" s="989"/>
      <c r="AF391" s="635"/>
      <c r="AG391" s="635"/>
      <c r="AH391" s="635"/>
      <c r="AI391" s="635"/>
      <c r="AJ391" s="635"/>
      <c r="AK391" s="635"/>
      <c r="AL391" s="635"/>
      <c r="AM391" s="635"/>
      <c r="AN391" s="635"/>
      <c r="AO391" s="635"/>
      <c r="AP391" s="635"/>
      <c r="AR391" s="988"/>
    </row>
    <row r="392" spans="1:44" s="588" customFormat="1" hidden="1">
      <c r="A392" s="588" t="s">
        <v>772</v>
      </c>
      <c r="C392" s="604">
        <v>0</v>
      </c>
      <c r="D392" s="987">
        <v>0</v>
      </c>
      <c r="E392" s="635"/>
      <c r="F392" s="616"/>
      <c r="G392" s="987">
        <f>G200</f>
        <v>0</v>
      </c>
      <c r="H392" s="592" t="s">
        <v>362</v>
      </c>
      <c r="I392" s="490">
        <f t="shared" si="82"/>
        <v>0</v>
      </c>
      <c r="J392" s="490"/>
      <c r="K392" s="987" t="e">
        <f>K200</f>
        <v>#REF!</v>
      </c>
      <c r="L392" s="592" t="s">
        <v>362</v>
      </c>
      <c r="M392" s="490" t="e">
        <f t="shared" si="83"/>
        <v>#REF!</v>
      </c>
      <c r="N392" s="490"/>
      <c r="O392" s="987" t="e">
        <f>O200</f>
        <v>#REF!</v>
      </c>
      <c r="P392" s="592" t="s">
        <v>362</v>
      </c>
      <c r="Q392" s="490" t="e">
        <f t="shared" si="84"/>
        <v>#REF!</v>
      </c>
      <c r="R392" s="490"/>
      <c r="S392" s="987" t="e">
        <f>S200</f>
        <v>#REF!</v>
      </c>
      <c r="T392" s="592" t="s">
        <v>362</v>
      </c>
      <c r="U392" s="490" t="e">
        <f t="shared" si="85"/>
        <v>#REF!</v>
      </c>
      <c r="W392" s="450"/>
      <c r="Z392" s="989"/>
      <c r="AA392" s="989"/>
      <c r="AF392" s="635"/>
      <c r="AG392" s="635"/>
      <c r="AH392" s="635"/>
      <c r="AI392" s="635"/>
      <c r="AJ392" s="635"/>
      <c r="AK392" s="635"/>
      <c r="AL392" s="635"/>
      <c r="AM392" s="635"/>
      <c r="AN392" s="635"/>
      <c r="AO392" s="635"/>
      <c r="AP392" s="635"/>
      <c r="AR392" s="988"/>
    </row>
    <row r="393" spans="1:44" s="588" customFormat="1" hidden="1">
      <c r="A393" s="588" t="s">
        <v>773</v>
      </c>
      <c r="C393" s="604">
        <v>0</v>
      </c>
      <c r="D393" s="987">
        <v>0</v>
      </c>
      <c r="E393" s="635"/>
      <c r="F393" s="616"/>
      <c r="G393" s="987">
        <f>G201</f>
        <v>0</v>
      </c>
      <c r="H393" s="592" t="s">
        <v>362</v>
      </c>
      <c r="I393" s="490">
        <f t="shared" si="82"/>
        <v>0</v>
      </c>
      <c r="J393" s="490"/>
      <c r="K393" s="987" t="e">
        <f>K201</f>
        <v>#REF!</v>
      </c>
      <c r="L393" s="592" t="s">
        <v>362</v>
      </c>
      <c r="M393" s="490" t="e">
        <f t="shared" si="83"/>
        <v>#REF!</v>
      </c>
      <c r="N393" s="490"/>
      <c r="O393" s="987" t="e">
        <f>O201</f>
        <v>#REF!</v>
      </c>
      <c r="P393" s="592" t="s">
        <v>362</v>
      </c>
      <c r="Q393" s="490" t="e">
        <f t="shared" si="84"/>
        <v>#REF!</v>
      </c>
      <c r="R393" s="490"/>
      <c r="S393" s="987" t="e">
        <f>S201</f>
        <v>#REF!</v>
      </c>
      <c r="T393" s="592" t="s">
        <v>362</v>
      </c>
      <c r="U393" s="490" t="e">
        <f t="shared" si="85"/>
        <v>#REF!</v>
      </c>
      <c r="W393" s="450"/>
      <c r="Z393" s="989"/>
      <c r="AA393" s="989"/>
      <c r="AF393" s="635"/>
      <c r="AG393" s="635"/>
      <c r="AH393" s="635"/>
      <c r="AI393" s="635"/>
      <c r="AJ393" s="635"/>
      <c r="AK393" s="635"/>
      <c r="AL393" s="635"/>
      <c r="AM393" s="635"/>
      <c r="AN393" s="635"/>
      <c r="AO393" s="635"/>
      <c r="AP393" s="635"/>
      <c r="AR393" s="988"/>
    </row>
    <row r="394" spans="1:44">
      <c r="A394" s="305" t="s">
        <v>369</v>
      </c>
      <c r="B394" s="305"/>
      <c r="C394" s="61">
        <f>C429+C464</f>
        <v>1259431.1537199491</v>
      </c>
      <c r="D394" s="1021"/>
      <c r="E394" s="305"/>
      <c r="F394" s="490">
        <f>F429+F464</f>
        <v>179386</v>
      </c>
      <c r="G394" s="1021"/>
      <c r="H394" s="305"/>
      <c r="I394" s="490">
        <f t="shared" si="82"/>
        <v>179398</v>
      </c>
      <c r="J394" s="490"/>
      <c r="K394" s="1021"/>
      <c r="L394" s="305"/>
      <c r="M394" s="490" t="e">
        <f t="shared" si="83"/>
        <v>#REF!</v>
      </c>
      <c r="N394" s="490"/>
      <c r="O394" s="1021"/>
      <c r="P394" s="305"/>
      <c r="Q394" s="490" t="e">
        <f t="shared" si="84"/>
        <v>#REF!</v>
      </c>
      <c r="R394" s="490"/>
      <c r="S394" s="1021"/>
      <c r="T394" s="305"/>
      <c r="U394" s="490" t="e">
        <f t="shared" si="85"/>
        <v>#REF!</v>
      </c>
      <c r="V394" s="7"/>
      <c r="W394" s="31"/>
      <c r="X394" s="31"/>
      <c r="Y394" s="31"/>
      <c r="Z394" s="7"/>
      <c r="AA394" s="7"/>
      <c r="AB394" s="7"/>
      <c r="AC394" s="7"/>
      <c r="AD394" s="7"/>
      <c r="AE394" s="7"/>
      <c r="AF394" s="7"/>
      <c r="AG394" s="7"/>
      <c r="AH394" s="7"/>
      <c r="AI394" s="7"/>
      <c r="AJ394" s="7"/>
      <c r="AK394" s="7"/>
      <c r="AL394" s="7"/>
      <c r="AM394" s="7"/>
      <c r="AN394" s="7"/>
      <c r="AO394" s="7"/>
      <c r="AP394" s="7"/>
      <c r="AR394" s="496"/>
    </row>
    <row r="395" spans="1:44">
      <c r="A395" s="305" t="s">
        <v>351</v>
      </c>
      <c r="B395" s="305"/>
      <c r="C395" s="1011">
        <f ca="1">C430+C465</f>
        <v>11778.668952023776</v>
      </c>
      <c r="D395" s="305"/>
      <c r="E395" s="305"/>
      <c r="F395" s="993">
        <f ca="1">F430+F465</f>
        <v>2289.9420988606521</v>
      </c>
      <c r="G395" s="305"/>
      <c r="H395" s="305"/>
      <c r="I395" s="993">
        <f ca="1">F395</f>
        <v>2289.9420988606521</v>
      </c>
      <c r="J395" s="723"/>
      <c r="K395" s="305"/>
      <c r="L395" s="305"/>
      <c r="M395" s="993" t="e">
        <f ca="1">M220/I220*I395</f>
        <v>#DIV/0!</v>
      </c>
      <c r="N395" s="723"/>
      <c r="O395" s="305"/>
      <c r="P395" s="305"/>
      <c r="Q395" s="993" t="e">
        <f ca="1">Q220/I220*I395</f>
        <v>#DIV/0!</v>
      </c>
      <c r="R395" s="723"/>
      <c r="S395" s="305"/>
      <c r="T395" s="305"/>
      <c r="U395" s="993" t="e">
        <f ca="1">U220/I220*I395</f>
        <v>#DIV/0!</v>
      </c>
      <c r="V395" s="714"/>
      <c r="W395" s="171"/>
      <c r="X395" s="31"/>
      <c r="Y395" s="31"/>
      <c r="Z395" s="7"/>
      <c r="AA395" s="7"/>
      <c r="AB395" s="7"/>
      <c r="AC395" s="7"/>
      <c r="AD395" s="7"/>
      <c r="AE395" s="7"/>
      <c r="AF395" s="7"/>
      <c r="AG395" s="7"/>
      <c r="AH395" s="7"/>
      <c r="AI395" s="7"/>
      <c r="AJ395" s="7"/>
      <c r="AK395" s="7"/>
      <c r="AL395" s="7"/>
      <c r="AM395" s="7"/>
      <c r="AN395" s="7"/>
      <c r="AO395" s="7"/>
      <c r="AP395" s="7"/>
      <c r="AR395" s="496"/>
    </row>
    <row r="396" spans="1:44" ht="16.5" thickBot="1">
      <c r="A396" s="305" t="s">
        <v>370</v>
      </c>
      <c r="B396" s="305"/>
      <c r="C396" s="1012">
        <f ca="1">SUM(C394:C395)</f>
        <v>1271209.8226719729</v>
      </c>
      <c r="D396" s="1036"/>
      <c r="E396" s="1030"/>
      <c r="F396" s="995">
        <f ca="1">F394+F395</f>
        <v>181675.94209886066</v>
      </c>
      <c r="G396" s="1036"/>
      <c r="H396" s="1030"/>
      <c r="I396" s="995">
        <f ca="1">I394+I395</f>
        <v>181687.94209886066</v>
      </c>
      <c r="J396" s="723"/>
      <c r="K396" s="1036"/>
      <c r="L396" s="1030"/>
      <c r="M396" s="995" t="e">
        <f ca="1">M394+M395</f>
        <v>#REF!</v>
      </c>
      <c r="N396" s="995"/>
      <c r="O396" s="1036"/>
      <c r="P396" s="1030"/>
      <c r="Q396" s="995" t="e">
        <f ca="1">Q394+Q395</f>
        <v>#REF!</v>
      </c>
      <c r="R396" s="995"/>
      <c r="S396" s="1036"/>
      <c r="T396" s="1030"/>
      <c r="U396" s="995" t="e">
        <f ca="1">U394+U395</f>
        <v>#REF!</v>
      </c>
      <c r="V396" s="295"/>
      <c r="W396" s="354"/>
      <c r="X396" s="31"/>
      <c r="Y396" s="31"/>
      <c r="Z396" s="7"/>
      <c r="AA396" s="7"/>
      <c r="AB396" s="7"/>
      <c r="AC396" s="7"/>
      <c r="AD396" s="7"/>
      <c r="AE396" s="7"/>
      <c r="AF396" s="7"/>
      <c r="AG396" s="7"/>
      <c r="AH396" s="7"/>
      <c r="AI396" s="7"/>
      <c r="AJ396" s="7"/>
      <c r="AK396" s="7"/>
      <c r="AL396" s="7"/>
      <c r="AM396" s="7"/>
      <c r="AN396" s="7"/>
      <c r="AO396" s="7"/>
      <c r="AP396" s="7"/>
      <c r="AR396" s="496"/>
    </row>
    <row r="397" spans="1:44" ht="16.5" thickTop="1">
      <c r="A397" s="305"/>
      <c r="B397" s="305"/>
      <c r="C397" s="61"/>
      <c r="D397" s="237"/>
      <c r="E397" s="305"/>
      <c r="F397" s="490"/>
      <c r="G397" s="237"/>
      <c r="H397" s="305"/>
      <c r="I397" s="490" t="s">
        <v>31</v>
      </c>
      <c r="J397" s="490"/>
      <c r="K397" s="237"/>
      <c r="L397" s="305"/>
      <c r="M397" s="490" t="s">
        <v>31</v>
      </c>
      <c r="N397" s="490"/>
      <c r="O397" s="237"/>
      <c r="P397" s="305"/>
      <c r="Q397" s="490" t="s">
        <v>31</v>
      </c>
      <c r="R397" s="490"/>
      <c r="S397" s="237"/>
      <c r="T397" s="305"/>
      <c r="U397" s="490" t="s">
        <v>31</v>
      </c>
      <c r="V397" s="7"/>
      <c r="W397" s="31"/>
      <c r="X397" s="31"/>
      <c r="Y397" s="31"/>
      <c r="Z397" s="7"/>
      <c r="AA397" s="7"/>
      <c r="AB397" s="7"/>
      <c r="AC397" s="7"/>
      <c r="AD397" s="7"/>
      <c r="AE397" s="7"/>
      <c r="AF397" s="7"/>
      <c r="AG397" s="7"/>
      <c r="AH397" s="7"/>
      <c r="AI397" s="7"/>
      <c r="AJ397" s="7"/>
      <c r="AK397" s="7"/>
      <c r="AL397" s="7"/>
      <c r="AM397" s="7"/>
      <c r="AN397" s="7"/>
      <c r="AO397" s="7"/>
      <c r="AP397" s="7"/>
      <c r="AR397" s="496"/>
    </row>
    <row r="398" spans="1:44">
      <c r="A398" s="305" t="s">
        <v>403</v>
      </c>
      <c r="B398" s="305"/>
      <c r="C398" s="305"/>
      <c r="D398" s="490"/>
      <c r="E398" s="305"/>
      <c r="F398" s="305"/>
      <c r="G398" s="490"/>
      <c r="H398" s="305"/>
      <c r="I398" s="305"/>
      <c r="J398" s="305"/>
      <c r="K398" s="490"/>
      <c r="L398" s="305"/>
      <c r="M398" s="305"/>
      <c r="N398" s="305"/>
      <c r="O398" s="490"/>
      <c r="P398" s="305"/>
      <c r="Q398" s="305"/>
      <c r="R398" s="305"/>
      <c r="S398" s="490"/>
      <c r="T398" s="305"/>
      <c r="U398" s="305"/>
      <c r="V398" s="7"/>
      <c r="W398" s="31"/>
      <c r="X398" s="31"/>
      <c r="Y398" s="31"/>
      <c r="Z398" s="7"/>
      <c r="AA398" s="7"/>
      <c r="AB398" s="7"/>
      <c r="AC398" s="7"/>
      <c r="AD398" s="7"/>
      <c r="AE398" s="7"/>
      <c r="AF398" s="7"/>
      <c r="AG398" s="7"/>
      <c r="AH398" s="7"/>
      <c r="AI398" s="7"/>
      <c r="AJ398" s="7"/>
      <c r="AK398" s="7"/>
      <c r="AL398" s="7"/>
      <c r="AM398" s="7"/>
      <c r="AN398" s="7"/>
      <c r="AO398" s="7"/>
      <c r="AP398" s="7"/>
      <c r="AR398" s="496"/>
    </row>
    <row r="399" spans="1:44">
      <c r="A399" s="305" t="s">
        <v>399</v>
      </c>
      <c r="B399" s="305"/>
      <c r="C399" s="305"/>
      <c r="D399" s="490"/>
      <c r="E399" s="305"/>
      <c r="F399" s="305"/>
      <c r="G399" s="490"/>
      <c r="H399" s="305"/>
      <c r="I399" s="305"/>
      <c r="J399" s="305"/>
      <c r="K399" s="490"/>
      <c r="L399" s="305"/>
      <c r="M399" s="305"/>
      <c r="N399" s="305"/>
      <c r="O399" s="490"/>
      <c r="P399" s="305"/>
      <c r="Q399" s="305"/>
      <c r="R399" s="305"/>
      <c r="S399" s="490"/>
      <c r="T399" s="305"/>
      <c r="U399" s="305"/>
      <c r="V399" s="7"/>
      <c r="W399" s="31"/>
      <c r="X399" s="31"/>
      <c r="Y399" s="31"/>
      <c r="Z399" s="7"/>
      <c r="AA399" s="7"/>
      <c r="AB399" s="7"/>
      <c r="AC399" s="7"/>
      <c r="AD399" s="7"/>
      <c r="AE399" s="7"/>
      <c r="AF399" s="7"/>
      <c r="AG399" s="7"/>
      <c r="AH399" s="7"/>
      <c r="AI399" s="7"/>
      <c r="AJ399" s="7"/>
      <c r="AK399" s="7"/>
      <c r="AL399" s="7"/>
      <c r="AM399" s="7"/>
      <c r="AN399" s="7"/>
      <c r="AO399" s="7"/>
      <c r="AP399" s="7"/>
      <c r="AR399" s="496"/>
    </row>
    <row r="400" spans="1:44">
      <c r="A400" s="305"/>
      <c r="B400" s="305"/>
      <c r="C400" s="305"/>
      <c r="D400" s="490"/>
      <c r="E400" s="305"/>
      <c r="F400" s="305"/>
      <c r="G400" s="490"/>
      <c r="H400" s="305"/>
      <c r="I400" s="305"/>
      <c r="J400" s="305"/>
      <c r="K400" s="490"/>
      <c r="L400" s="305"/>
      <c r="M400" s="305"/>
      <c r="N400" s="305"/>
      <c r="O400" s="490"/>
      <c r="P400" s="305"/>
      <c r="Q400" s="305"/>
      <c r="R400" s="305"/>
      <c r="S400" s="490"/>
      <c r="T400" s="305"/>
      <c r="U400" s="305"/>
      <c r="V400" s="7"/>
      <c r="W400" s="31"/>
      <c r="X400" s="31"/>
      <c r="Y400" s="31"/>
      <c r="Z400" s="7"/>
      <c r="AA400" s="7"/>
      <c r="AB400" s="7"/>
      <c r="AC400" s="7"/>
      <c r="AD400" s="7"/>
      <c r="AE400" s="7"/>
      <c r="AF400" s="7"/>
      <c r="AG400" s="7"/>
      <c r="AH400" s="7"/>
      <c r="AI400" s="7"/>
      <c r="AJ400" s="7"/>
      <c r="AK400" s="7"/>
      <c r="AL400" s="7"/>
      <c r="AM400" s="7"/>
      <c r="AN400" s="7"/>
      <c r="AO400" s="7"/>
      <c r="AP400" s="7"/>
      <c r="AR400" s="496"/>
    </row>
    <row r="401" spans="1:44">
      <c r="A401" s="305" t="s">
        <v>381</v>
      </c>
      <c r="B401" s="305"/>
      <c r="C401" s="61"/>
      <c r="D401" s="490"/>
      <c r="E401" s="305"/>
      <c r="F401" s="305"/>
      <c r="G401" s="490"/>
      <c r="H401" s="305"/>
      <c r="I401" s="305"/>
      <c r="J401" s="305"/>
      <c r="K401" s="490"/>
      <c r="L401" s="305"/>
      <c r="M401" s="305"/>
      <c r="N401" s="305"/>
      <c r="O401" s="490"/>
      <c r="P401" s="305"/>
      <c r="Q401" s="305"/>
      <c r="R401" s="305"/>
      <c r="S401" s="490"/>
      <c r="T401" s="305"/>
      <c r="U401" s="305"/>
      <c r="V401" s="7"/>
      <c r="W401" s="31"/>
      <c r="X401" s="31"/>
      <c r="Y401" s="31"/>
      <c r="Z401" s="7"/>
      <c r="AA401" s="7"/>
      <c r="AB401" s="7"/>
      <c r="AC401" s="7"/>
      <c r="AD401" s="7"/>
      <c r="AE401" s="7"/>
      <c r="AF401" s="7"/>
      <c r="AG401" s="7"/>
      <c r="AH401" s="7"/>
      <c r="AI401" s="7"/>
      <c r="AJ401" s="7"/>
      <c r="AK401" s="7"/>
      <c r="AL401" s="7"/>
      <c r="AM401" s="7"/>
      <c r="AN401" s="7"/>
      <c r="AO401" s="7"/>
      <c r="AP401" s="7"/>
      <c r="AR401" s="496"/>
    </row>
    <row r="402" spans="1:44">
      <c r="A402" s="305" t="s">
        <v>404</v>
      </c>
      <c r="B402" s="305"/>
      <c r="C402" s="61">
        <v>3912.0001738685801</v>
      </c>
      <c r="D402" s="448">
        <f>$D$189</f>
        <v>9.99</v>
      </c>
      <c r="E402" s="305"/>
      <c r="F402" s="490">
        <f>ROUND(D402*$C402,0)</f>
        <v>39081</v>
      </c>
      <c r="G402" s="448">
        <f>$G$189</f>
        <v>9.99</v>
      </c>
      <c r="H402" s="305"/>
      <c r="I402" s="490">
        <f>ROUND(G402*$C402,0)</f>
        <v>39081</v>
      </c>
      <c r="J402" s="490"/>
      <c r="K402" s="448" t="e">
        <f>$K$189</f>
        <v>#REF!</v>
      </c>
      <c r="L402" s="305"/>
      <c r="M402" s="490" t="e">
        <f>ROUND(K402*$C402,0)</f>
        <v>#REF!</v>
      </c>
      <c r="N402" s="490"/>
      <c r="O402" s="448" t="e">
        <f>$O$189</f>
        <v>#REF!</v>
      </c>
      <c r="P402" s="305"/>
      <c r="Q402" s="490" t="e">
        <f>ROUND(O402*$C402,0)</f>
        <v>#REF!</v>
      </c>
      <c r="R402" s="490"/>
      <c r="S402" s="448" t="e">
        <f>$S$189</f>
        <v>#REF!</v>
      </c>
      <c r="T402" s="305"/>
      <c r="U402" s="490" t="e">
        <f>ROUND(S402*$C402,0)</f>
        <v>#REF!</v>
      </c>
      <c r="V402" s="7"/>
      <c r="W402" s="31"/>
      <c r="X402" s="31"/>
      <c r="Y402" s="31"/>
      <c r="Z402" s="7"/>
      <c r="AA402" s="7"/>
      <c r="AB402" s="7"/>
      <c r="AC402" s="7"/>
      <c r="AD402" s="7"/>
      <c r="AE402" s="7"/>
      <c r="AF402" s="7"/>
      <c r="AG402" s="7"/>
      <c r="AH402" s="7"/>
      <c r="AI402" s="7"/>
      <c r="AJ402" s="7"/>
      <c r="AK402" s="7"/>
      <c r="AL402" s="7"/>
      <c r="AM402" s="7"/>
      <c r="AN402" s="7"/>
      <c r="AO402" s="7"/>
      <c r="AP402" s="7"/>
      <c r="AR402" s="496"/>
    </row>
    <row r="403" spans="1:44">
      <c r="A403" s="305" t="s">
        <v>379</v>
      </c>
      <c r="B403" s="305"/>
      <c r="C403" s="61">
        <v>0</v>
      </c>
      <c r="D403" s="448">
        <f>$D$190</f>
        <v>14.89</v>
      </c>
      <c r="E403" s="1004"/>
      <c r="F403" s="490">
        <f t="shared" ref="F403:F404" si="87">ROUND(D403*$C403,0)</f>
        <v>0</v>
      </c>
      <c r="G403" s="448">
        <f>$G$190</f>
        <v>14.89</v>
      </c>
      <c r="H403" s="1004"/>
      <c r="I403" s="490">
        <f>ROUND(G403*$C403,0)</f>
        <v>0</v>
      </c>
      <c r="J403" s="490"/>
      <c r="K403" s="448" t="e">
        <f>$K$190</f>
        <v>#REF!</v>
      </c>
      <c r="L403" s="1004"/>
      <c r="M403" s="490" t="e">
        <f>ROUND(K403*$C403,0)</f>
        <v>#REF!</v>
      </c>
      <c r="N403" s="490"/>
      <c r="O403" s="448" t="e">
        <f>$O$190</f>
        <v>#REF!</v>
      </c>
      <c r="P403" s="1004"/>
      <c r="Q403" s="490" t="e">
        <f>ROUND(O403*$C403,0)</f>
        <v>#REF!</v>
      </c>
      <c r="R403" s="490"/>
      <c r="S403" s="448" t="e">
        <f>$S$190</f>
        <v>#REF!</v>
      </c>
      <c r="T403" s="1004"/>
      <c r="U403" s="490" t="e">
        <f>ROUND(S403*$C403,0)</f>
        <v>#REF!</v>
      </c>
      <c r="V403" s="7"/>
      <c r="W403" s="31"/>
      <c r="X403" s="31"/>
      <c r="Y403" s="31"/>
      <c r="Z403" s="7"/>
      <c r="AA403" s="7"/>
      <c r="AB403" s="7"/>
      <c r="AC403" s="7"/>
      <c r="AD403" s="7"/>
      <c r="AE403" s="7"/>
      <c r="AF403" s="7"/>
      <c r="AG403" s="7"/>
      <c r="AH403" s="7"/>
      <c r="AI403" s="7"/>
      <c r="AJ403" s="7"/>
      <c r="AK403" s="7"/>
      <c r="AL403" s="7"/>
      <c r="AM403" s="7"/>
      <c r="AN403" s="7"/>
      <c r="AO403" s="7"/>
      <c r="AP403" s="7"/>
      <c r="AR403" s="496"/>
    </row>
    <row r="404" spans="1:44">
      <c r="A404" s="305" t="s">
        <v>380</v>
      </c>
      <c r="B404" s="305"/>
      <c r="C404" s="61">
        <v>0</v>
      </c>
      <c r="D404" s="448">
        <f>$D$191</f>
        <v>1.04</v>
      </c>
      <c r="E404" s="1004"/>
      <c r="F404" s="490">
        <f t="shared" si="87"/>
        <v>0</v>
      </c>
      <c r="G404" s="448">
        <f>$G$191</f>
        <v>1.04</v>
      </c>
      <c r="H404" s="1004"/>
      <c r="I404" s="490">
        <f>ROUND(G404*$C404,0)</f>
        <v>0</v>
      </c>
      <c r="J404" s="490"/>
      <c r="K404" s="448" t="e">
        <f>$K$191</f>
        <v>#REF!</v>
      </c>
      <c r="L404" s="1004"/>
      <c r="M404" s="490" t="e">
        <f>ROUND(K404*$C404,0)</f>
        <v>#REF!</v>
      </c>
      <c r="N404" s="490"/>
      <c r="O404" s="448" t="e">
        <f>$O$191</f>
        <v>#REF!</v>
      </c>
      <c r="P404" s="1004"/>
      <c r="Q404" s="490" t="e">
        <f>ROUND(O404*$C404,0)</f>
        <v>#REF!</v>
      </c>
      <c r="R404" s="490"/>
      <c r="S404" s="448" t="e">
        <f>$S$191</f>
        <v>#REF!</v>
      </c>
      <c r="T404" s="1004"/>
      <c r="U404" s="490" t="e">
        <f>ROUND(S404*$C404,0)</f>
        <v>#REF!</v>
      </c>
      <c r="V404" s="7"/>
      <c r="W404" s="31"/>
      <c r="X404" s="31"/>
      <c r="Y404" s="31"/>
      <c r="Z404" s="7"/>
      <c r="AA404" s="7"/>
      <c r="AB404" s="7"/>
      <c r="AC404" s="7"/>
      <c r="AD404" s="7"/>
      <c r="AE404" s="7"/>
      <c r="AF404" s="7"/>
      <c r="AG404" s="7"/>
      <c r="AH404" s="7"/>
      <c r="AI404" s="7"/>
      <c r="AJ404" s="7"/>
      <c r="AK404" s="7"/>
      <c r="AL404" s="7"/>
      <c r="AM404" s="7"/>
      <c r="AN404" s="7"/>
      <c r="AO404" s="7"/>
      <c r="AP404" s="7"/>
      <c r="AR404" s="496"/>
    </row>
    <row r="405" spans="1:44">
      <c r="A405" s="305" t="s">
        <v>382</v>
      </c>
      <c r="B405" s="305"/>
      <c r="C405" s="61">
        <f>SUM(C402:C403)</f>
        <v>3912.0001738685801</v>
      </c>
      <c r="D405" s="448"/>
      <c r="E405" s="305"/>
      <c r="F405" s="490"/>
      <c r="G405" s="448"/>
      <c r="H405" s="305"/>
      <c r="I405" s="490"/>
      <c r="J405" s="490"/>
      <c r="K405" s="448"/>
      <c r="L405" s="305"/>
      <c r="M405" s="490"/>
      <c r="N405" s="490"/>
      <c r="O405" s="448"/>
      <c r="P405" s="305"/>
      <c r="Q405" s="490"/>
      <c r="R405" s="490"/>
      <c r="S405" s="448"/>
      <c r="T405" s="305"/>
      <c r="U405" s="490"/>
      <c r="V405" s="7"/>
      <c r="W405" s="31"/>
      <c r="X405" s="31"/>
      <c r="Y405" s="31"/>
      <c r="Z405" s="7"/>
      <c r="AA405" s="7"/>
      <c r="AB405" s="7"/>
      <c r="AC405" s="7"/>
      <c r="AD405" s="7"/>
      <c r="AE405" s="7"/>
      <c r="AF405" s="7"/>
      <c r="AG405" s="7"/>
      <c r="AH405" s="7"/>
      <c r="AI405" s="7"/>
      <c r="AJ405" s="7"/>
      <c r="AK405" s="7"/>
      <c r="AL405" s="7"/>
      <c r="AM405" s="7"/>
      <c r="AN405" s="7"/>
      <c r="AO405" s="7"/>
      <c r="AP405" s="7"/>
      <c r="AR405" s="496"/>
    </row>
    <row r="406" spans="1:44">
      <c r="A406" s="305" t="s">
        <v>350</v>
      </c>
      <c r="B406" s="305"/>
      <c r="C406" s="61">
        <v>1323.2</v>
      </c>
      <c r="D406" s="448"/>
      <c r="E406" s="305"/>
      <c r="F406" s="490"/>
      <c r="G406" s="448"/>
      <c r="H406" s="305"/>
      <c r="I406" s="490"/>
      <c r="J406" s="490"/>
      <c r="K406" s="448"/>
      <c r="L406" s="305"/>
      <c r="M406" s="490"/>
      <c r="N406" s="490"/>
      <c r="O406" s="448"/>
      <c r="P406" s="305"/>
      <c r="Q406" s="490"/>
      <c r="R406" s="490"/>
      <c r="S406" s="448"/>
      <c r="T406" s="305"/>
      <c r="U406" s="490"/>
      <c r="V406" s="7"/>
      <c r="W406" s="31"/>
      <c r="X406" s="31"/>
      <c r="Y406" s="31"/>
      <c r="Z406" s="7"/>
      <c r="AA406" s="7"/>
      <c r="AB406" s="7"/>
      <c r="AC406" s="7"/>
      <c r="AD406" s="7"/>
      <c r="AE406" s="7"/>
      <c r="AF406" s="7"/>
      <c r="AG406" s="7"/>
      <c r="AH406" s="7"/>
      <c r="AI406" s="7"/>
      <c r="AJ406" s="7"/>
      <c r="AK406" s="7"/>
      <c r="AL406" s="7"/>
      <c r="AM406" s="7"/>
      <c r="AN406" s="7"/>
      <c r="AO406" s="7"/>
      <c r="AP406" s="7"/>
      <c r="AR406" s="496"/>
    </row>
    <row r="407" spans="1:44">
      <c r="A407" s="305" t="s">
        <v>383</v>
      </c>
      <c r="B407" s="305"/>
      <c r="C407" s="61">
        <v>0</v>
      </c>
      <c r="D407" s="237">
        <f>$D$194</f>
        <v>3.8</v>
      </c>
      <c r="E407" s="305"/>
      <c r="F407" s="490">
        <f>ROUND(D407*C407,0)</f>
        <v>0</v>
      </c>
      <c r="G407" s="237">
        <f>$G$194</f>
        <v>3.8099999999999996</v>
      </c>
      <c r="H407" s="305"/>
      <c r="I407" s="490">
        <f>ROUND(G407*$C407,0)</f>
        <v>0</v>
      </c>
      <c r="J407" s="490"/>
      <c r="K407" s="237" t="e">
        <f>$K$194</f>
        <v>#REF!</v>
      </c>
      <c r="L407" s="305"/>
      <c r="M407" s="490" t="e">
        <f>ROUND(K407*$C407,0)</f>
        <v>#REF!</v>
      </c>
      <c r="N407" s="490"/>
      <c r="O407" s="237" t="e">
        <f>$O$194</f>
        <v>#REF!</v>
      </c>
      <c r="P407" s="305"/>
      <c r="Q407" s="490" t="e">
        <f>ROUND(O407*$C407,0)</f>
        <v>#REF!</v>
      </c>
      <c r="R407" s="490"/>
      <c r="S407" s="237" t="e">
        <f>$S$194</f>
        <v>#REF!</v>
      </c>
      <c r="T407" s="305"/>
      <c r="U407" s="490" t="e">
        <f>ROUND(S407*$C407,0)</f>
        <v>#REF!</v>
      </c>
      <c r="V407" s="7"/>
      <c r="W407" s="31"/>
      <c r="X407" s="31"/>
      <c r="Y407" s="31"/>
      <c r="Z407" s="7"/>
      <c r="AA407" s="7"/>
      <c r="AB407" s="7"/>
      <c r="AC407" s="7"/>
      <c r="AD407" s="7"/>
      <c r="AE407" s="7"/>
      <c r="AF407" s="7"/>
      <c r="AG407" s="7"/>
      <c r="AH407" s="7"/>
      <c r="AI407" s="7"/>
      <c r="AJ407" s="7"/>
      <c r="AK407" s="7"/>
      <c r="AL407" s="7"/>
      <c r="AM407" s="7"/>
      <c r="AN407" s="7"/>
      <c r="AO407" s="7"/>
      <c r="AP407" s="7"/>
      <c r="AR407" s="496"/>
    </row>
    <row r="408" spans="1:44">
      <c r="A408" s="305" t="s">
        <v>385</v>
      </c>
      <c r="B408" s="305"/>
      <c r="C408" s="61">
        <v>1171087.1537199491</v>
      </c>
      <c r="D408" s="1006">
        <f>$D$195</f>
        <v>10.878</v>
      </c>
      <c r="E408" s="305" t="s">
        <v>362</v>
      </c>
      <c r="F408" s="490">
        <f>ROUND(D408*C408/100,0)</f>
        <v>127391</v>
      </c>
      <c r="G408" s="1006">
        <f>$G$195</f>
        <v>10.879</v>
      </c>
      <c r="H408" s="305" t="s">
        <v>362</v>
      </c>
      <c r="I408" s="490">
        <f>ROUND(G408*$C408/100,0)</f>
        <v>127403</v>
      </c>
      <c r="J408" s="490"/>
      <c r="K408" s="1006" t="e">
        <f>$K$195</f>
        <v>#REF!</v>
      </c>
      <c r="L408" s="305" t="s">
        <v>362</v>
      </c>
      <c r="M408" s="490" t="e">
        <f>ROUND(K408*$C408/100,0)</f>
        <v>#REF!</v>
      </c>
      <c r="N408" s="490"/>
      <c r="O408" s="1006" t="e">
        <f>$O$195</f>
        <v>#REF!</v>
      </c>
      <c r="P408" s="305" t="s">
        <v>362</v>
      </c>
      <c r="Q408" s="490" t="e">
        <f>ROUND(O408*$C408/100,0)</f>
        <v>#REF!</v>
      </c>
      <c r="R408" s="490"/>
      <c r="S408" s="1006" t="e">
        <f>$S$195</f>
        <v>#REF!</v>
      </c>
      <c r="T408" s="305" t="s">
        <v>362</v>
      </c>
      <c r="U408" s="490" t="e">
        <f>ROUND(S408*$C408/100,0)</f>
        <v>#REF!</v>
      </c>
      <c r="V408" s="7"/>
      <c r="W408" s="31"/>
      <c r="X408" s="31"/>
      <c r="Y408" s="31"/>
      <c r="Z408" s="7"/>
      <c r="AA408" s="7"/>
      <c r="AB408" s="7"/>
      <c r="AC408" s="7"/>
      <c r="AD408" s="7"/>
      <c r="AE408" s="7"/>
      <c r="AF408" s="7"/>
      <c r="AG408" s="7"/>
      <c r="AH408" s="7"/>
      <c r="AI408" s="7"/>
      <c r="AJ408" s="7"/>
      <c r="AK408" s="7"/>
      <c r="AL408" s="7"/>
      <c r="AM408" s="7"/>
      <c r="AN408" s="7"/>
      <c r="AO408" s="7"/>
      <c r="AP408" s="7"/>
      <c r="AR408" s="496"/>
    </row>
    <row r="409" spans="1:44">
      <c r="A409" s="305" t="s">
        <v>386</v>
      </c>
      <c r="B409" s="61"/>
      <c r="C409" s="61">
        <v>55032</v>
      </c>
      <c r="D409" s="1006">
        <f>$D$196</f>
        <v>7.5140000000000002</v>
      </c>
      <c r="E409" s="305" t="s">
        <v>362</v>
      </c>
      <c r="F409" s="490">
        <f>ROUND(D409*C409/100,0)</f>
        <v>4135</v>
      </c>
      <c r="G409" s="1006">
        <f>$G$196</f>
        <v>7.5140000000000002</v>
      </c>
      <c r="H409" s="305" t="s">
        <v>362</v>
      </c>
      <c r="I409" s="490">
        <f>ROUND(G409*$C409/100,0)</f>
        <v>4135</v>
      </c>
      <c r="J409" s="490"/>
      <c r="K409" s="1006" t="e">
        <f>$K$196</f>
        <v>#REF!</v>
      </c>
      <c r="L409" s="305" t="s">
        <v>362</v>
      </c>
      <c r="M409" s="490" t="e">
        <f>ROUND(K409*$C409/100,0)</f>
        <v>#REF!</v>
      </c>
      <c r="N409" s="490"/>
      <c r="O409" s="1006" t="e">
        <f>$O$196</f>
        <v>#REF!</v>
      </c>
      <c r="P409" s="305" t="s">
        <v>362</v>
      </c>
      <c r="Q409" s="490" t="e">
        <f>ROUND(O409*$C409/100,0)</f>
        <v>#REF!</v>
      </c>
      <c r="R409" s="490"/>
      <c r="S409" s="1006" t="e">
        <f>$S$196</f>
        <v>#REF!</v>
      </c>
      <c r="T409" s="305" t="s">
        <v>362</v>
      </c>
      <c r="U409" s="490" t="e">
        <f>ROUND(S409*$C409/100,0)</f>
        <v>#REF!</v>
      </c>
      <c r="V409" s="7"/>
      <c r="W409" s="31"/>
      <c r="X409" s="31"/>
      <c r="Y409" s="31"/>
      <c r="Z409" s="7"/>
      <c r="AA409" s="7"/>
      <c r="AB409" s="7"/>
      <c r="AC409" s="7"/>
      <c r="AD409" s="7"/>
      <c r="AE409" s="7"/>
      <c r="AF409" s="7"/>
      <c r="AG409" s="7"/>
      <c r="AH409" s="7"/>
      <c r="AI409" s="7"/>
      <c r="AJ409" s="7"/>
      <c r="AK409" s="7"/>
      <c r="AL409" s="7"/>
      <c r="AM409" s="7"/>
      <c r="AN409" s="7"/>
      <c r="AO409" s="7"/>
      <c r="AP409" s="7"/>
      <c r="AR409" s="496"/>
    </row>
    <row r="410" spans="1:44">
      <c r="A410" s="305" t="s">
        <v>387</v>
      </c>
      <c r="B410" s="305"/>
      <c r="C410" s="61">
        <v>0</v>
      </c>
      <c r="D410" s="1006">
        <f>$D$197</f>
        <v>6.4720000000000004</v>
      </c>
      <c r="E410" s="305" t="s">
        <v>362</v>
      </c>
      <c r="F410" s="490">
        <f>ROUND(D410*C410/100,0)</f>
        <v>0</v>
      </c>
      <c r="G410" s="1006">
        <f>$G$197</f>
        <v>6.4720000000000004</v>
      </c>
      <c r="H410" s="305" t="s">
        <v>362</v>
      </c>
      <c r="I410" s="490">
        <f>ROUND(G410*$C410/100,0)</f>
        <v>0</v>
      </c>
      <c r="J410" s="490"/>
      <c r="K410" s="1006" t="e">
        <f>$K$197</f>
        <v>#REF!</v>
      </c>
      <c r="L410" s="305" t="s">
        <v>362</v>
      </c>
      <c r="M410" s="490" t="e">
        <f>ROUND(K410*$C410/100,0)</f>
        <v>#REF!</v>
      </c>
      <c r="N410" s="490"/>
      <c r="O410" s="1006" t="e">
        <f>$O$197</f>
        <v>#REF!</v>
      </c>
      <c r="P410" s="305" t="s">
        <v>362</v>
      </c>
      <c r="Q410" s="490" t="e">
        <f>ROUND(O410*$C410/100,0)</f>
        <v>#REF!</v>
      </c>
      <c r="R410" s="490"/>
      <c r="S410" s="1006" t="e">
        <f>$S$197</f>
        <v>#REF!</v>
      </c>
      <c r="T410" s="305" t="s">
        <v>362</v>
      </c>
      <c r="U410" s="490" t="e">
        <f>ROUND(S410*$C410/100,0)</f>
        <v>#REF!</v>
      </c>
      <c r="V410" s="7"/>
      <c r="W410" s="31"/>
      <c r="X410" s="31"/>
      <c r="Y410" s="31"/>
      <c r="Z410" s="7"/>
      <c r="AA410" s="7"/>
      <c r="AB410" s="7"/>
      <c r="AC410" s="7"/>
      <c r="AD410" s="7"/>
      <c r="AE410" s="7"/>
      <c r="AF410" s="7"/>
      <c r="AG410" s="7"/>
      <c r="AH410" s="7"/>
      <c r="AI410" s="7"/>
      <c r="AJ410" s="7"/>
      <c r="AK410" s="7"/>
      <c r="AL410" s="7"/>
      <c r="AM410" s="7"/>
      <c r="AN410" s="7"/>
      <c r="AO410" s="7"/>
      <c r="AP410" s="7"/>
      <c r="AR410" s="496"/>
    </row>
    <row r="411" spans="1:44">
      <c r="A411" s="305" t="s">
        <v>388</v>
      </c>
      <c r="B411" s="305"/>
      <c r="C411" s="61">
        <v>0</v>
      </c>
      <c r="D411" s="237">
        <f>$D$198</f>
        <v>58</v>
      </c>
      <c r="E411" s="305" t="s">
        <v>362</v>
      </c>
      <c r="F411" s="490">
        <f>ROUND(D411*C411/100,0)</f>
        <v>0</v>
      </c>
      <c r="G411" s="1021">
        <f>$G$198</f>
        <v>58</v>
      </c>
      <c r="H411" s="305" t="s">
        <v>362</v>
      </c>
      <c r="I411" s="490">
        <f>ROUND(G411*$C411/100,0)</f>
        <v>0</v>
      </c>
      <c r="J411" s="490"/>
      <c r="K411" s="1021" t="e">
        <f>$K$198</f>
        <v>#REF!</v>
      </c>
      <c r="L411" s="305" t="s">
        <v>362</v>
      </c>
      <c r="M411" s="490" t="e">
        <f>ROUND(K411*$C411/100,0)</f>
        <v>#REF!</v>
      </c>
      <c r="N411" s="490"/>
      <c r="O411" s="1021" t="e">
        <f>$O$198</f>
        <v>#REF!</v>
      </c>
      <c r="P411" s="305" t="s">
        <v>362</v>
      </c>
      <c r="Q411" s="490" t="e">
        <f>ROUND(O411*$C411/100,0)</f>
        <v>#REF!</v>
      </c>
      <c r="R411" s="490"/>
      <c r="S411" s="1021" t="e">
        <f>$S$198</f>
        <v>#REF!</v>
      </c>
      <c r="T411" s="305" t="s">
        <v>362</v>
      </c>
      <c r="U411" s="490" t="e">
        <f>ROUND(S411*$C411/100,0)</f>
        <v>#REF!</v>
      </c>
      <c r="V411" s="7"/>
      <c r="W411" s="31"/>
      <c r="X411" s="31"/>
      <c r="Y411" s="31"/>
      <c r="Z411" s="7"/>
      <c r="AA411" s="7"/>
      <c r="AB411" s="7"/>
      <c r="AC411" s="7"/>
      <c r="AD411" s="7"/>
      <c r="AE411" s="7"/>
      <c r="AF411" s="7"/>
      <c r="AG411" s="7"/>
      <c r="AH411" s="7"/>
      <c r="AI411" s="7"/>
      <c r="AJ411" s="7"/>
      <c r="AK411" s="7"/>
      <c r="AL411" s="7"/>
      <c r="AM411" s="7"/>
      <c r="AN411" s="7"/>
      <c r="AO411" s="7"/>
      <c r="AP411" s="7"/>
      <c r="AR411" s="496"/>
    </row>
    <row r="412" spans="1:44" s="588" customFormat="1" hidden="1">
      <c r="A412" s="588" t="s">
        <v>771</v>
      </c>
      <c r="C412" s="631">
        <f>C408</f>
        <v>1171087.1537199491</v>
      </c>
      <c r="D412" s="990">
        <v>0</v>
      </c>
      <c r="E412" s="635"/>
      <c r="F412" s="616"/>
      <c r="G412" s="987">
        <f>G199</f>
        <v>0</v>
      </c>
      <c r="H412" s="592" t="s">
        <v>362</v>
      </c>
      <c r="I412" s="616">
        <f t="shared" ref="I412:I414" si="88">ROUND(G412*$C412/100,0)</f>
        <v>0</v>
      </c>
      <c r="J412" s="616"/>
      <c r="K412" s="987" t="e">
        <f>K199</f>
        <v>#REF!</v>
      </c>
      <c r="L412" s="592" t="s">
        <v>362</v>
      </c>
      <c r="M412" s="616" t="e">
        <f t="shared" ref="M412:M414" si="89">ROUND(K412*$C412/100,0)</f>
        <v>#REF!</v>
      </c>
      <c r="N412" s="616"/>
      <c r="O412" s="987" t="e">
        <f>O199</f>
        <v>#REF!</v>
      </c>
      <c r="P412" s="592" t="s">
        <v>362</v>
      </c>
      <c r="Q412" s="616" t="e">
        <f t="shared" ref="Q412:Q414" si="90">ROUND(O412*$C412/100,0)</f>
        <v>#REF!</v>
      </c>
      <c r="R412" s="616"/>
      <c r="S412" s="987" t="e">
        <f>S199</f>
        <v>#REF!</v>
      </c>
      <c r="T412" s="592" t="s">
        <v>362</v>
      </c>
      <c r="U412" s="616" t="e">
        <f t="shared" ref="U412:U414" si="91">ROUND(S412*$C412/100,0)</f>
        <v>#REF!</v>
      </c>
      <c r="W412" s="450"/>
      <c r="Z412" s="989"/>
      <c r="AA412" s="989"/>
      <c r="AF412" s="635"/>
      <c r="AG412" s="635"/>
      <c r="AH412" s="635"/>
      <c r="AI412" s="635"/>
      <c r="AJ412" s="635"/>
      <c r="AK412" s="635"/>
      <c r="AL412" s="635"/>
      <c r="AM412" s="635"/>
      <c r="AN412" s="635"/>
      <c r="AO412" s="635"/>
      <c r="AP412" s="635"/>
      <c r="AR412" s="988"/>
    </row>
    <row r="413" spans="1:44" s="588" customFormat="1" hidden="1">
      <c r="A413" s="588" t="s">
        <v>772</v>
      </c>
      <c r="C413" s="631">
        <f>C409</f>
        <v>55032</v>
      </c>
      <c r="D413" s="990">
        <v>0</v>
      </c>
      <c r="E413" s="635"/>
      <c r="F413" s="616"/>
      <c r="G413" s="987">
        <f>G200</f>
        <v>0</v>
      </c>
      <c r="H413" s="592" t="s">
        <v>362</v>
      </c>
      <c r="I413" s="616">
        <f t="shared" si="88"/>
        <v>0</v>
      </c>
      <c r="J413" s="616"/>
      <c r="K413" s="987" t="e">
        <f>K200</f>
        <v>#REF!</v>
      </c>
      <c r="L413" s="592" t="s">
        <v>362</v>
      </c>
      <c r="M413" s="616" t="e">
        <f t="shared" si="89"/>
        <v>#REF!</v>
      </c>
      <c r="N413" s="616"/>
      <c r="O413" s="987" t="e">
        <f>O200</f>
        <v>#REF!</v>
      </c>
      <c r="P413" s="592" t="s">
        <v>362</v>
      </c>
      <c r="Q413" s="616" t="e">
        <f t="shared" si="90"/>
        <v>#REF!</v>
      </c>
      <c r="R413" s="616"/>
      <c r="S413" s="987" t="e">
        <f>S200</f>
        <v>#REF!</v>
      </c>
      <c r="T413" s="592" t="s">
        <v>362</v>
      </c>
      <c r="U413" s="616" t="e">
        <f t="shared" si="91"/>
        <v>#REF!</v>
      </c>
      <c r="W413" s="450"/>
      <c r="Z413" s="989"/>
      <c r="AA413" s="989"/>
      <c r="AF413" s="635"/>
      <c r="AG413" s="635"/>
      <c r="AH413" s="635"/>
      <c r="AI413" s="635"/>
      <c r="AJ413" s="635"/>
      <c r="AK413" s="635"/>
      <c r="AL413" s="635"/>
      <c r="AM413" s="635"/>
      <c r="AN413" s="635"/>
      <c r="AO413" s="635"/>
      <c r="AP413" s="635"/>
      <c r="AR413" s="988"/>
    </row>
    <row r="414" spans="1:44" s="588" customFormat="1" hidden="1">
      <c r="A414" s="588" t="s">
        <v>773</v>
      </c>
      <c r="C414" s="631">
        <f>C410</f>
        <v>0</v>
      </c>
      <c r="D414" s="990">
        <v>0</v>
      </c>
      <c r="E414" s="635"/>
      <c r="F414" s="616"/>
      <c r="G414" s="987">
        <f>G201</f>
        <v>0</v>
      </c>
      <c r="H414" s="592" t="s">
        <v>362</v>
      </c>
      <c r="I414" s="616">
        <f t="shared" si="88"/>
        <v>0</v>
      </c>
      <c r="J414" s="616"/>
      <c r="K414" s="987" t="e">
        <f>K201</f>
        <v>#REF!</v>
      </c>
      <c r="L414" s="592" t="s">
        <v>362</v>
      </c>
      <c r="M414" s="616" t="e">
        <f t="shared" si="89"/>
        <v>#REF!</v>
      </c>
      <c r="N414" s="616"/>
      <c r="O414" s="987" t="e">
        <f>O201</f>
        <v>#REF!</v>
      </c>
      <c r="P414" s="592" t="s">
        <v>362</v>
      </c>
      <c r="Q414" s="616" t="e">
        <f t="shared" si="90"/>
        <v>#REF!</v>
      </c>
      <c r="R414" s="616"/>
      <c r="S414" s="987" t="e">
        <f>S201</f>
        <v>#REF!</v>
      </c>
      <c r="T414" s="592" t="s">
        <v>362</v>
      </c>
      <c r="U414" s="616" t="e">
        <f t="shared" si="91"/>
        <v>#REF!</v>
      </c>
      <c r="W414" s="450"/>
      <c r="Z414" s="989"/>
      <c r="AA414" s="989"/>
      <c r="AF414" s="635"/>
      <c r="AG414" s="635"/>
      <c r="AH414" s="635"/>
      <c r="AI414" s="635"/>
      <c r="AJ414" s="635"/>
      <c r="AK414" s="635"/>
      <c r="AL414" s="635"/>
      <c r="AM414" s="635"/>
      <c r="AN414" s="635"/>
      <c r="AO414" s="635"/>
      <c r="AP414" s="635"/>
      <c r="AR414" s="988"/>
    </row>
    <row r="415" spans="1:44">
      <c r="A415" s="244" t="s">
        <v>389</v>
      </c>
      <c r="B415" s="305"/>
      <c r="C415" s="61"/>
      <c r="D415" s="1023">
        <f>$D$205</f>
        <v>-0.01</v>
      </c>
      <c r="E415" s="305"/>
      <c r="F415" s="490"/>
      <c r="G415" s="1023">
        <v>-0.01</v>
      </c>
      <c r="H415" s="305"/>
      <c r="I415" s="490"/>
      <c r="J415" s="490"/>
      <c r="K415" s="1023">
        <v>-0.01</v>
      </c>
      <c r="L415" s="305"/>
      <c r="M415" s="490"/>
      <c r="N415" s="490"/>
      <c r="O415" s="1023">
        <v>-0.01</v>
      </c>
      <c r="P415" s="305"/>
      <c r="Q415" s="490"/>
      <c r="R415" s="490"/>
      <c r="S415" s="1023">
        <v>-0.01</v>
      </c>
      <c r="T415" s="305"/>
      <c r="U415" s="490"/>
      <c r="V415" s="7"/>
      <c r="W415" s="31"/>
      <c r="X415" s="31"/>
      <c r="Y415" s="31"/>
      <c r="Z415" s="7"/>
      <c r="AA415" s="7"/>
      <c r="AB415" s="7"/>
      <c r="AC415" s="7"/>
      <c r="AD415" s="7"/>
      <c r="AE415" s="7"/>
      <c r="AF415" s="7"/>
      <c r="AG415" s="7"/>
      <c r="AH415" s="7"/>
      <c r="AI415" s="7"/>
      <c r="AJ415" s="7"/>
      <c r="AK415" s="7"/>
      <c r="AL415" s="7"/>
      <c r="AM415" s="7"/>
      <c r="AN415" s="7"/>
      <c r="AO415" s="7"/>
      <c r="AP415" s="7"/>
      <c r="AR415" s="496"/>
    </row>
    <row r="416" spans="1:44">
      <c r="A416" s="305" t="s">
        <v>378</v>
      </c>
      <c r="B416" s="305"/>
      <c r="C416" s="61">
        <v>0</v>
      </c>
      <c r="D416" s="237">
        <f>$D$230</f>
        <v>9.99</v>
      </c>
      <c r="E416" s="490"/>
      <c r="F416" s="490">
        <f>-ROUND(D416*$C416/100,0)</f>
        <v>0</v>
      </c>
      <c r="G416" s="237">
        <f>G402</f>
        <v>9.99</v>
      </c>
      <c r="H416" s="490"/>
      <c r="I416" s="490">
        <f>-ROUND(G416*$C416/100,0)</f>
        <v>0</v>
      </c>
      <c r="J416" s="490"/>
      <c r="K416" s="237" t="e">
        <f>K402</f>
        <v>#REF!</v>
      </c>
      <c r="L416" s="490"/>
      <c r="M416" s="490" t="e">
        <f>-ROUND(K416*$C416/100,0)</f>
        <v>#REF!</v>
      </c>
      <c r="N416" s="490"/>
      <c r="O416" s="237" t="e">
        <f>O402</f>
        <v>#REF!</v>
      </c>
      <c r="P416" s="490"/>
      <c r="Q416" s="490" t="e">
        <f>-ROUND(O416*$C416/100,0)</f>
        <v>#REF!</v>
      </c>
      <c r="R416" s="490"/>
      <c r="S416" s="237" t="e">
        <f>S402</f>
        <v>#REF!</v>
      </c>
      <c r="T416" s="490"/>
      <c r="U416" s="490" t="e">
        <f>-ROUND(S416*$C416/100,0)</f>
        <v>#REF!</v>
      </c>
      <c r="V416" s="7"/>
      <c r="W416" s="31"/>
      <c r="X416" s="31"/>
      <c r="Y416" s="31"/>
      <c r="Z416" s="7"/>
      <c r="AA416" s="7"/>
      <c r="AB416" s="7"/>
      <c r="AC416" s="7"/>
      <c r="AD416" s="7"/>
      <c r="AE416" s="7"/>
      <c r="AF416" s="7"/>
      <c r="AG416" s="7"/>
      <c r="AH416" s="7"/>
      <c r="AI416" s="7"/>
      <c r="AJ416" s="7"/>
      <c r="AK416" s="7"/>
      <c r="AL416" s="7"/>
      <c r="AM416" s="7"/>
      <c r="AN416" s="7"/>
      <c r="AO416" s="7"/>
      <c r="AP416" s="7"/>
      <c r="AR416" s="496"/>
    </row>
    <row r="417" spans="1:44">
      <c r="A417" s="305" t="s">
        <v>379</v>
      </c>
      <c r="B417" s="305"/>
      <c r="C417" s="61">
        <v>0</v>
      </c>
      <c r="D417" s="237">
        <f>$D$231</f>
        <v>14.89</v>
      </c>
      <c r="E417" s="490"/>
      <c r="F417" s="490">
        <f t="shared" ref="F417:F419" si="92">-ROUND(D417*$C417/100,0)</f>
        <v>0</v>
      </c>
      <c r="G417" s="237">
        <f>G403</f>
        <v>14.89</v>
      </c>
      <c r="H417" s="490"/>
      <c r="I417" s="490">
        <f>-ROUND(G417*$C417/100,0)</f>
        <v>0</v>
      </c>
      <c r="J417" s="490"/>
      <c r="K417" s="237" t="e">
        <f>K403</f>
        <v>#REF!</v>
      </c>
      <c r="L417" s="490"/>
      <c r="M417" s="490" t="e">
        <f>-ROUND(K417*$C417/100,0)</f>
        <v>#REF!</v>
      </c>
      <c r="N417" s="490"/>
      <c r="O417" s="237" t="e">
        <f>O403</f>
        <v>#REF!</v>
      </c>
      <c r="P417" s="490"/>
      <c r="Q417" s="490" t="e">
        <f>-ROUND(O417*$C417/100,0)</f>
        <v>#REF!</v>
      </c>
      <c r="R417" s="490"/>
      <c r="S417" s="237" t="e">
        <f>S403</f>
        <v>#REF!</v>
      </c>
      <c r="T417" s="490"/>
      <c r="U417" s="490" t="e">
        <f>-ROUND(S417*$C417/100,0)</f>
        <v>#REF!</v>
      </c>
      <c r="V417" s="7"/>
      <c r="W417" s="31"/>
      <c r="X417" s="31"/>
      <c r="Y417" s="31"/>
      <c r="Z417" s="7"/>
      <c r="AA417" s="7"/>
      <c r="AB417" s="7"/>
      <c r="AC417" s="7"/>
      <c r="AD417" s="7"/>
      <c r="AE417" s="7"/>
      <c r="AF417" s="7"/>
      <c r="AG417" s="7"/>
      <c r="AH417" s="7"/>
      <c r="AI417" s="7"/>
      <c r="AJ417" s="7"/>
      <c r="AK417" s="7"/>
      <c r="AL417" s="7"/>
      <c r="AM417" s="7"/>
      <c r="AN417" s="7"/>
      <c r="AO417" s="7"/>
      <c r="AP417" s="7"/>
      <c r="AR417" s="496"/>
    </row>
    <row r="418" spans="1:44">
      <c r="A418" s="305" t="s">
        <v>390</v>
      </c>
      <c r="B418" s="305"/>
      <c r="C418" s="61">
        <v>0</v>
      </c>
      <c r="D418" s="237">
        <f>$D$232</f>
        <v>1.04</v>
      </c>
      <c r="E418" s="490"/>
      <c r="F418" s="490">
        <f t="shared" si="92"/>
        <v>0</v>
      </c>
      <c r="G418" s="237">
        <f>G404</f>
        <v>1.04</v>
      </c>
      <c r="H418" s="490"/>
      <c r="I418" s="490">
        <f>-ROUND(G418*$C418/100,0)</f>
        <v>0</v>
      </c>
      <c r="J418" s="490"/>
      <c r="K418" s="237" t="e">
        <f>K404</f>
        <v>#REF!</v>
      </c>
      <c r="L418" s="490"/>
      <c r="M418" s="490" t="e">
        <f>-ROUND(K418*$C418/100,0)</f>
        <v>#REF!</v>
      </c>
      <c r="N418" s="490"/>
      <c r="O418" s="237" t="e">
        <f>O404</f>
        <v>#REF!</v>
      </c>
      <c r="P418" s="490"/>
      <c r="Q418" s="490" t="e">
        <f>-ROUND(O418*$C418/100,0)</f>
        <v>#REF!</v>
      </c>
      <c r="R418" s="490"/>
      <c r="S418" s="237" t="e">
        <f>S404</f>
        <v>#REF!</v>
      </c>
      <c r="T418" s="490"/>
      <c r="U418" s="490" t="e">
        <f>-ROUND(S418*$C418/100,0)</f>
        <v>#REF!</v>
      </c>
      <c r="V418" s="7"/>
      <c r="W418" s="31"/>
      <c r="X418" s="31"/>
      <c r="Y418" s="31"/>
      <c r="Z418" s="7"/>
      <c r="AA418" s="7"/>
      <c r="AB418" s="7"/>
      <c r="AC418" s="7"/>
      <c r="AD418" s="7"/>
      <c r="AE418" s="7"/>
      <c r="AF418" s="7"/>
      <c r="AG418" s="7"/>
      <c r="AH418" s="7"/>
      <c r="AI418" s="7"/>
      <c r="AJ418" s="7"/>
      <c r="AK418" s="7"/>
      <c r="AL418" s="7"/>
      <c r="AM418" s="7"/>
      <c r="AN418" s="7"/>
      <c r="AO418" s="7"/>
      <c r="AP418" s="7"/>
      <c r="AR418" s="496"/>
    </row>
    <row r="419" spans="1:44">
      <c r="A419" s="305" t="s">
        <v>391</v>
      </c>
      <c r="B419" s="305"/>
      <c r="C419" s="61">
        <v>0</v>
      </c>
      <c r="D419" s="237">
        <f>$D$234</f>
        <v>3.8</v>
      </c>
      <c r="E419" s="305"/>
      <c r="F419" s="490">
        <f t="shared" si="92"/>
        <v>0</v>
      </c>
      <c r="G419" s="237">
        <f>G407</f>
        <v>3.8099999999999996</v>
      </c>
      <c r="H419" s="305"/>
      <c r="I419" s="490">
        <f>-ROUND(G419*$C419/100,0)</f>
        <v>0</v>
      </c>
      <c r="J419" s="490"/>
      <c r="K419" s="237" t="e">
        <f>K407</f>
        <v>#REF!</v>
      </c>
      <c r="L419" s="305"/>
      <c r="M419" s="490" t="e">
        <f>-ROUND(K419*$C419/100,0)</f>
        <v>#REF!</v>
      </c>
      <c r="N419" s="490"/>
      <c r="O419" s="237" t="e">
        <f>O407</f>
        <v>#REF!</v>
      </c>
      <c r="P419" s="305"/>
      <c r="Q419" s="490" t="e">
        <f>-ROUND(O419*$C419/100,0)</f>
        <v>#REF!</v>
      </c>
      <c r="R419" s="490"/>
      <c r="S419" s="237" t="e">
        <f>S407</f>
        <v>#REF!</v>
      </c>
      <c r="T419" s="305"/>
      <c r="U419" s="490" t="e">
        <f>-ROUND(S419*$C419/100,0)</f>
        <v>#REF!</v>
      </c>
      <c r="V419" s="7"/>
      <c r="W419" s="31"/>
      <c r="X419" s="31"/>
      <c r="Y419" s="31"/>
      <c r="Z419" s="7"/>
      <c r="AA419" s="7"/>
      <c r="AB419" s="7"/>
      <c r="AC419" s="7"/>
      <c r="AD419" s="7"/>
      <c r="AE419" s="7"/>
      <c r="AF419" s="7"/>
      <c r="AG419" s="7"/>
      <c r="AH419" s="7"/>
      <c r="AI419" s="7"/>
      <c r="AJ419" s="7"/>
      <c r="AK419" s="7"/>
      <c r="AL419" s="7"/>
      <c r="AM419" s="7"/>
      <c r="AN419" s="7"/>
      <c r="AO419" s="7"/>
      <c r="AP419" s="7"/>
      <c r="AR419" s="496"/>
    </row>
    <row r="420" spans="1:44">
      <c r="A420" s="305" t="s">
        <v>393</v>
      </c>
      <c r="B420" s="305"/>
      <c r="C420" s="61">
        <v>0</v>
      </c>
      <c r="D420" s="1025">
        <f>$D$235</f>
        <v>10.878</v>
      </c>
      <c r="E420" s="305" t="s">
        <v>362</v>
      </c>
      <c r="F420" s="490">
        <f>ROUND(D420*$C420/100*D415,0)</f>
        <v>0</v>
      </c>
      <c r="G420" s="1025">
        <f>G408</f>
        <v>10.879</v>
      </c>
      <c r="H420" s="305" t="s">
        <v>362</v>
      </c>
      <c r="I420" s="490">
        <f>ROUND(G420*$C420/100*G415,0)</f>
        <v>0</v>
      </c>
      <c r="J420" s="490"/>
      <c r="K420" s="1025" t="e">
        <f>K408</f>
        <v>#REF!</v>
      </c>
      <c r="L420" s="305" t="s">
        <v>362</v>
      </c>
      <c r="M420" s="490" t="e">
        <f>ROUND(K420*$C420/100*K415,0)</f>
        <v>#REF!</v>
      </c>
      <c r="N420" s="490"/>
      <c r="O420" s="1025" t="e">
        <f>O408</f>
        <v>#REF!</v>
      </c>
      <c r="P420" s="305" t="s">
        <v>362</v>
      </c>
      <c r="Q420" s="490" t="e">
        <f>ROUND(O420*$C420/100*O415,0)</f>
        <v>#REF!</v>
      </c>
      <c r="R420" s="490"/>
      <c r="S420" s="1025" t="e">
        <f>S408</f>
        <v>#REF!</v>
      </c>
      <c r="T420" s="305" t="s">
        <v>362</v>
      </c>
      <c r="U420" s="490" t="e">
        <f>ROUND(S420*$C420/100*S415,0)</f>
        <v>#REF!</v>
      </c>
      <c r="V420" s="7"/>
      <c r="W420" s="31"/>
      <c r="X420" s="31"/>
      <c r="Y420" s="31"/>
      <c r="Z420" s="7"/>
      <c r="AA420" s="7"/>
      <c r="AB420" s="7"/>
      <c r="AC420" s="7"/>
      <c r="AD420" s="7"/>
      <c r="AE420" s="7"/>
      <c r="AF420" s="7"/>
      <c r="AG420" s="7"/>
      <c r="AH420" s="7"/>
      <c r="AI420" s="7"/>
      <c r="AJ420" s="7"/>
      <c r="AK420" s="7"/>
      <c r="AL420" s="7"/>
      <c r="AM420" s="7"/>
      <c r="AN420" s="7"/>
      <c r="AO420" s="7"/>
      <c r="AP420" s="7"/>
      <c r="AR420" s="496"/>
    </row>
    <row r="421" spans="1:44">
      <c r="A421" s="305" t="s">
        <v>386</v>
      </c>
      <c r="B421" s="305"/>
      <c r="C421" s="61">
        <v>0</v>
      </c>
      <c r="D421" s="1025">
        <f>$D$236</f>
        <v>7.5140000000000002</v>
      </c>
      <c r="E421" s="305" t="s">
        <v>362</v>
      </c>
      <c r="F421" s="490">
        <f>ROUND(D421*$C421/100*D415,0)</f>
        <v>0</v>
      </c>
      <c r="G421" s="1025">
        <f>G409</f>
        <v>7.5140000000000002</v>
      </c>
      <c r="H421" s="305" t="s">
        <v>362</v>
      </c>
      <c r="I421" s="490">
        <f>ROUND(G421*$C421/100*G415,0)</f>
        <v>0</v>
      </c>
      <c r="J421" s="490"/>
      <c r="K421" s="1025" t="e">
        <f>K409</f>
        <v>#REF!</v>
      </c>
      <c r="L421" s="305" t="s">
        <v>362</v>
      </c>
      <c r="M421" s="490" t="e">
        <f>ROUND(K421*$C421/100*K415,0)</f>
        <v>#REF!</v>
      </c>
      <c r="N421" s="490"/>
      <c r="O421" s="1025" t="e">
        <f>O409</f>
        <v>#REF!</v>
      </c>
      <c r="P421" s="305" t="s">
        <v>362</v>
      </c>
      <c r="Q421" s="490" t="e">
        <f>ROUND(O421*$C421/100*O415,0)</f>
        <v>#REF!</v>
      </c>
      <c r="R421" s="490"/>
      <c r="S421" s="1025" t="e">
        <f>S409</f>
        <v>#REF!</v>
      </c>
      <c r="T421" s="305" t="s">
        <v>362</v>
      </c>
      <c r="U421" s="490" t="e">
        <f>ROUND(S421*$C421/100*S415,0)</f>
        <v>#REF!</v>
      </c>
      <c r="V421" s="7"/>
      <c r="W421" s="31"/>
      <c r="X421" s="31"/>
      <c r="Y421" s="31"/>
      <c r="Z421" s="7"/>
      <c r="AA421" s="7"/>
      <c r="AB421" s="7"/>
      <c r="AC421" s="7"/>
      <c r="AD421" s="7"/>
      <c r="AE421" s="7"/>
      <c r="AF421" s="7"/>
      <c r="AG421" s="7"/>
      <c r="AH421" s="7"/>
      <c r="AI421" s="7"/>
      <c r="AJ421" s="7"/>
      <c r="AK421" s="7"/>
      <c r="AL421" s="7"/>
      <c r="AM421" s="7"/>
      <c r="AN421" s="7"/>
      <c r="AO421" s="7"/>
      <c r="AP421" s="7"/>
      <c r="AR421" s="496"/>
    </row>
    <row r="422" spans="1:44">
      <c r="A422" s="305" t="s">
        <v>387</v>
      </c>
      <c r="B422" s="305"/>
      <c r="C422" s="61">
        <v>0</v>
      </c>
      <c r="D422" s="1025">
        <f>$D$237</f>
        <v>6.4720000000000004</v>
      </c>
      <c r="E422" s="305" t="s">
        <v>362</v>
      </c>
      <c r="F422" s="490">
        <f>ROUND(D422*$C422/100*D415,0)</f>
        <v>0</v>
      </c>
      <c r="G422" s="1025">
        <f>G410</f>
        <v>6.4720000000000004</v>
      </c>
      <c r="H422" s="305" t="s">
        <v>362</v>
      </c>
      <c r="I422" s="490">
        <f>ROUND(G422*$C422/100*G415,0)</f>
        <v>0</v>
      </c>
      <c r="J422" s="490"/>
      <c r="K422" s="1025" t="e">
        <f>K410</f>
        <v>#REF!</v>
      </c>
      <c r="L422" s="305" t="s">
        <v>362</v>
      </c>
      <c r="M422" s="490" t="e">
        <f>ROUND(K422*$C422/100*K415,0)</f>
        <v>#REF!</v>
      </c>
      <c r="N422" s="490"/>
      <c r="O422" s="1025" t="e">
        <f>O410</f>
        <v>#REF!</v>
      </c>
      <c r="P422" s="305" t="s">
        <v>362</v>
      </c>
      <c r="Q422" s="490" t="e">
        <f>ROUND(O422*$C422/100*O415,0)</f>
        <v>#REF!</v>
      </c>
      <c r="R422" s="490"/>
      <c r="S422" s="1025" t="e">
        <f>S410</f>
        <v>#REF!</v>
      </c>
      <c r="T422" s="305" t="s">
        <v>362</v>
      </c>
      <c r="U422" s="490" t="e">
        <f>ROUND(S422*$C422/100*S415,0)</f>
        <v>#REF!</v>
      </c>
      <c r="V422" s="7"/>
      <c r="W422" s="31"/>
      <c r="X422" s="31"/>
      <c r="Y422" s="31"/>
      <c r="Z422" s="7"/>
      <c r="AA422" s="7"/>
      <c r="AB422" s="7"/>
      <c r="AC422" s="7"/>
      <c r="AD422" s="7"/>
      <c r="AE422" s="7"/>
      <c r="AF422" s="7"/>
      <c r="AG422" s="7"/>
      <c r="AH422" s="7"/>
      <c r="AI422" s="7"/>
      <c r="AJ422" s="7"/>
      <c r="AK422" s="7"/>
      <c r="AL422" s="7"/>
      <c r="AM422" s="7"/>
      <c r="AN422" s="7"/>
      <c r="AO422" s="7"/>
      <c r="AP422" s="7"/>
      <c r="AR422" s="496"/>
    </row>
    <row r="423" spans="1:44">
      <c r="A423" s="305" t="s">
        <v>388</v>
      </c>
      <c r="B423" s="305"/>
      <c r="C423" s="61">
        <v>0</v>
      </c>
      <c r="D423" s="1026">
        <f>$D$238</f>
        <v>58</v>
      </c>
      <c r="E423" s="305" t="s">
        <v>362</v>
      </c>
      <c r="F423" s="490">
        <f>ROUND(D423*$C423/100*D415,0)</f>
        <v>0</v>
      </c>
      <c r="G423" s="1026">
        <f>G411</f>
        <v>58</v>
      </c>
      <c r="H423" s="305" t="s">
        <v>362</v>
      </c>
      <c r="I423" s="490">
        <f>ROUND(G423*$C423/100*G415,0)</f>
        <v>0</v>
      </c>
      <c r="J423" s="490"/>
      <c r="K423" s="1026" t="e">
        <f>K411</f>
        <v>#REF!</v>
      </c>
      <c r="L423" s="305" t="s">
        <v>362</v>
      </c>
      <c r="M423" s="490" t="e">
        <f>ROUND(K423*$C423/100*K415,0)</f>
        <v>#REF!</v>
      </c>
      <c r="N423" s="490"/>
      <c r="O423" s="1026" t="e">
        <f>O411</f>
        <v>#REF!</v>
      </c>
      <c r="P423" s="305" t="s">
        <v>362</v>
      </c>
      <c r="Q423" s="490" t="e">
        <f>ROUND(O423*$C423/100*O415,0)</f>
        <v>#REF!</v>
      </c>
      <c r="R423" s="490"/>
      <c r="S423" s="1026" t="e">
        <f>S411</f>
        <v>#REF!</v>
      </c>
      <c r="T423" s="305" t="s">
        <v>362</v>
      </c>
      <c r="U423" s="490" t="e">
        <f>ROUND(S423*$C423/100*S415,0)</f>
        <v>#REF!</v>
      </c>
      <c r="V423" s="7"/>
      <c r="W423" s="31"/>
      <c r="X423" s="31"/>
      <c r="Y423" s="31"/>
      <c r="Z423" s="7"/>
      <c r="AA423" s="7"/>
      <c r="AB423" s="7"/>
      <c r="AC423" s="7"/>
      <c r="AD423" s="7"/>
      <c r="AE423" s="7"/>
      <c r="AF423" s="7"/>
      <c r="AG423" s="7"/>
      <c r="AH423" s="7"/>
      <c r="AI423" s="7"/>
      <c r="AJ423" s="7"/>
      <c r="AK423" s="7"/>
      <c r="AL423" s="7"/>
      <c r="AM423" s="7"/>
      <c r="AN423" s="7"/>
      <c r="AO423" s="7"/>
      <c r="AP423" s="7"/>
      <c r="AR423" s="496"/>
    </row>
    <row r="424" spans="1:44">
      <c r="A424" s="305" t="s">
        <v>395</v>
      </c>
      <c r="B424" s="305"/>
      <c r="C424" s="61">
        <v>0</v>
      </c>
      <c r="D424" s="237">
        <v>60</v>
      </c>
      <c r="E424" s="305"/>
      <c r="F424" s="490">
        <f>ROUND(D424*C424,0)</f>
        <v>0</v>
      </c>
      <c r="G424" s="237">
        <f>$G$214</f>
        <v>60</v>
      </c>
      <c r="H424" s="305"/>
      <c r="I424" s="490">
        <f>ROUND(G424*$C424,0)</f>
        <v>0</v>
      </c>
      <c r="J424" s="490"/>
      <c r="K424" s="237" t="str">
        <f>$K$214</f>
        <v xml:space="preserve"> </v>
      </c>
      <c r="L424" s="305"/>
      <c r="M424" s="490">
        <f>ROUND(K424*$C424,0)</f>
        <v>0</v>
      </c>
      <c r="N424" s="490"/>
      <c r="O424" s="237" t="e">
        <f>$O$214</f>
        <v>#REF!</v>
      </c>
      <c r="P424" s="305"/>
      <c r="Q424" s="490" t="e">
        <f>ROUND(O424*$C424,0)</f>
        <v>#REF!</v>
      </c>
      <c r="R424" s="490"/>
      <c r="S424" s="237" t="e">
        <f>$S$214</f>
        <v>#REF!</v>
      </c>
      <c r="T424" s="305"/>
      <c r="U424" s="490" t="e">
        <f>ROUND(S424*$C424,0)</f>
        <v>#REF!</v>
      </c>
      <c r="V424" s="7"/>
      <c r="W424" s="31"/>
      <c r="X424" s="31"/>
      <c r="Y424" s="31"/>
      <c r="Z424" s="7"/>
      <c r="AA424" s="7"/>
      <c r="AB424" s="7"/>
      <c r="AC424" s="7"/>
      <c r="AD424" s="7"/>
      <c r="AE424" s="7"/>
      <c r="AF424" s="7"/>
      <c r="AG424" s="7"/>
      <c r="AH424" s="7"/>
      <c r="AI424" s="7"/>
      <c r="AJ424" s="7"/>
      <c r="AK424" s="7"/>
      <c r="AL424" s="7"/>
      <c r="AM424" s="7"/>
      <c r="AN424" s="7"/>
      <c r="AO424" s="7"/>
      <c r="AP424" s="7"/>
      <c r="AR424" s="496"/>
    </row>
    <row r="425" spans="1:44">
      <c r="A425" s="305" t="s">
        <v>396</v>
      </c>
      <c r="B425" s="305"/>
      <c r="C425" s="61">
        <v>0</v>
      </c>
      <c r="D425" s="1027">
        <v>-30</v>
      </c>
      <c r="E425" s="305" t="s">
        <v>362</v>
      </c>
      <c r="F425" s="490">
        <f>ROUND(D425*C425/100,0)</f>
        <v>0</v>
      </c>
      <c r="G425" s="1027">
        <f>$G$215</f>
        <v>-30</v>
      </c>
      <c r="H425" s="305" t="s">
        <v>362</v>
      </c>
      <c r="I425" s="490">
        <f>ROUND(G425*$C425/100,0)</f>
        <v>0</v>
      </c>
      <c r="J425" s="490"/>
      <c r="K425" s="1027" t="e">
        <f>$K$215</f>
        <v>#REF!</v>
      </c>
      <c r="L425" s="305" t="s">
        <v>362</v>
      </c>
      <c r="M425" s="490" t="e">
        <f>ROUND(K425*$C425/100,0)</f>
        <v>#REF!</v>
      </c>
      <c r="N425" s="490"/>
      <c r="O425" s="1027" t="str">
        <f>$O$215</f>
        <v xml:space="preserve"> </v>
      </c>
      <c r="P425" s="305" t="s">
        <v>362</v>
      </c>
      <c r="Q425" s="490">
        <f>ROUND(O425*$C425/100,0)</f>
        <v>0</v>
      </c>
      <c r="R425" s="490"/>
      <c r="S425" s="1027" t="str">
        <f>$S$215</f>
        <v xml:space="preserve"> </v>
      </c>
      <c r="T425" s="305" t="s">
        <v>362</v>
      </c>
      <c r="U425" s="490">
        <f>ROUND(S425*$C425/100,0)</f>
        <v>0</v>
      </c>
      <c r="V425" s="7"/>
      <c r="W425" s="31"/>
      <c r="X425" s="31"/>
      <c r="Y425" s="31"/>
      <c r="Z425" s="7"/>
      <c r="AA425" s="7"/>
      <c r="AB425" s="7"/>
      <c r="AC425" s="7"/>
      <c r="AD425" s="7"/>
      <c r="AE425" s="7"/>
      <c r="AF425" s="7"/>
      <c r="AG425" s="7"/>
      <c r="AH425" s="7"/>
      <c r="AI425" s="7"/>
      <c r="AJ425" s="7"/>
      <c r="AK425" s="7"/>
      <c r="AL425" s="7"/>
      <c r="AM425" s="7"/>
      <c r="AN425" s="7"/>
      <c r="AO425" s="7"/>
      <c r="AP425" s="7"/>
      <c r="AR425" s="496"/>
    </row>
    <row r="426" spans="1:44" s="588" customFormat="1" hidden="1">
      <c r="A426" s="588" t="s">
        <v>771</v>
      </c>
      <c r="C426" s="631">
        <f>C420</f>
        <v>0</v>
      </c>
      <c r="D426" s="987">
        <v>0</v>
      </c>
      <c r="E426" s="635"/>
      <c r="F426" s="616"/>
      <c r="G426" s="987">
        <f>G199</f>
        <v>0</v>
      </c>
      <c r="H426" s="592" t="s">
        <v>362</v>
      </c>
      <c r="I426" s="490">
        <f>ROUND(G426*$C426/100*G415,0)</f>
        <v>0</v>
      </c>
      <c r="J426" s="490"/>
      <c r="K426" s="987" t="e">
        <f>K199</f>
        <v>#REF!</v>
      </c>
      <c r="L426" s="592" t="s">
        <v>362</v>
      </c>
      <c r="M426" s="490" t="e">
        <f>ROUND(K426*$C426/100*K415,0)</f>
        <v>#REF!</v>
      </c>
      <c r="N426" s="490"/>
      <c r="O426" s="987" t="e">
        <f>O199</f>
        <v>#REF!</v>
      </c>
      <c r="P426" s="592" t="s">
        <v>362</v>
      </c>
      <c r="Q426" s="490" t="e">
        <f>ROUND(O426*$C426/100*O415,0)</f>
        <v>#REF!</v>
      </c>
      <c r="R426" s="490"/>
      <c r="S426" s="987" t="e">
        <f>S199</f>
        <v>#REF!</v>
      </c>
      <c r="T426" s="592" t="s">
        <v>362</v>
      </c>
      <c r="U426" s="490" t="e">
        <f>ROUND(S426*$C426/100*S415,0)</f>
        <v>#REF!</v>
      </c>
      <c r="W426" s="450"/>
      <c r="Z426" s="989"/>
      <c r="AA426" s="989"/>
      <c r="AF426" s="635"/>
      <c r="AG426" s="635"/>
      <c r="AH426" s="635"/>
      <c r="AI426" s="635"/>
      <c r="AJ426" s="635"/>
      <c r="AK426" s="635"/>
      <c r="AL426" s="635"/>
      <c r="AM426" s="635"/>
      <c r="AN426" s="635"/>
      <c r="AO426" s="635"/>
      <c r="AP426" s="635"/>
      <c r="AR426" s="988"/>
    </row>
    <row r="427" spans="1:44" s="588" customFormat="1" hidden="1">
      <c r="A427" s="588" t="s">
        <v>772</v>
      </c>
      <c r="C427" s="631">
        <f>C421</f>
        <v>0</v>
      </c>
      <c r="D427" s="987">
        <v>0</v>
      </c>
      <c r="E427" s="635"/>
      <c r="F427" s="616"/>
      <c r="G427" s="987">
        <f>G200</f>
        <v>0</v>
      </c>
      <c r="H427" s="592" t="s">
        <v>362</v>
      </c>
      <c r="I427" s="490">
        <f>ROUND(G427*$C427/100*G415,0)</f>
        <v>0</v>
      </c>
      <c r="J427" s="490"/>
      <c r="K427" s="987" t="e">
        <f>K200</f>
        <v>#REF!</v>
      </c>
      <c r="L427" s="592" t="s">
        <v>362</v>
      </c>
      <c r="M427" s="490" t="e">
        <f>ROUND(K427*$C427/100*K415,0)</f>
        <v>#REF!</v>
      </c>
      <c r="N427" s="490"/>
      <c r="O427" s="987" t="e">
        <f>O200</f>
        <v>#REF!</v>
      </c>
      <c r="P427" s="592" t="s">
        <v>362</v>
      </c>
      <c r="Q427" s="490" t="e">
        <f>ROUND(O427*$C427/100*O415,0)</f>
        <v>#REF!</v>
      </c>
      <c r="R427" s="490"/>
      <c r="S427" s="987" t="e">
        <f>S200</f>
        <v>#REF!</v>
      </c>
      <c r="T427" s="592" t="s">
        <v>362</v>
      </c>
      <c r="U427" s="490" t="e">
        <f>ROUND(S427*$C427/100*S415,0)</f>
        <v>#REF!</v>
      </c>
      <c r="W427" s="450"/>
      <c r="Z427" s="989"/>
      <c r="AA427" s="989"/>
      <c r="AF427" s="635"/>
      <c r="AG427" s="635"/>
      <c r="AH427" s="635"/>
      <c r="AI427" s="635"/>
      <c r="AJ427" s="635"/>
      <c r="AK427" s="635"/>
      <c r="AL427" s="635"/>
      <c r="AM427" s="635"/>
      <c r="AN427" s="635"/>
      <c r="AO427" s="635"/>
      <c r="AP427" s="635"/>
      <c r="AR427" s="988"/>
    </row>
    <row r="428" spans="1:44" s="588" customFormat="1" hidden="1">
      <c r="A428" s="588" t="s">
        <v>773</v>
      </c>
      <c r="C428" s="631">
        <f>C422</f>
        <v>0</v>
      </c>
      <c r="D428" s="987">
        <v>0</v>
      </c>
      <c r="E428" s="635"/>
      <c r="F428" s="616"/>
      <c r="G428" s="987">
        <f>G201</f>
        <v>0</v>
      </c>
      <c r="H428" s="592" t="s">
        <v>362</v>
      </c>
      <c r="I428" s="490">
        <f>ROUND(G428*$C428/100*G415,0)</f>
        <v>0</v>
      </c>
      <c r="J428" s="490"/>
      <c r="K428" s="987" t="e">
        <f>K201</f>
        <v>#REF!</v>
      </c>
      <c r="L428" s="592" t="s">
        <v>362</v>
      </c>
      <c r="M428" s="490" t="e">
        <f>ROUND(K428*$C428/100*K415,0)</f>
        <v>#REF!</v>
      </c>
      <c r="N428" s="490"/>
      <c r="O428" s="987" t="e">
        <f>O201</f>
        <v>#REF!</v>
      </c>
      <c r="P428" s="592" t="s">
        <v>362</v>
      </c>
      <c r="Q428" s="490" t="e">
        <f>ROUND(O428*$C428/100*O415,0)</f>
        <v>#REF!</v>
      </c>
      <c r="R428" s="490"/>
      <c r="S428" s="987" t="e">
        <f>S201</f>
        <v>#REF!</v>
      </c>
      <c r="T428" s="592" t="s">
        <v>362</v>
      </c>
      <c r="U428" s="490" t="e">
        <f>ROUND(S428*$C428/100*S415,0)</f>
        <v>#REF!</v>
      </c>
      <c r="W428" s="450"/>
      <c r="Z428" s="989"/>
      <c r="AA428" s="989"/>
      <c r="AF428" s="635"/>
      <c r="AG428" s="635"/>
      <c r="AH428" s="635"/>
      <c r="AI428" s="635"/>
      <c r="AJ428" s="635"/>
      <c r="AK428" s="635"/>
      <c r="AL428" s="635"/>
      <c r="AM428" s="635"/>
      <c r="AN428" s="635"/>
      <c r="AO428" s="635"/>
      <c r="AP428" s="635"/>
      <c r="AR428" s="988"/>
    </row>
    <row r="429" spans="1:44">
      <c r="A429" s="305" t="s">
        <v>369</v>
      </c>
      <c r="B429" s="305"/>
      <c r="C429" s="61">
        <f>SUM(C408:C410)</f>
        <v>1226119.1537199491</v>
      </c>
      <c r="D429" s="1021"/>
      <c r="E429" s="305"/>
      <c r="F429" s="490">
        <f>SUM(F402:F425)</f>
        <v>170607</v>
      </c>
      <c r="G429" s="1021"/>
      <c r="H429" s="305"/>
      <c r="I429" s="490">
        <f>SUM(I402:I428)</f>
        <v>170619</v>
      </c>
      <c r="J429" s="490"/>
      <c r="K429" s="1021"/>
      <c r="L429" s="305"/>
      <c r="M429" s="490" t="e">
        <f>SUM(M402:M428)</f>
        <v>#REF!</v>
      </c>
      <c r="N429" s="490"/>
      <c r="O429" s="1021"/>
      <c r="P429" s="305"/>
      <c r="Q429" s="490" t="e">
        <f>SUM(Q402:Q428)</f>
        <v>#REF!</v>
      </c>
      <c r="R429" s="490"/>
      <c r="S429" s="1021"/>
      <c r="T429" s="305"/>
      <c r="U429" s="490" t="e">
        <f>SUM(U402:U428)</f>
        <v>#REF!</v>
      </c>
      <c r="V429" s="7"/>
      <c r="W429" s="31"/>
      <c r="X429" s="31"/>
      <c r="Y429" s="31"/>
      <c r="Z429" s="7"/>
      <c r="AA429" s="7"/>
      <c r="AB429" s="7"/>
      <c r="AC429" s="7"/>
      <c r="AD429" s="7"/>
      <c r="AE429" s="7"/>
      <c r="AF429" s="7"/>
      <c r="AG429" s="7"/>
      <c r="AH429" s="7"/>
      <c r="AI429" s="7"/>
      <c r="AJ429" s="7"/>
      <c r="AK429" s="7"/>
      <c r="AL429" s="7"/>
      <c r="AM429" s="7"/>
      <c r="AN429" s="7"/>
      <c r="AO429" s="7"/>
      <c r="AP429" s="7"/>
      <c r="AR429" s="496"/>
    </row>
    <row r="430" spans="1:44">
      <c r="A430" s="305" t="s">
        <v>351</v>
      </c>
      <c r="B430" s="305"/>
      <c r="C430" s="1017">
        <f>'Table 2'!H42</f>
        <v>11154.755411402928</v>
      </c>
      <c r="D430" s="305"/>
      <c r="E430" s="305"/>
      <c r="F430" s="993">
        <f>'Table 3'!E42</f>
        <v>2236.8149479250023</v>
      </c>
      <c r="G430" s="305"/>
      <c r="H430" s="305"/>
      <c r="I430" s="993">
        <f>F430</f>
        <v>2236.8149479250023</v>
      </c>
      <c r="J430" s="723"/>
      <c r="K430" s="305"/>
      <c r="L430" s="305"/>
      <c r="M430" s="993" t="e">
        <f ca="1">M220/I220*I430</f>
        <v>#DIV/0!</v>
      </c>
      <c r="N430" s="723"/>
      <c r="O430" s="305"/>
      <c r="P430" s="305"/>
      <c r="Q430" s="993" t="e">
        <f ca="1">Q220/I220*I430</f>
        <v>#DIV/0!</v>
      </c>
      <c r="R430" s="723"/>
      <c r="S430" s="305"/>
      <c r="T430" s="305"/>
      <c r="U430" s="993" t="e">
        <f ca="1">U220/I220*I430</f>
        <v>#DIV/0!</v>
      </c>
      <c r="V430" s="714"/>
      <c r="W430" s="171"/>
      <c r="X430" s="31"/>
      <c r="Y430" s="31"/>
      <c r="Z430" s="7"/>
      <c r="AA430" s="7"/>
      <c r="AB430" s="7"/>
      <c r="AC430" s="7"/>
      <c r="AD430" s="7"/>
      <c r="AE430" s="7"/>
      <c r="AF430" s="7"/>
      <c r="AG430" s="7"/>
      <c r="AH430" s="7"/>
      <c r="AI430" s="7"/>
      <c r="AJ430" s="7"/>
      <c r="AK430" s="7"/>
      <c r="AL430" s="7"/>
      <c r="AM430" s="7"/>
      <c r="AN430" s="7"/>
      <c r="AO430" s="7"/>
      <c r="AP430" s="7"/>
      <c r="AR430" s="496"/>
    </row>
    <row r="431" spans="1:44" ht="16.5" thickBot="1">
      <c r="A431" s="305" t="s">
        <v>370</v>
      </c>
      <c r="B431" s="305"/>
      <c r="C431" s="1012">
        <f>SUM(C429:C430)</f>
        <v>1237273.9091313521</v>
      </c>
      <c r="D431" s="1036"/>
      <c r="E431" s="1030"/>
      <c r="F431" s="995">
        <f>F429+F430</f>
        <v>172843.81494792501</v>
      </c>
      <c r="G431" s="1036"/>
      <c r="H431" s="1030"/>
      <c r="I431" s="995">
        <f>I429+I430</f>
        <v>172855.81494792501</v>
      </c>
      <c r="J431" s="723"/>
      <c r="K431" s="1036"/>
      <c r="L431" s="1030"/>
      <c r="M431" s="995" t="e">
        <f ca="1">M429+M430</f>
        <v>#REF!</v>
      </c>
      <c r="N431" s="995"/>
      <c r="O431" s="1036"/>
      <c r="P431" s="1030"/>
      <c r="Q431" s="995" t="e">
        <f ca="1">Q429+Q430</f>
        <v>#REF!</v>
      </c>
      <c r="R431" s="995"/>
      <c r="S431" s="1036"/>
      <c r="T431" s="1030"/>
      <c r="U431" s="995" t="e">
        <f ca="1">U429+U430</f>
        <v>#REF!</v>
      </c>
      <c r="V431" s="295"/>
      <c r="W431" s="354"/>
      <c r="X431" s="31"/>
      <c r="Y431" s="31"/>
      <c r="Z431" s="7"/>
      <c r="AA431" s="7"/>
      <c r="AB431" s="7"/>
      <c r="AC431" s="7"/>
      <c r="AD431" s="7"/>
      <c r="AE431" s="7"/>
      <c r="AF431" s="7"/>
      <c r="AG431" s="7"/>
      <c r="AH431" s="7"/>
      <c r="AI431" s="7"/>
      <c r="AJ431" s="7"/>
      <c r="AK431" s="7"/>
      <c r="AL431" s="7"/>
      <c r="AM431" s="7"/>
      <c r="AN431" s="7"/>
      <c r="AO431" s="7"/>
      <c r="AP431" s="7"/>
      <c r="AR431" s="496"/>
    </row>
    <row r="432" spans="1:44" ht="16.5" thickTop="1">
      <c r="A432" s="305"/>
      <c r="B432" s="305"/>
      <c r="C432" s="61"/>
      <c r="D432" s="237"/>
      <c r="E432" s="305"/>
      <c r="F432" s="490"/>
      <c r="G432" s="237"/>
      <c r="H432" s="305"/>
      <c r="I432" s="490" t="s">
        <v>31</v>
      </c>
      <c r="J432" s="490"/>
      <c r="K432" s="237"/>
      <c r="L432" s="305"/>
      <c r="M432" s="490" t="s">
        <v>31</v>
      </c>
      <c r="N432" s="490"/>
      <c r="O432" s="237"/>
      <c r="P432" s="305"/>
      <c r="Q432" s="490" t="s">
        <v>31</v>
      </c>
      <c r="R432" s="490"/>
      <c r="S432" s="237"/>
      <c r="T432" s="305"/>
      <c r="U432" s="490" t="s">
        <v>31</v>
      </c>
      <c r="V432" s="7"/>
      <c r="W432" s="31"/>
      <c r="X432" s="31"/>
      <c r="Y432" s="31"/>
      <c r="Z432" s="7"/>
      <c r="AA432" s="7"/>
      <c r="AB432" s="7"/>
      <c r="AC432" s="7"/>
      <c r="AD432" s="7"/>
      <c r="AE432" s="7"/>
      <c r="AF432" s="7"/>
      <c r="AG432" s="7"/>
      <c r="AH432" s="7"/>
      <c r="AI432" s="7"/>
      <c r="AJ432" s="7"/>
      <c r="AK432" s="7"/>
      <c r="AL432" s="7"/>
      <c r="AM432" s="7"/>
      <c r="AN432" s="7"/>
      <c r="AO432" s="7"/>
      <c r="AP432" s="7"/>
      <c r="AR432" s="496"/>
    </row>
    <row r="433" spans="1:44">
      <c r="A433" s="305" t="s">
        <v>403</v>
      </c>
      <c r="B433" s="305"/>
      <c r="C433" s="305"/>
      <c r="D433" s="490"/>
      <c r="E433" s="305"/>
      <c r="F433" s="305"/>
      <c r="G433" s="490"/>
      <c r="H433" s="305"/>
      <c r="I433" s="305"/>
      <c r="J433" s="305"/>
      <c r="K433" s="490"/>
      <c r="L433" s="305"/>
      <c r="M433" s="305"/>
      <c r="N433" s="305"/>
      <c r="O433" s="490"/>
      <c r="P433" s="305"/>
      <c r="Q433" s="305"/>
      <c r="R433" s="305"/>
      <c r="S433" s="490"/>
      <c r="T433" s="305"/>
      <c r="U433" s="305"/>
      <c r="V433" s="7"/>
      <c r="W433" s="31"/>
      <c r="X433" s="31"/>
      <c r="Y433" s="31"/>
      <c r="Z433" s="7"/>
      <c r="AA433" s="7"/>
      <c r="AB433" s="7"/>
      <c r="AC433" s="7"/>
      <c r="AD433" s="7"/>
      <c r="AE433" s="7"/>
      <c r="AF433" s="7"/>
      <c r="AG433" s="7"/>
      <c r="AH433" s="7"/>
      <c r="AI433" s="7"/>
      <c r="AJ433" s="7"/>
      <c r="AK433" s="7"/>
      <c r="AL433" s="7"/>
      <c r="AM433" s="7"/>
      <c r="AN433" s="7"/>
      <c r="AO433" s="7"/>
      <c r="AP433" s="7"/>
      <c r="AR433" s="496"/>
    </row>
    <row r="434" spans="1:44">
      <c r="A434" s="305" t="s">
        <v>402</v>
      </c>
      <c r="B434" s="305"/>
      <c r="C434" s="305"/>
      <c r="D434" s="490"/>
      <c r="E434" s="305"/>
      <c r="F434" s="305"/>
      <c r="G434" s="490"/>
      <c r="H434" s="305"/>
      <c r="I434" s="305"/>
      <c r="J434" s="305"/>
      <c r="K434" s="490"/>
      <c r="L434" s="305"/>
      <c r="M434" s="305"/>
      <c r="N434" s="305"/>
      <c r="O434" s="490"/>
      <c r="P434" s="305"/>
      <c r="Q434" s="305"/>
      <c r="R434" s="305"/>
      <c r="S434" s="490"/>
      <c r="T434" s="305"/>
      <c r="U434" s="305"/>
      <c r="V434" s="7"/>
      <c r="W434" s="31"/>
      <c r="X434" s="31"/>
      <c r="Y434" s="31"/>
      <c r="Z434" s="7"/>
      <c r="AA434" s="7"/>
      <c r="AB434" s="7"/>
      <c r="AC434" s="7"/>
      <c r="AD434" s="7"/>
      <c r="AE434" s="7"/>
      <c r="AF434" s="7"/>
      <c r="AG434" s="7"/>
      <c r="AH434" s="7"/>
      <c r="AI434" s="7"/>
      <c r="AJ434" s="7"/>
      <c r="AK434" s="7"/>
      <c r="AL434" s="7"/>
      <c r="AM434" s="7"/>
      <c r="AN434" s="7"/>
      <c r="AO434" s="7"/>
      <c r="AP434" s="7"/>
      <c r="AR434" s="496"/>
    </row>
    <row r="435" spans="1:44">
      <c r="A435" s="305"/>
      <c r="B435" s="305"/>
      <c r="C435" s="305"/>
      <c r="D435" s="490"/>
      <c r="E435" s="305"/>
      <c r="F435" s="305"/>
      <c r="G435" s="490"/>
      <c r="H435" s="305"/>
      <c r="I435" s="305"/>
      <c r="J435" s="305"/>
      <c r="K435" s="490"/>
      <c r="L435" s="305"/>
      <c r="M435" s="305"/>
      <c r="N435" s="305"/>
      <c r="O435" s="490"/>
      <c r="P435" s="305"/>
      <c r="Q435" s="305"/>
      <c r="R435" s="305"/>
      <c r="S435" s="490"/>
      <c r="T435" s="305"/>
      <c r="U435" s="305"/>
      <c r="V435" s="7"/>
      <c r="W435" s="31"/>
      <c r="X435" s="31"/>
      <c r="Y435" s="31"/>
      <c r="Z435" s="7"/>
      <c r="AA435" s="7"/>
      <c r="AB435" s="7"/>
      <c r="AC435" s="7"/>
      <c r="AD435" s="7"/>
      <c r="AE435" s="7"/>
      <c r="AF435" s="7"/>
      <c r="AG435" s="7"/>
      <c r="AH435" s="7"/>
      <c r="AI435" s="7"/>
      <c r="AJ435" s="7"/>
      <c r="AK435" s="7"/>
      <c r="AL435" s="7"/>
      <c r="AM435" s="7"/>
      <c r="AN435" s="7"/>
      <c r="AO435" s="7"/>
      <c r="AP435" s="7"/>
      <c r="AR435" s="496"/>
    </row>
    <row r="436" spans="1:44">
      <c r="A436" s="305" t="s">
        <v>381</v>
      </c>
      <c r="B436" s="305"/>
      <c r="C436" s="61"/>
      <c r="D436" s="490"/>
      <c r="E436" s="305"/>
      <c r="F436" s="305"/>
      <c r="G436" s="490"/>
      <c r="H436" s="305"/>
      <c r="I436" s="305"/>
      <c r="J436" s="305"/>
      <c r="K436" s="490"/>
      <c r="L436" s="305"/>
      <c r="M436" s="305"/>
      <c r="N436" s="305"/>
      <c r="O436" s="490"/>
      <c r="P436" s="305"/>
      <c r="Q436" s="305"/>
      <c r="R436" s="305"/>
      <c r="S436" s="490"/>
      <c r="T436" s="305"/>
      <c r="U436" s="305"/>
      <c r="V436" s="7"/>
      <c r="W436" s="31"/>
      <c r="X436" s="31"/>
      <c r="Y436" s="31"/>
      <c r="Z436" s="7"/>
      <c r="AA436" s="7"/>
      <c r="AB436" s="7"/>
      <c r="AC436" s="7"/>
      <c r="AD436" s="7"/>
      <c r="AE436" s="7"/>
      <c r="AF436" s="7"/>
      <c r="AG436" s="7"/>
      <c r="AH436" s="7"/>
      <c r="AI436" s="7"/>
      <c r="AJ436" s="7"/>
      <c r="AK436" s="7"/>
      <c r="AL436" s="7"/>
      <c r="AM436" s="7"/>
      <c r="AN436" s="7"/>
      <c r="AO436" s="7"/>
      <c r="AP436" s="7"/>
      <c r="AR436" s="496"/>
    </row>
    <row r="437" spans="1:44">
      <c r="A437" s="305" t="s">
        <v>404</v>
      </c>
      <c r="B437" s="305"/>
      <c r="C437" s="61">
        <v>516</v>
      </c>
      <c r="D437" s="448">
        <f>$D$189</f>
        <v>9.99</v>
      </c>
      <c r="E437" s="305"/>
      <c r="F437" s="490">
        <f>ROUND(D437*$C437,0)</f>
        <v>5155</v>
      </c>
      <c r="G437" s="448">
        <f>$G$189</f>
        <v>9.99</v>
      </c>
      <c r="H437" s="305"/>
      <c r="I437" s="490">
        <f>ROUND(G437*$C437,0)</f>
        <v>5155</v>
      </c>
      <c r="J437" s="490"/>
      <c r="K437" s="448" t="e">
        <f>$K$189</f>
        <v>#REF!</v>
      </c>
      <c r="L437" s="305"/>
      <c r="M437" s="490" t="e">
        <f>ROUND(K437*$C437,0)</f>
        <v>#REF!</v>
      </c>
      <c r="N437" s="490"/>
      <c r="O437" s="448" t="e">
        <f>$O$189</f>
        <v>#REF!</v>
      </c>
      <c r="P437" s="305"/>
      <c r="Q437" s="490" t="e">
        <f>ROUND(O437*$C437,0)</f>
        <v>#REF!</v>
      </c>
      <c r="R437" s="490"/>
      <c r="S437" s="448" t="e">
        <f>$S$189</f>
        <v>#REF!</v>
      </c>
      <c r="T437" s="305"/>
      <c r="U437" s="490" t="e">
        <f>ROUND(S437*$C437,0)</f>
        <v>#REF!</v>
      </c>
      <c r="V437" s="7"/>
      <c r="W437" s="31"/>
      <c r="X437" s="31"/>
      <c r="Y437" s="31"/>
      <c r="Z437" s="7"/>
      <c r="AA437" s="7"/>
      <c r="AB437" s="7"/>
      <c r="AC437" s="7"/>
      <c r="AD437" s="7"/>
      <c r="AE437" s="7"/>
      <c r="AF437" s="7"/>
      <c r="AG437" s="7"/>
      <c r="AH437" s="7"/>
      <c r="AI437" s="7"/>
      <c r="AJ437" s="7"/>
      <c r="AK437" s="7"/>
      <c r="AL437" s="7"/>
      <c r="AM437" s="7"/>
      <c r="AN437" s="7"/>
      <c r="AO437" s="7"/>
      <c r="AP437" s="7"/>
      <c r="AR437" s="496"/>
    </row>
    <row r="438" spans="1:44">
      <c r="A438" s="305" t="s">
        <v>379</v>
      </c>
      <c r="B438" s="305"/>
      <c r="C438" s="61">
        <v>0</v>
      </c>
      <c r="D438" s="448">
        <f>$D$190</f>
        <v>14.89</v>
      </c>
      <c r="E438" s="1004"/>
      <c r="F438" s="490">
        <f t="shared" ref="F438:F439" si="93">ROUND(D438*$C438,0)</f>
        <v>0</v>
      </c>
      <c r="G438" s="448">
        <f>$G$190</f>
        <v>14.89</v>
      </c>
      <c r="H438" s="1004"/>
      <c r="I438" s="490">
        <f>ROUND(G438*$C438,0)</f>
        <v>0</v>
      </c>
      <c r="J438" s="490"/>
      <c r="K438" s="448" t="e">
        <f>$K$190</f>
        <v>#REF!</v>
      </c>
      <c r="L438" s="1004"/>
      <c r="M438" s="490" t="e">
        <f>ROUND(K438*$C438,0)</f>
        <v>#REF!</v>
      </c>
      <c r="N438" s="490"/>
      <c r="O438" s="448" t="e">
        <f>$O$190</f>
        <v>#REF!</v>
      </c>
      <c r="P438" s="1004"/>
      <c r="Q438" s="490" t="e">
        <f>ROUND(O438*$C438,0)</f>
        <v>#REF!</v>
      </c>
      <c r="R438" s="490"/>
      <c r="S438" s="448" t="e">
        <f>$S$190</f>
        <v>#REF!</v>
      </c>
      <c r="T438" s="1004"/>
      <c r="U438" s="490" t="e">
        <f>ROUND(S438*$C438,0)</f>
        <v>#REF!</v>
      </c>
      <c r="V438" s="7"/>
      <c r="W438" s="31"/>
      <c r="X438" s="31"/>
      <c r="Y438" s="31"/>
      <c r="Z438" s="7"/>
      <c r="AA438" s="7"/>
      <c r="AB438" s="7"/>
      <c r="AC438" s="7"/>
      <c r="AD438" s="7"/>
      <c r="AE438" s="7"/>
      <c r="AF438" s="7"/>
      <c r="AG438" s="7"/>
      <c r="AH438" s="7"/>
      <c r="AI438" s="7"/>
      <c r="AJ438" s="7"/>
      <c r="AK438" s="7"/>
      <c r="AL438" s="7"/>
      <c r="AM438" s="7"/>
      <c r="AN438" s="7"/>
      <c r="AO438" s="7"/>
      <c r="AP438" s="7"/>
      <c r="AR438" s="496"/>
    </row>
    <row r="439" spans="1:44">
      <c r="A439" s="305" t="s">
        <v>380</v>
      </c>
      <c r="B439" s="305"/>
      <c r="C439" s="61">
        <v>0</v>
      </c>
      <c r="D439" s="448">
        <f>$D$191</f>
        <v>1.04</v>
      </c>
      <c r="E439" s="1004"/>
      <c r="F439" s="490">
        <f t="shared" si="93"/>
        <v>0</v>
      </c>
      <c r="G439" s="448">
        <f>$G$191</f>
        <v>1.04</v>
      </c>
      <c r="H439" s="1004"/>
      <c r="I439" s="490">
        <f>ROUND(G439*$C439,0)</f>
        <v>0</v>
      </c>
      <c r="J439" s="490"/>
      <c r="K439" s="448" t="e">
        <f>$K$191</f>
        <v>#REF!</v>
      </c>
      <c r="L439" s="1004"/>
      <c r="M439" s="490" t="e">
        <f>ROUND(K439*$C439,0)</f>
        <v>#REF!</v>
      </c>
      <c r="N439" s="490"/>
      <c r="O439" s="448" t="e">
        <f>$O$191</f>
        <v>#REF!</v>
      </c>
      <c r="P439" s="1004"/>
      <c r="Q439" s="490" t="e">
        <f>ROUND(O439*$C439,0)</f>
        <v>#REF!</v>
      </c>
      <c r="R439" s="490"/>
      <c r="S439" s="448" t="e">
        <f>$S$191</f>
        <v>#REF!</v>
      </c>
      <c r="T439" s="1004"/>
      <c r="U439" s="490" t="e">
        <f>ROUND(S439*$C439,0)</f>
        <v>#REF!</v>
      </c>
      <c r="V439" s="7"/>
      <c r="W439" s="31"/>
      <c r="X439" s="31"/>
      <c r="Y439" s="31"/>
      <c r="Z439" s="7"/>
      <c r="AA439" s="7"/>
      <c r="AB439" s="7"/>
      <c r="AC439" s="7"/>
      <c r="AD439" s="7"/>
      <c r="AE439" s="7"/>
      <c r="AF439" s="7"/>
      <c r="AG439" s="7"/>
      <c r="AH439" s="7"/>
      <c r="AI439" s="7"/>
      <c r="AJ439" s="7"/>
      <c r="AK439" s="7"/>
      <c r="AL439" s="7"/>
      <c r="AM439" s="7"/>
      <c r="AN439" s="7"/>
      <c r="AO439" s="7"/>
      <c r="AP439" s="7"/>
      <c r="AR439" s="496"/>
    </row>
    <row r="440" spans="1:44">
      <c r="A440" s="305" t="s">
        <v>382</v>
      </c>
      <c r="B440" s="305"/>
      <c r="C440" s="61">
        <f>SUM(C437:C438)</f>
        <v>516</v>
      </c>
      <c r="D440" s="448"/>
      <c r="E440" s="305"/>
      <c r="F440" s="490"/>
      <c r="G440" s="448"/>
      <c r="H440" s="305"/>
      <c r="I440" s="490"/>
      <c r="J440" s="490"/>
      <c r="K440" s="448"/>
      <c r="L440" s="305"/>
      <c r="M440" s="490"/>
      <c r="N440" s="490"/>
      <c r="O440" s="448"/>
      <c r="P440" s="305"/>
      <c r="Q440" s="490"/>
      <c r="R440" s="490"/>
      <c r="S440" s="448"/>
      <c r="T440" s="305"/>
      <c r="U440" s="490"/>
      <c r="V440" s="7"/>
      <c r="W440" s="31"/>
      <c r="X440" s="31"/>
      <c r="Y440" s="31"/>
      <c r="Z440" s="7"/>
      <c r="AA440" s="7"/>
      <c r="AB440" s="7"/>
      <c r="AC440" s="7"/>
      <c r="AD440" s="7"/>
      <c r="AE440" s="7"/>
      <c r="AF440" s="7"/>
      <c r="AG440" s="7"/>
      <c r="AH440" s="7"/>
      <c r="AI440" s="7"/>
      <c r="AJ440" s="7"/>
      <c r="AK440" s="7"/>
      <c r="AL440" s="7"/>
      <c r="AM440" s="7"/>
      <c r="AN440" s="7"/>
      <c r="AO440" s="7"/>
      <c r="AP440" s="7"/>
      <c r="AR440" s="496"/>
    </row>
    <row r="441" spans="1:44">
      <c r="A441" s="305" t="s">
        <v>350</v>
      </c>
      <c r="B441" s="305"/>
      <c r="C441" s="61">
        <v>48</v>
      </c>
      <c r="D441" s="448"/>
      <c r="E441" s="305"/>
      <c r="F441" s="490"/>
      <c r="G441" s="448"/>
      <c r="H441" s="305"/>
      <c r="I441" s="490"/>
      <c r="J441" s="490"/>
      <c r="K441" s="448"/>
      <c r="L441" s="305"/>
      <c r="M441" s="490"/>
      <c r="N441" s="490"/>
      <c r="O441" s="448"/>
      <c r="P441" s="305"/>
      <c r="Q441" s="490"/>
      <c r="R441" s="490"/>
      <c r="S441" s="448"/>
      <c r="T441" s="305"/>
      <c r="U441" s="490"/>
      <c r="V441" s="7"/>
      <c r="W441" s="31"/>
      <c r="X441" s="31"/>
      <c r="Y441" s="31"/>
      <c r="Z441" s="7"/>
      <c r="AA441" s="7"/>
      <c r="AB441" s="7"/>
      <c r="AC441" s="7"/>
      <c r="AD441" s="7"/>
      <c r="AE441" s="7"/>
      <c r="AF441" s="7"/>
      <c r="AG441" s="7"/>
      <c r="AH441" s="7"/>
      <c r="AI441" s="7"/>
      <c r="AJ441" s="7"/>
      <c r="AK441" s="7"/>
      <c r="AL441" s="7"/>
      <c r="AM441" s="7"/>
      <c r="AN441" s="7"/>
      <c r="AO441" s="7"/>
      <c r="AP441" s="7"/>
      <c r="AR441" s="496"/>
    </row>
    <row r="442" spans="1:44">
      <c r="A442" s="305" t="s">
        <v>383</v>
      </c>
      <c r="B442" s="305"/>
      <c r="C442" s="61">
        <v>0</v>
      </c>
      <c r="D442" s="237">
        <f>$D$194</f>
        <v>3.8</v>
      </c>
      <c r="E442" s="305"/>
      <c r="F442" s="490">
        <f>ROUND(D442*C442,0)</f>
        <v>0</v>
      </c>
      <c r="G442" s="237">
        <f>$G$194</f>
        <v>3.8099999999999996</v>
      </c>
      <c r="H442" s="305"/>
      <c r="I442" s="490">
        <f>ROUND(G442*$C442,0)</f>
        <v>0</v>
      </c>
      <c r="J442" s="490"/>
      <c r="K442" s="237" t="e">
        <f>$K$194</f>
        <v>#REF!</v>
      </c>
      <c r="L442" s="305"/>
      <c r="M442" s="490" t="e">
        <f>ROUND(K442*$C442,0)</f>
        <v>#REF!</v>
      </c>
      <c r="N442" s="490"/>
      <c r="O442" s="237" t="e">
        <f>$O$194</f>
        <v>#REF!</v>
      </c>
      <c r="P442" s="305"/>
      <c r="Q442" s="490" t="e">
        <f>ROUND(O442*$C442,0)</f>
        <v>#REF!</v>
      </c>
      <c r="R442" s="490"/>
      <c r="S442" s="237" t="e">
        <f>$S$194</f>
        <v>#REF!</v>
      </c>
      <c r="T442" s="305"/>
      <c r="U442" s="490" t="e">
        <f>ROUND(S442*$C442,0)</f>
        <v>#REF!</v>
      </c>
      <c r="V442" s="7"/>
      <c r="W442" s="31"/>
      <c r="X442" s="31"/>
      <c r="Y442" s="31"/>
      <c r="Z442" s="7"/>
      <c r="AA442" s="7"/>
      <c r="AB442" s="7"/>
      <c r="AC442" s="7"/>
      <c r="AD442" s="7"/>
      <c r="AE442" s="7"/>
      <c r="AF442" s="7"/>
      <c r="AG442" s="7"/>
      <c r="AH442" s="7"/>
      <c r="AI442" s="7"/>
      <c r="AJ442" s="7"/>
      <c r="AK442" s="7"/>
      <c r="AL442" s="7"/>
      <c r="AM442" s="7"/>
      <c r="AN442" s="7"/>
      <c r="AO442" s="7"/>
      <c r="AP442" s="7"/>
      <c r="AR442" s="496"/>
    </row>
    <row r="443" spans="1:44">
      <c r="A443" s="305" t="s">
        <v>385</v>
      </c>
      <c r="B443" s="305"/>
      <c r="C443" s="61">
        <v>33312</v>
      </c>
      <c r="D443" s="1006">
        <f>$D$195</f>
        <v>10.878</v>
      </c>
      <c r="E443" s="305" t="s">
        <v>362</v>
      </c>
      <c r="F443" s="490">
        <f>ROUND(D443*C443/100,0)</f>
        <v>3624</v>
      </c>
      <c r="G443" s="1006">
        <f>$G$195</f>
        <v>10.879</v>
      </c>
      <c r="H443" s="305" t="s">
        <v>362</v>
      </c>
      <c r="I443" s="490">
        <f>ROUND(G443*$C443/100,0)</f>
        <v>3624</v>
      </c>
      <c r="J443" s="490"/>
      <c r="K443" s="1006" t="e">
        <f>$K$195</f>
        <v>#REF!</v>
      </c>
      <c r="L443" s="305" t="s">
        <v>362</v>
      </c>
      <c r="M443" s="490" t="e">
        <f>ROUND(K443*$C443/100,0)</f>
        <v>#REF!</v>
      </c>
      <c r="N443" s="490"/>
      <c r="O443" s="1006" t="e">
        <f>$O$195</f>
        <v>#REF!</v>
      </c>
      <c r="P443" s="305" t="s">
        <v>362</v>
      </c>
      <c r="Q443" s="490" t="e">
        <f>ROUND(O443*$C443/100,0)</f>
        <v>#REF!</v>
      </c>
      <c r="R443" s="490"/>
      <c r="S443" s="1006" t="e">
        <f>$S$195</f>
        <v>#REF!</v>
      </c>
      <c r="T443" s="305" t="s">
        <v>362</v>
      </c>
      <c r="U443" s="490" t="e">
        <f>ROUND(S443*$C443/100,0)</f>
        <v>#REF!</v>
      </c>
      <c r="V443" s="7"/>
      <c r="W443" s="31"/>
      <c r="X443" s="31"/>
      <c r="Y443" s="31"/>
      <c r="Z443" s="7"/>
      <c r="AA443" s="7"/>
      <c r="AB443" s="7"/>
      <c r="AC443" s="7"/>
      <c r="AD443" s="7"/>
      <c r="AE443" s="7"/>
      <c r="AF443" s="7"/>
      <c r="AG443" s="7"/>
      <c r="AH443" s="7"/>
      <c r="AI443" s="7"/>
      <c r="AJ443" s="7"/>
      <c r="AK443" s="7"/>
      <c r="AL443" s="7"/>
      <c r="AM443" s="7"/>
      <c r="AN443" s="7"/>
      <c r="AO443" s="7"/>
      <c r="AP443" s="7"/>
      <c r="AR443" s="496"/>
    </row>
    <row r="444" spans="1:44">
      <c r="A444" s="305" t="s">
        <v>386</v>
      </c>
      <c r="B444" s="305"/>
      <c r="C444" s="61">
        <v>0</v>
      </c>
      <c r="D444" s="1006">
        <f>$D$196</f>
        <v>7.5140000000000002</v>
      </c>
      <c r="E444" s="305" t="s">
        <v>362</v>
      </c>
      <c r="F444" s="490">
        <f>ROUND(D444*C444/100,0)</f>
        <v>0</v>
      </c>
      <c r="G444" s="1006">
        <f>$G$196</f>
        <v>7.5140000000000002</v>
      </c>
      <c r="H444" s="305" t="s">
        <v>362</v>
      </c>
      <c r="I444" s="490">
        <f>ROUND(G444*$C444/100,0)</f>
        <v>0</v>
      </c>
      <c r="J444" s="490"/>
      <c r="K444" s="1006" t="e">
        <f>$K$196</f>
        <v>#REF!</v>
      </c>
      <c r="L444" s="305" t="s">
        <v>362</v>
      </c>
      <c r="M444" s="490" t="e">
        <f>ROUND(K444*$C444/100,0)</f>
        <v>#REF!</v>
      </c>
      <c r="N444" s="490"/>
      <c r="O444" s="1006" t="e">
        <f>$O$196</f>
        <v>#REF!</v>
      </c>
      <c r="P444" s="305" t="s">
        <v>362</v>
      </c>
      <c r="Q444" s="490" t="e">
        <f>ROUND(O444*$C444/100,0)</f>
        <v>#REF!</v>
      </c>
      <c r="R444" s="490"/>
      <c r="S444" s="1006" t="e">
        <f>$S$196</f>
        <v>#REF!</v>
      </c>
      <c r="T444" s="305" t="s">
        <v>362</v>
      </c>
      <c r="U444" s="490" t="e">
        <f>ROUND(S444*$C444/100,0)</f>
        <v>#REF!</v>
      </c>
      <c r="V444" s="7"/>
      <c r="W444" s="31"/>
      <c r="X444" s="31"/>
      <c r="Y444" s="31"/>
      <c r="Z444" s="7"/>
      <c r="AA444" s="7"/>
      <c r="AB444" s="7"/>
      <c r="AC444" s="7"/>
      <c r="AD444" s="7"/>
      <c r="AE444" s="7"/>
      <c r="AF444" s="7"/>
      <c r="AG444" s="7"/>
      <c r="AH444" s="7"/>
      <c r="AI444" s="7"/>
      <c r="AJ444" s="7"/>
      <c r="AK444" s="7"/>
      <c r="AL444" s="7"/>
      <c r="AM444" s="7"/>
      <c r="AN444" s="7"/>
      <c r="AO444" s="7"/>
      <c r="AP444" s="7"/>
      <c r="AR444" s="496"/>
    </row>
    <row r="445" spans="1:44">
      <c r="A445" s="305" t="s">
        <v>387</v>
      </c>
      <c r="B445" s="305"/>
      <c r="C445" s="61">
        <v>0</v>
      </c>
      <c r="D445" s="1006">
        <f>$D$197</f>
        <v>6.4720000000000004</v>
      </c>
      <c r="E445" s="305" t="s">
        <v>362</v>
      </c>
      <c r="F445" s="490">
        <f>ROUND(D445*C445/100,0)</f>
        <v>0</v>
      </c>
      <c r="G445" s="1006">
        <f>$G$197</f>
        <v>6.4720000000000004</v>
      </c>
      <c r="H445" s="305" t="s">
        <v>362</v>
      </c>
      <c r="I445" s="490">
        <f>ROUND(G445*$C445/100,0)</f>
        <v>0</v>
      </c>
      <c r="J445" s="490"/>
      <c r="K445" s="1006" t="e">
        <f>$K$197</f>
        <v>#REF!</v>
      </c>
      <c r="L445" s="305" t="s">
        <v>362</v>
      </c>
      <c r="M445" s="490" t="e">
        <f>ROUND(K445*$C445/100,0)</f>
        <v>#REF!</v>
      </c>
      <c r="N445" s="490"/>
      <c r="O445" s="1006" t="e">
        <f>$O$197</f>
        <v>#REF!</v>
      </c>
      <c r="P445" s="305" t="s">
        <v>362</v>
      </c>
      <c r="Q445" s="490" t="e">
        <f>ROUND(O445*$C445/100,0)</f>
        <v>#REF!</v>
      </c>
      <c r="R445" s="490"/>
      <c r="S445" s="1006" t="e">
        <f>$S$197</f>
        <v>#REF!</v>
      </c>
      <c r="T445" s="305" t="s">
        <v>362</v>
      </c>
      <c r="U445" s="490" t="e">
        <f>ROUND(S445*$C445/100,0)</f>
        <v>#REF!</v>
      </c>
      <c r="V445" s="7"/>
      <c r="W445" s="31"/>
      <c r="X445" s="31"/>
      <c r="Y445" s="31"/>
      <c r="Z445" s="7"/>
      <c r="AA445" s="7"/>
      <c r="AB445" s="7"/>
      <c r="AC445" s="7"/>
      <c r="AD445" s="7"/>
      <c r="AE445" s="7"/>
      <c r="AF445" s="7"/>
      <c r="AG445" s="7"/>
      <c r="AH445" s="7"/>
      <c r="AI445" s="7"/>
      <c r="AJ445" s="7"/>
      <c r="AK445" s="7"/>
      <c r="AL445" s="7"/>
      <c r="AM445" s="7"/>
      <c r="AN445" s="7"/>
      <c r="AO445" s="7"/>
      <c r="AP445" s="7"/>
      <c r="AR445" s="496"/>
    </row>
    <row r="446" spans="1:44">
      <c r="A446" s="305" t="s">
        <v>388</v>
      </c>
      <c r="B446" s="305"/>
      <c r="C446" s="61">
        <v>0</v>
      </c>
      <c r="D446" s="237">
        <f>$D$198</f>
        <v>58</v>
      </c>
      <c r="E446" s="305" t="s">
        <v>362</v>
      </c>
      <c r="F446" s="490">
        <f>ROUND(D446*C446/100,0)</f>
        <v>0</v>
      </c>
      <c r="G446" s="1021">
        <f>$G$198</f>
        <v>58</v>
      </c>
      <c r="H446" s="305" t="s">
        <v>362</v>
      </c>
      <c r="I446" s="490">
        <f>ROUND(G446*$C446/100,0)</f>
        <v>0</v>
      </c>
      <c r="J446" s="490"/>
      <c r="K446" s="1021" t="e">
        <f>$K$198</f>
        <v>#REF!</v>
      </c>
      <c r="L446" s="305" t="s">
        <v>362</v>
      </c>
      <c r="M446" s="490" t="e">
        <f>ROUND(K446*$C446/100,0)</f>
        <v>#REF!</v>
      </c>
      <c r="N446" s="490"/>
      <c r="O446" s="1021" t="e">
        <f>$O$198</f>
        <v>#REF!</v>
      </c>
      <c r="P446" s="305" t="s">
        <v>362</v>
      </c>
      <c r="Q446" s="490" t="e">
        <f>ROUND(O446*$C446/100,0)</f>
        <v>#REF!</v>
      </c>
      <c r="R446" s="490"/>
      <c r="S446" s="1021" t="e">
        <f>$S$198</f>
        <v>#REF!</v>
      </c>
      <c r="T446" s="305" t="s">
        <v>362</v>
      </c>
      <c r="U446" s="490" t="e">
        <f>ROUND(S446*$C446/100,0)</f>
        <v>#REF!</v>
      </c>
      <c r="V446" s="7"/>
      <c r="W446" s="31"/>
      <c r="X446" s="31"/>
      <c r="Y446" s="31"/>
      <c r="Z446" s="7"/>
      <c r="AA446" s="7"/>
      <c r="AB446" s="7"/>
      <c r="AC446" s="7"/>
      <c r="AD446" s="7"/>
      <c r="AE446" s="7"/>
      <c r="AF446" s="7"/>
      <c r="AG446" s="7"/>
      <c r="AH446" s="7"/>
      <c r="AI446" s="7"/>
      <c r="AJ446" s="7"/>
      <c r="AK446" s="7"/>
      <c r="AL446" s="7"/>
      <c r="AM446" s="7"/>
      <c r="AN446" s="7"/>
      <c r="AO446" s="7"/>
      <c r="AP446" s="7"/>
      <c r="AR446" s="496"/>
    </row>
    <row r="447" spans="1:44" s="588" customFormat="1" hidden="1">
      <c r="A447" s="588" t="s">
        <v>771</v>
      </c>
      <c r="C447" s="631">
        <f>C443</f>
        <v>33312</v>
      </c>
      <c r="D447" s="990">
        <v>0</v>
      </c>
      <c r="E447" s="635"/>
      <c r="F447" s="616"/>
      <c r="G447" s="987">
        <f>G199</f>
        <v>0</v>
      </c>
      <c r="H447" s="592" t="s">
        <v>362</v>
      </c>
      <c r="I447" s="616">
        <f t="shared" ref="I447:I449" si="94">ROUND(G447*$C447/100,0)</f>
        <v>0</v>
      </c>
      <c r="J447" s="616"/>
      <c r="K447" s="987" t="e">
        <f>K199</f>
        <v>#REF!</v>
      </c>
      <c r="L447" s="592" t="s">
        <v>362</v>
      </c>
      <c r="M447" s="616" t="e">
        <f t="shared" ref="M447:M449" si="95">ROUND(K447*$C447/100,0)</f>
        <v>#REF!</v>
      </c>
      <c r="N447" s="616"/>
      <c r="O447" s="987" t="e">
        <f>O199</f>
        <v>#REF!</v>
      </c>
      <c r="P447" s="592" t="s">
        <v>362</v>
      </c>
      <c r="Q447" s="616" t="e">
        <f t="shared" ref="Q447:Q449" si="96">ROUND(O447*$C447/100,0)</f>
        <v>#REF!</v>
      </c>
      <c r="R447" s="616"/>
      <c r="S447" s="987" t="e">
        <f>S199</f>
        <v>#REF!</v>
      </c>
      <c r="T447" s="592" t="s">
        <v>362</v>
      </c>
      <c r="U447" s="616" t="e">
        <f t="shared" ref="U447:U449" si="97">ROUND(S447*$C447/100,0)</f>
        <v>#REF!</v>
      </c>
      <c r="W447" s="450"/>
      <c r="Z447" s="989"/>
      <c r="AA447" s="989"/>
      <c r="AF447" s="635"/>
      <c r="AG447" s="635"/>
      <c r="AH447" s="635"/>
      <c r="AI447" s="635"/>
      <c r="AJ447" s="635"/>
      <c r="AK447" s="635"/>
      <c r="AL447" s="635"/>
      <c r="AM447" s="635"/>
      <c r="AN447" s="635"/>
      <c r="AO447" s="635"/>
      <c r="AP447" s="635"/>
      <c r="AR447" s="988"/>
    </row>
    <row r="448" spans="1:44" s="588" customFormat="1" hidden="1">
      <c r="A448" s="588" t="s">
        <v>772</v>
      </c>
      <c r="C448" s="631">
        <f>C444</f>
        <v>0</v>
      </c>
      <c r="D448" s="990">
        <v>0</v>
      </c>
      <c r="E448" s="635"/>
      <c r="F448" s="616"/>
      <c r="G448" s="987">
        <f>G200</f>
        <v>0</v>
      </c>
      <c r="H448" s="592" t="s">
        <v>362</v>
      </c>
      <c r="I448" s="616">
        <f t="shared" si="94"/>
        <v>0</v>
      </c>
      <c r="J448" s="616"/>
      <c r="K448" s="987" t="e">
        <f>K200</f>
        <v>#REF!</v>
      </c>
      <c r="L448" s="592" t="s">
        <v>362</v>
      </c>
      <c r="M448" s="616" t="e">
        <f t="shared" si="95"/>
        <v>#REF!</v>
      </c>
      <c r="N448" s="616"/>
      <c r="O448" s="987" t="e">
        <f>O200</f>
        <v>#REF!</v>
      </c>
      <c r="P448" s="592" t="s">
        <v>362</v>
      </c>
      <c r="Q448" s="616" t="e">
        <f t="shared" si="96"/>
        <v>#REF!</v>
      </c>
      <c r="R448" s="616"/>
      <c r="S448" s="987" t="e">
        <f>S200</f>
        <v>#REF!</v>
      </c>
      <c r="T448" s="592" t="s">
        <v>362</v>
      </c>
      <c r="U448" s="616" t="e">
        <f t="shared" si="97"/>
        <v>#REF!</v>
      </c>
      <c r="W448" s="450"/>
      <c r="Z448" s="989"/>
      <c r="AA448" s="989"/>
      <c r="AF448" s="635"/>
      <c r="AG448" s="635"/>
      <c r="AH448" s="635"/>
      <c r="AI448" s="635"/>
      <c r="AJ448" s="635"/>
      <c r="AK448" s="635"/>
      <c r="AL448" s="635"/>
      <c r="AM448" s="635"/>
      <c r="AN448" s="635"/>
      <c r="AO448" s="635"/>
      <c r="AP448" s="635"/>
      <c r="AR448" s="988"/>
    </row>
    <row r="449" spans="1:44" s="588" customFormat="1" hidden="1">
      <c r="A449" s="588" t="s">
        <v>773</v>
      </c>
      <c r="C449" s="631">
        <f>C445</f>
        <v>0</v>
      </c>
      <c r="D449" s="990">
        <v>0</v>
      </c>
      <c r="E449" s="635"/>
      <c r="F449" s="616"/>
      <c r="G449" s="987">
        <f>G201</f>
        <v>0</v>
      </c>
      <c r="H449" s="592" t="s">
        <v>362</v>
      </c>
      <c r="I449" s="616">
        <f t="shared" si="94"/>
        <v>0</v>
      </c>
      <c r="J449" s="616"/>
      <c r="K449" s="987" t="e">
        <f>K201</f>
        <v>#REF!</v>
      </c>
      <c r="L449" s="592" t="s">
        <v>362</v>
      </c>
      <c r="M449" s="616" t="e">
        <f t="shared" si="95"/>
        <v>#REF!</v>
      </c>
      <c r="N449" s="616"/>
      <c r="O449" s="987" t="e">
        <f>O201</f>
        <v>#REF!</v>
      </c>
      <c r="P449" s="592" t="s">
        <v>362</v>
      </c>
      <c r="Q449" s="616" t="e">
        <f t="shared" si="96"/>
        <v>#REF!</v>
      </c>
      <c r="R449" s="616"/>
      <c r="S449" s="987" t="e">
        <f>S201</f>
        <v>#REF!</v>
      </c>
      <c r="T449" s="592" t="s">
        <v>362</v>
      </c>
      <c r="U449" s="616" t="e">
        <f t="shared" si="97"/>
        <v>#REF!</v>
      </c>
      <c r="W449" s="450"/>
      <c r="Z449" s="989"/>
      <c r="AA449" s="989"/>
      <c r="AF449" s="635"/>
      <c r="AG449" s="635"/>
      <c r="AH449" s="635"/>
      <c r="AI449" s="635"/>
      <c r="AJ449" s="635"/>
      <c r="AK449" s="635"/>
      <c r="AL449" s="635"/>
      <c r="AM449" s="635"/>
      <c r="AN449" s="635"/>
      <c r="AO449" s="635"/>
      <c r="AP449" s="635"/>
      <c r="AR449" s="988"/>
    </row>
    <row r="450" spans="1:44">
      <c r="A450" s="244" t="s">
        <v>389</v>
      </c>
      <c r="B450" s="305"/>
      <c r="C450" s="61"/>
      <c r="D450" s="1023">
        <f>$D$205</f>
        <v>-0.01</v>
      </c>
      <c r="E450" s="305"/>
      <c r="F450" s="490"/>
      <c r="G450" s="1023">
        <v>-0.01</v>
      </c>
      <c r="H450" s="305"/>
      <c r="I450" s="490"/>
      <c r="J450" s="490"/>
      <c r="K450" s="1023">
        <v>-0.01</v>
      </c>
      <c r="L450" s="305"/>
      <c r="M450" s="490"/>
      <c r="N450" s="490"/>
      <c r="O450" s="1023">
        <v>-0.01</v>
      </c>
      <c r="P450" s="305"/>
      <c r="Q450" s="490"/>
      <c r="R450" s="490"/>
      <c r="S450" s="1023">
        <v>-0.01</v>
      </c>
      <c r="T450" s="305"/>
      <c r="U450" s="490"/>
      <c r="V450" s="7"/>
      <c r="W450" s="31"/>
      <c r="X450" s="31"/>
      <c r="Y450" s="31"/>
      <c r="Z450" s="7"/>
      <c r="AA450" s="7"/>
      <c r="AB450" s="7"/>
      <c r="AC450" s="7"/>
      <c r="AD450" s="7"/>
      <c r="AE450" s="7"/>
      <c r="AF450" s="7"/>
      <c r="AG450" s="7"/>
      <c r="AH450" s="7"/>
      <c r="AI450" s="7"/>
      <c r="AJ450" s="7"/>
      <c r="AK450" s="7"/>
      <c r="AL450" s="7"/>
      <c r="AM450" s="7"/>
      <c r="AN450" s="7"/>
      <c r="AO450" s="7"/>
      <c r="AP450" s="7"/>
      <c r="AR450" s="496"/>
    </row>
    <row r="451" spans="1:44">
      <c r="A451" s="305" t="s">
        <v>378</v>
      </c>
      <c r="B451" s="305"/>
      <c r="C451" s="61">
        <v>0</v>
      </c>
      <c r="D451" s="237">
        <f>$D$230</f>
        <v>9.99</v>
      </c>
      <c r="E451" s="490"/>
      <c r="F451" s="490">
        <f>-ROUND(D451*$C451/100,0)</f>
        <v>0</v>
      </c>
      <c r="G451" s="237">
        <f>G437</f>
        <v>9.99</v>
      </c>
      <c r="H451" s="490"/>
      <c r="I451" s="490">
        <f>-ROUND(G451*$C451/100,0)</f>
        <v>0</v>
      </c>
      <c r="J451" s="490"/>
      <c r="K451" s="237" t="e">
        <f>K437</f>
        <v>#REF!</v>
      </c>
      <c r="L451" s="490"/>
      <c r="M451" s="490" t="e">
        <f>-ROUND(K451*$C451/100,0)</f>
        <v>#REF!</v>
      </c>
      <c r="N451" s="490"/>
      <c r="O451" s="237" t="e">
        <f>O437</f>
        <v>#REF!</v>
      </c>
      <c r="P451" s="490"/>
      <c r="Q451" s="490" t="e">
        <f>-ROUND(O451*$C451/100,0)</f>
        <v>#REF!</v>
      </c>
      <c r="R451" s="490"/>
      <c r="S451" s="237" t="e">
        <f>S437</f>
        <v>#REF!</v>
      </c>
      <c r="T451" s="490"/>
      <c r="U451" s="490" t="e">
        <f>-ROUND(S451*$C451/100,0)</f>
        <v>#REF!</v>
      </c>
      <c r="V451" s="7"/>
      <c r="W451" s="31"/>
      <c r="X451" s="31"/>
      <c r="Y451" s="31"/>
      <c r="Z451" s="7"/>
      <c r="AA451" s="7"/>
      <c r="AB451" s="7"/>
      <c r="AC451" s="7"/>
      <c r="AD451" s="7"/>
      <c r="AE451" s="7"/>
      <c r="AF451" s="7"/>
      <c r="AG451" s="7"/>
      <c r="AH451" s="7"/>
      <c r="AI451" s="7"/>
      <c r="AJ451" s="7"/>
      <c r="AK451" s="7"/>
      <c r="AL451" s="7"/>
      <c r="AM451" s="7"/>
      <c r="AN451" s="7"/>
      <c r="AO451" s="7"/>
      <c r="AP451" s="7"/>
      <c r="AR451" s="496"/>
    </row>
    <row r="452" spans="1:44">
      <c r="A452" s="305" t="s">
        <v>379</v>
      </c>
      <c r="B452" s="305"/>
      <c r="C452" s="61">
        <v>0</v>
      </c>
      <c r="D452" s="237">
        <f>$D$231</f>
        <v>14.89</v>
      </c>
      <c r="E452" s="490"/>
      <c r="F452" s="490">
        <f t="shared" ref="F452:F454" si="98">-ROUND(D452*$C452/100,0)</f>
        <v>0</v>
      </c>
      <c r="G452" s="237">
        <f>G438</f>
        <v>14.89</v>
      </c>
      <c r="H452" s="490"/>
      <c r="I452" s="490">
        <f>-ROUND(G452*$C452/100,0)</f>
        <v>0</v>
      </c>
      <c r="J452" s="490"/>
      <c r="K452" s="237" t="e">
        <f>K438</f>
        <v>#REF!</v>
      </c>
      <c r="L452" s="490"/>
      <c r="M452" s="490" t="e">
        <f>-ROUND(K452*$C452/100,0)</f>
        <v>#REF!</v>
      </c>
      <c r="N452" s="490"/>
      <c r="O452" s="237" t="e">
        <f>O438</f>
        <v>#REF!</v>
      </c>
      <c r="P452" s="490"/>
      <c r="Q452" s="490" t="e">
        <f>-ROUND(O452*$C452/100,0)</f>
        <v>#REF!</v>
      </c>
      <c r="R452" s="490"/>
      <c r="S452" s="237" t="e">
        <f>S438</f>
        <v>#REF!</v>
      </c>
      <c r="T452" s="490"/>
      <c r="U452" s="490" t="e">
        <f>-ROUND(S452*$C452/100,0)</f>
        <v>#REF!</v>
      </c>
      <c r="V452" s="7"/>
      <c r="W452" s="31"/>
      <c r="X452" s="31"/>
      <c r="Y452" s="31"/>
      <c r="Z452" s="7"/>
      <c r="AA452" s="7"/>
      <c r="AB452" s="7"/>
      <c r="AC452" s="7"/>
      <c r="AD452" s="7"/>
      <c r="AE452" s="7"/>
      <c r="AF452" s="7"/>
      <c r="AG452" s="7"/>
      <c r="AH452" s="7"/>
      <c r="AI452" s="7"/>
      <c r="AJ452" s="7"/>
      <c r="AK452" s="7"/>
      <c r="AL452" s="7"/>
      <c r="AM452" s="7"/>
      <c r="AN452" s="7"/>
      <c r="AO452" s="7"/>
      <c r="AP452" s="7"/>
      <c r="AR452" s="496"/>
    </row>
    <row r="453" spans="1:44">
      <c r="A453" s="305" t="s">
        <v>390</v>
      </c>
      <c r="B453" s="305"/>
      <c r="C453" s="61">
        <v>0</v>
      </c>
      <c r="D453" s="237">
        <f>$D$232</f>
        <v>1.04</v>
      </c>
      <c r="E453" s="490"/>
      <c r="F453" s="490">
        <f t="shared" si="98"/>
        <v>0</v>
      </c>
      <c r="G453" s="237">
        <f>G439</f>
        <v>1.04</v>
      </c>
      <c r="H453" s="490"/>
      <c r="I453" s="490">
        <f>-ROUND(G453*$C453/100,0)</f>
        <v>0</v>
      </c>
      <c r="J453" s="490"/>
      <c r="K453" s="237" t="e">
        <f>K439</f>
        <v>#REF!</v>
      </c>
      <c r="L453" s="490"/>
      <c r="M453" s="490" t="e">
        <f>-ROUND(K453*$C453/100,0)</f>
        <v>#REF!</v>
      </c>
      <c r="N453" s="490"/>
      <c r="O453" s="237" t="e">
        <f>O439</f>
        <v>#REF!</v>
      </c>
      <c r="P453" s="490"/>
      <c r="Q453" s="490" t="e">
        <f>-ROUND(O453*$C453/100,0)</f>
        <v>#REF!</v>
      </c>
      <c r="R453" s="490"/>
      <c r="S453" s="237" t="e">
        <f>S439</f>
        <v>#REF!</v>
      </c>
      <c r="T453" s="490"/>
      <c r="U453" s="490" t="e">
        <f>-ROUND(S453*$C453/100,0)</f>
        <v>#REF!</v>
      </c>
      <c r="V453" s="7"/>
      <c r="W453" s="31"/>
      <c r="X453" s="31"/>
      <c r="Y453" s="31"/>
      <c r="Z453" s="7"/>
      <c r="AA453" s="7"/>
      <c r="AB453" s="7"/>
      <c r="AC453" s="7"/>
      <c r="AD453" s="7"/>
      <c r="AE453" s="7"/>
      <c r="AF453" s="7"/>
      <c r="AG453" s="7"/>
      <c r="AH453" s="7"/>
      <c r="AI453" s="7"/>
      <c r="AJ453" s="7"/>
      <c r="AK453" s="7"/>
      <c r="AL453" s="7"/>
      <c r="AM453" s="7"/>
      <c r="AN453" s="7"/>
      <c r="AO453" s="7"/>
      <c r="AP453" s="7"/>
      <c r="AR453" s="496"/>
    </row>
    <row r="454" spans="1:44">
      <c r="A454" s="305" t="s">
        <v>391</v>
      </c>
      <c r="B454" s="305"/>
      <c r="C454" s="61">
        <v>0</v>
      </c>
      <c r="D454" s="237">
        <f>$D$234</f>
        <v>3.8</v>
      </c>
      <c r="E454" s="305"/>
      <c r="F454" s="490">
        <f t="shared" si="98"/>
        <v>0</v>
      </c>
      <c r="G454" s="237">
        <f>G442</f>
        <v>3.8099999999999996</v>
      </c>
      <c r="H454" s="305"/>
      <c r="I454" s="490">
        <f>-ROUND(G454*$C454/100,0)</f>
        <v>0</v>
      </c>
      <c r="J454" s="490"/>
      <c r="K454" s="237" t="e">
        <f>K442</f>
        <v>#REF!</v>
      </c>
      <c r="L454" s="305"/>
      <c r="M454" s="490" t="e">
        <f>-ROUND(K454*$C454/100,0)</f>
        <v>#REF!</v>
      </c>
      <c r="N454" s="490"/>
      <c r="O454" s="237" t="e">
        <f>O442</f>
        <v>#REF!</v>
      </c>
      <c r="P454" s="305"/>
      <c r="Q454" s="490" t="e">
        <f>-ROUND(O454*$C454/100,0)</f>
        <v>#REF!</v>
      </c>
      <c r="R454" s="490"/>
      <c r="S454" s="237" t="e">
        <f>S442</f>
        <v>#REF!</v>
      </c>
      <c r="T454" s="305"/>
      <c r="U454" s="490" t="e">
        <f>-ROUND(S454*$C454/100,0)</f>
        <v>#REF!</v>
      </c>
      <c r="V454" s="7"/>
      <c r="W454" s="31"/>
      <c r="X454" s="31"/>
      <c r="Y454" s="31"/>
      <c r="Z454" s="7"/>
      <c r="AA454" s="7"/>
      <c r="AB454" s="7"/>
      <c r="AC454" s="7"/>
      <c r="AD454" s="7"/>
      <c r="AE454" s="7"/>
      <c r="AF454" s="7"/>
      <c r="AG454" s="7"/>
      <c r="AH454" s="7"/>
      <c r="AI454" s="7"/>
      <c r="AJ454" s="7"/>
      <c r="AK454" s="7"/>
      <c r="AL454" s="7"/>
      <c r="AM454" s="7"/>
      <c r="AN454" s="7"/>
      <c r="AO454" s="7"/>
      <c r="AP454" s="7"/>
      <c r="AR454" s="496"/>
    </row>
    <row r="455" spans="1:44">
      <c r="A455" s="305" t="s">
        <v>393</v>
      </c>
      <c r="B455" s="305"/>
      <c r="C455" s="61">
        <v>0</v>
      </c>
      <c r="D455" s="1025">
        <f>$D$235</f>
        <v>10.878</v>
      </c>
      <c r="E455" s="305" t="s">
        <v>362</v>
      </c>
      <c r="F455" s="490">
        <f>ROUND(D455*$C455/100*D450,0)</f>
        <v>0</v>
      </c>
      <c r="G455" s="1025">
        <f>G443</f>
        <v>10.879</v>
      </c>
      <c r="H455" s="305" t="s">
        <v>362</v>
      </c>
      <c r="I455" s="490">
        <f>ROUND(G455*$C455/100*G450,0)</f>
        <v>0</v>
      </c>
      <c r="J455" s="490"/>
      <c r="K455" s="1025" t="e">
        <f>K443</f>
        <v>#REF!</v>
      </c>
      <c r="L455" s="305" t="s">
        <v>362</v>
      </c>
      <c r="M455" s="490" t="e">
        <f>ROUND(K455*$C455/100*K450,0)</f>
        <v>#REF!</v>
      </c>
      <c r="N455" s="490"/>
      <c r="O455" s="1025" t="e">
        <f>O443</f>
        <v>#REF!</v>
      </c>
      <c r="P455" s="305" t="s">
        <v>362</v>
      </c>
      <c r="Q455" s="490" t="e">
        <f>ROUND(O455*$C455/100*O450,0)</f>
        <v>#REF!</v>
      </c>
      <c r="R455" s="490"/>
      <c r="S455" s="1025" t="e">
        <f>S443</f>
        <v>#REF!</v>
      </c>
      <c r="T455" s="305" t="s">
        <v>362</v>
      </c>
      <c r="U455" s="490" t="e">
        <f>ROUND(S455*$C455/100*S450,0)</f>
        <v>#REF!</v>
      </c>
      <c r="V455" s="7"/>
      <c r="W455" s="31"/>
      <c r="X455" s="31"/>
      <c r="Y455" s="31"/>
      <c r="Z455" s="7"/>
      <c r="AA455" s="7"/>
      <c r="AB455" s="7"/>
      <c r="AC455" s="7"/>
      <c r="AD455" s="7"/>
      <c r="AE455" s="7"/>
      <c r="AF455" s="7"/>
      <c r="AG455" s="7"/>
      <c r="AH455" s="7"/>
      <c r="AI455" s="7"/>
      <c r="AJ455" s="7"/>
      <c r="AK455" s="7"/>
      <c r="AL455" s="7"/>
      <c r="AM455" s="7"/>
      <c r="AN455" s="7"/>
      <c r="AO455" s="7"/>
      <c r="AP455" s="7"/>
      <c r="AR455" s="496"/>
    </row>
    <row r="456" spans="1:44">
      <c r="A456" s="305" t="s">
        <v>386</v>
      </c>
      <c r="B456" s="305"/>
      <c r="C456" s="61">
        <v>0</v>
      </c>
      <c r="D456" s="1025">
        <f>$D$236</f>
        <v>7.5140000000000002</v>
      </c>
      <c r="E456" s="305" t="s">
        <v>362</v>
      </c>
      <c r="F456" s="490">
        <f>ROUND(D456*$C456/100*D450,0)</f>
        <v>0</v>
      </c>
      <c r="G456" s="1025">
        <f>G444</f>
        <v>7.5140000000000002</v>
      </c>
      <c r="H456" s="305" t="s">
        <v>362</v>
      </c>
      <c r="I456" s="490">
        <f>ROUND(G456*$C456/100*G450,0)</f>
        <v>0</v>
      </c>
      <c r="J456" s="490"/>
      <c r="K456" s="1025" t="e">
        <f>K444</f>
        <v>#REF!</v>
      </c>
      <c r="L456" s="305" t="s">
        <v>362</v>
      </c>
      <c r="M456" s="490" t="e">
        <f>ROUND(K456*$C456/100*K450,0)</f>
        <v>#REF!</v>
      </c>
      <c r="N456" s="490"/>
      <c r="O456" s="1025" t="e">
        <f>O444</f>
        <v>#REF!</v>
      </c>
      <c r="P456" s="305" t="s">
        <v>362</v>
      </c>
      <c r="Q456" s="490" t="e">
        <f>ROUND(O456*$C456/100*O450,0)</f>
        <v>#REF!</v>
      </c>
      <c r="R456" s="490"/>
      <c r="S456" s="1025" t="e">
        <f>S444</f>
        <v>#REF!</v>
      </c>
      <c r="T456" s="305" t="s">
        <v>362</v>
      </c>
      <c r="U456" s="490" t="e">
        <f>ROUND(S456*$C456/100*S450,0)</f>
        <v>#REF!</v>
      </c>
      <c r="V456" s="7"/>
      <c r="W456" s="31"/>
      <c r="X456" s="31"/>
      <c r="Y456" s="31"/>
      <c r="Z456" s="7"/>
      <c r="AA456" s="7"/>
      <c r="AB456" s="7"/>
      <c r="AC456" s="7"/>
      <c r="AD456" s="7"/>
      <c r="AE456" s="7"/>
      <c r="AF456" s="7"/>
      <c r="AG456" s="7"/>
      <c r="AH456" s="7"/>
      <c r="AI456" s="7"/>
      <c r="AJ456" s="7"/>
      <c r="AK456" s="7"/>
      <c r="AL456" s="7"/>
      <c r="AM456" s="7"/>
      <c r="AN456" s="7"/>
      <c r="AO456" s="7"/>
      <c r="AP456" s="7"/>
      <c r="AR456" s="496"/>
    </row>
    <row r="457" spans="1:44">
      <c r="A457" s="305" t="s">
        <v>387</v>
      </c>
      <c r="B457" s="305"/>
      <c r="C457" s="61">
        <v>0</v>
      </c>
      <c r="D457" s="1025">
        <f>$D$237</f>
        <v>6.4720000000000004</v>
      </c>
      <c r="E457" s="305" t="s">
        <v>362</v>
      </c>
      <c r="F457" s="490">
        <f>ROUND(D457*$C457/100*D450,0)</f>
        <v>0</v>
      </c>
      <c r="G457" s="1025">
        <f>G445</f>
        <v>6.4720000000000004</v>
      </c>
      <c r="H457" s="305" t="s">
        <v>362</v>
      </c>
      <c r="I457" s="490">
        <f>ROUND(G457*$C457/100*G450,0)</f>
        <v>0</v>
      </c>
      <c r="J457" s="490"/>
      <c r="K457" s="1025" t="e">
        <f>K445</f>
        <v>#REF!</v>
      </c>
      <c r="L457" s="305" t="s">
        <v>362</v>
      </c>
      <c r="M457" s="490" t="e">
        <f>ROUND(K457*$C457/100*K450,0)</f>
        <v>#REF!</v>
      </c>
      <c r="N457" s="490"/>
      <c r="O457" s="1025" t="e">
        <f>O445</f>
        <v>#REF!</v>
      </c>
      <c r="P457" s="305" t="s">
        <v>362</v>
      </c>
      <c r="Q457" s="490" t="e">
        <f>ROUND(O457*$C457/100*O450,0)</f>
        <v>#REF!</v>
      </c>
      <c r="R457" s="490"/>
      <c r="S457" s="1025" t="e">
        <f>S445</f>
        <v>#REF!</v>
      </c>
      <c r="T457" s="305" t="s">
        <v>362</v>
      </c>
      <c r="U457" s="490" t="e">
        <f>ROUND(S457*$C457/100*S450,0)</f>
        <v>#REF!</v>
      </c>
      <c r="V457" s="7"/>
      <c r="W457" s="31"/>
      <c r="X457" s="31"/>
      <c r="Y457" s="31"/>
      <c r="Z457" s="7"/>
      <c r="AA457" s="7"/>
      <c r="AB457" s="7"/>
      <c r="AC457" s="7"/>
      <c r="AD457" s="7"/>
      <c r="AE457" s="7"/>
      <c r="AF457" s="7"/>
      <c r="AG457" s="7"/>
      <c r="AH457" s="7"/>
      <c r="AI457" s="7"/>
      <c r="AJ457" s="7"/>
      <c r="AK457" s="7"/>
      <c r="AL457" s="7"/>
      <c r="AM457" s="7"/>
      <c r="AN457" s="7"/>
      <c r="AO457" s="7"/>
      <c r="AP457" s="7"/>
      <c r="AR457" s="496"/>
    </row>
    <row r="458" spans="1:44">
      <c r="A458" s="305" t="s">
        <v>388</v>
      </c>
      <c r="B458" s="305"/>
      <c r="C458" s="61">
        <v>0</v>
      </c>
      <c r="D458" s="1026">
        <f>$D$238</f>
        <v>58</v>
      </c>
      <c r="E458" s="305" t="s">
        <v>362</v>
      </c>
      <c r="F458" s="490">
        <f>ROUND(D458*$C458/100*D450,0)</f>
        <v>0</v>
      </c>
      <c r="G458" s="1026">
        <f>G446</f>
        <v>58</v>
      </c>
      <c r="H458" s="305" t="s">
        <v>362</v>
      </c>
      <c r="I458" s="490">
        <f>ROUND(G458*$C458/100*G450,0)</f>
        <v>0</v>
      </c>
      <c r="J458" s="490"/>
      <c r="K458" s="1026" t="e">
        <f>K446</f>
        <v>#REF!</v>
      </c>
      <c r="L458" s="305" t="s">
        <v>362</v>
      </c>
      <c r="M458" s="490" t="e">
        <f>ROUND(K458*$C458/100*K450,0)</f>
        <v>#REF!</v>
      </c>
      <c r="N458" s="490"/>
      <c r="O458" s="1026" t="e">
        <f>O446</f>
        <v>#REF!</v>
      </c>
      <c r="P458" s="305" t="s">
        <v>362</v>
      </c>
      <c r="Q458" s="490" t="e">
        <f>ROUND(O458*$C458/100*O450,0)</f>
        <v>#REF!</v>
      </c>
      <c r="R458" s="490"/>
      <c r="S458" s="1026" t="e">
        <f>S446</f>
        <v>#REF!</v>
      </c>
      <c r="T458" s="305" t="s">
        <v>362</v>
      </c>
      <c r="U458" s="490" t="e">
        <f>ROUND(S458*$C458/100*S450,0)</f>
        <v>#REF!</v>
      </c>
      <c r="V458" s="7"/>
      <c r="W458" s="31"/>
      <c r="X458" s="31"/>
      <c r="Y458" s="31"/>
      <c r="Z458" s="7"/>
      <c r="AA458" s="7"/>
      <c r="AB458" s="7"/>
      <c r="AC458" s="7"/>
      <c r="AD458" s="7"/>
      <c r="AE458" s="7"/>
      <c r="AF458" s="7"/>
      <c r="AG458" s="7"/>
      <c r="AH458" s="7"/>
      <c r="AI458" s="7"/>
      <c r="AJ458" s="7"/>
      <c r="AK458" s="7"/>
      <c r="AL458" s="7"/>
      <c r="AM458" s="7"/>
      <c r="AN458" s="7"/>
      <c r="AO458" s="7"/>
      <c r="AP458" s="7"/>
      <c r="AR458" s="496"/>
    </row>
    <row r="459" spans="1:44">
      <c r="A459" s="305" t="s">
        <v>395</v>
      </c>
      <c r="B459" s="305"/>
      <c r="C459" s="61">
        <v>0</v>
      </c>
      <c r="D459" s="237">
        <v>60</v>
      </c>
      <c r="E459" s="305"/>
      <c r="F459" s="490">
        <f>ROUND(D459*C459,0)</f>
        <v>0</v>
      </c>
      <c r="G459" s="237">
        <f>$G$214</f>
        <v>60</v>
      </c>
      <c r="H459" s="305"/>
      <c r="I459" s="490">
        <f>ROUND(G459*$C459,0)</f>
        <v>0</v>
      </c>
      <c r="J459" s="490"/>
      <c r="K459" s="237" t="str">
        <f>$K$214</f>
        <v xml:space="preserve"> </v>
      </c>
      <c r="L459" s="305"/>
      <c r="M459" s="490">
        <f>ROUND(K459*$C459,0)</f>
        <v>0</v>
      </c>
      <c r="N459" s="490"/>
      <c r="O459" s="237" t="e">
        <f>$O$214</f>
        <v>#REF!</v>
      </c>
      <c r="P459" s="305"/>
      <c r="Q459" s="490" t="e">
        <f>ROUND(O459*$C459,0)</f>
        <v>#REF!</v>
      </c>
      <c r="R459" s="490"/>
      <c r="S459" s="237" t="e">
        <f>$S$214</f>
        <v>#REF!</v>
      </c>
      <c r="T459" s="305"/>
      <c r="U459" s="490" t="e">
        <f>ROUND(S459*$C459,0)</f>
        <v>#REF!</v>
      </c>
      <c r="V459" s="7"/>
      <c r="W459" s="31"/>
      <c r="X459" s="31"/>
      <c r="Y459" s="31"/>
      <c r="Z459" s="7"/>
      <c r="AA459" s="7"/>
      <c r="AB459" s="7"/>
      <c r="AC459" s="7"/>
      <c r="AD459" s="7"/>
      <c r="AE459" s="7"/>
      <c r="AF459" s="7"/>
      <c r="AG459" s="7"/>
      <c r="AH459" s="7"/>
      <c r="AI459" s="7"/>
      <c r="AJ459" s="7"/>
      <c r="AK459" s="7"/>
      <c r="AL459" s="7"/>
      <c r="AM459" s="7"/>
      <c r="AN459" s="7"/>
      <c r="AO459" s="7"/>
      <c r="AP459" s="7"/>
      <c r="AR459" s="496"/>
    </row>
    <row r="460" spans="1:44">
      <c r="A460" s="305" t="s">
        <v>396</v>
      </c>
      <c r="B460" s="305"/>
      <c r="C460" s="61">
        <v>0</v>
      </c>
      <c r="D460" s="1027">
        <v>-30</v>
      </c>
      <c r="E460" s="305" t="s">
        <v>362</v>
      </c>
      <c r="F460" s="490">
        <f>ROUND(D460*C460/100,0)</f>
        <v>0</v>
      </c>
      <c r="G460" s="1027">
        <f>$G$215</f>
        <v>-30</v>
      </c>
      <c r="H460" s="305" t="s">
        <v>362</v>
      </c>
      <c r="I460" s="490">
        <f>ROUND(G460*$C460/100,0)</f>
        <v>0</v>
      </c>
      <c r="J460" s="490"/>
      <c r="K460" s="1027" t="e">
        <f>$K$215</f>
        <v>#REF!</v>
      </c>
      <c r="L460" s="305" t="s">
        <v>362</v>
      </c>
      <c r="M460" s="490" t="e">
        <f>ROUND(K460*$C460/100,0)</f>
        <v>#REF!</v>
      </c>
      <c r="N460" s="490"/>
      <c r="O460" s="1027" t="str">
        <f>$O$215</f>
        <v xml:space="preserve"> </v>
      </c>
      <c r="P460" s="305" t="s">
        <v>362</v>
      </c>
      <c r="Q460" s="490">
        <f>ROUND(O460*$C460/100,0)</f>
        <v>0</v>
      </c>
      <c r="R460" s="490"/>
      <c r="S460" s="1027" t="str">
        <f>$S$215</f>
        <v xml:space="preserve"> </v>
      </c>
      <c r="T460" s="305" t="s">
        <v>362</v>
      </c>
      <c r="U460" s="490">
        <f>ROUND(S460*$C460/100,0)</f>
        <v>0</v>
      </c>
      <c r="V460" s="7"/>
      <c r="W460" s="31"/>
      <c r="X460" s="31"/>
      <c r="Y460" s="31"/>
      <c r="Z460" s="7"/>
      <c r="AA460" s="7"/>
      <c r="AB460" s="7"/>
      <c r="AC460" s="7"/>
      <c r="AD460" s="7"/>
      <c r="AE460" s="7"/>
      <c r="AF460" s="7"/>
      <c r="AG460" s="7"/>
      <c r="AH460" s="7"/>
      <c r="AI460" s="7"/>
      <c r="AJ460" s="7"/>
      <c r="AK460" s="7"/>
      <c r="AL460" s="7"/>
      <c r="AM460" s="7"/>
      <c r="AN460" s="7"/>
      <c r="AO460" s="7"/>
      <c r="AP460" s="7"/>
      <c r="AR460" s="496"/>
    </row>
    <row r="461" spans="1:44" s="588" customFormat="1" hidden="1">
      <c r="A461" s="588" t="s">
        <v>771</v>
      </c>
      <c r="C461" s="631">
        <f>C455</f>
        <v>0</v>
      </c>
      <c r="D461" s="987">
        <v>0</v>
      </c>
      <c r="E461" s="635"/>
      <c r="F461" s="616"/>
      <c r="G461" s="987">
        <f>G199</f>
        <v>0</v>
      </c>
      <c r="H461" s="592" t="s">
        <v>362</v>
      </c>
      <c r="I461" s="490">
        <f>ROUND(G461*$C461/100*G450,0)</f>
        <v>0</v>
      </c>
      <c r="J461" s="490"/>
      <c r="K461" s="987" t="e">
        <f>K199</f>
        <v>#REF!</v>
      </c>
      <c r="L461" s="592" t="s">
        <v>362</v>
      </c>
      <c r="M461" s="490" t="e">
        <f>ROUND(K461*$C461/100*K450,0)</f>
        <v>#REF!</v>
      </c>
      <c r="N461" s="490"/>
      <c r="O461" s="987" t="e">
        <f>O199</f>
        <v>#REF!</v>
      </c>
      <c r="P461" s="592" t="s">
        <v>362</v>
      </c>
      <c r="Q461" s="490" t="e">
        <f>ROUND(O461*$C461/100*O450,0)</f>
        <v>#REF!</v>
      </c>
      <c r="R461" s="490"/>
      <c r="S461" s="987" t="e">
        <f>S199</f>
        <v>#REF!</v>
      </c>
      <c r="T461" s="592" t="s">
        <v>362</v>
      </c>
      <c r="U461" s="490" t="e">
        <f>ROUND(S461*$C461/100*S450,0)</f>
        <v>#REF!</v>
      </c>
      <c r="W461" s="450"/>
      <c r="Z461" s="989"/>
      <c r="AA461" s="989"/>
      <c r="AF461" s="635"/>
      <c r="AG461" s="635"/>
      <c r="AH461" s="635"/>
      <c r="AI461" s="635"/>
      <c r="AJ461" s="635"/>
      <c r="AK461" s="635"/>
      <c r="AL461" s="635"/>
      <c r="AM461" s="635"/>
      <c r="AN461" s="635"/>
      <c r="AO461" s="635"/>
      <c r="AP461" s="635"/>
      <c r="AR461" s="988"/>
    </row>
    <row r="462" spans="1:44" s="588" customFormat="1" hidden="1">
      <c r="A462" s="588" t="s">
        <v>772</v>
      </c>
      <c r="C462" s="631">
        <f>C456</f>
        <v>0</v>
      </c>
      <c r="D462" s="987">
        <v>0</v>
      </c>
      <c r="E462" s="635"/>
      <c r="F462" s="616"/>
      <c r="G462" s="987">
        <f>G200</f>
        <v>0</v>
      </c>
      <c r="H462" s="592" t="s">
        <v>362</v>
      </c>
      <c r="I462" s="490">
        <f>ROUND(G462*$C462/100*G450,0)</f>
        <v>0</v>
      </c>
      <c r="J462" s="490"/>
      <c r="K462" s="987" t="e">
        <f>K200</f>
        <v>#REF!</v>
      </c>
      <c r="L462" s="592" t="s">
        <v>362</v>
      </c>
      <c r="M462" s="490" t="e">
        <f>ROUND(K462*$C462/100*K450,0)</f>
        <v>#REF!</v>
      </c>
      <c r="N462" s="490"/>
      <c r="O462" s="987" t="e">
        <f>O200</f>
        <v>#REF!</v>
      </c>
      <c r="P462" s="592" t="s">
        <v>362</v>
      </c>
      <c r="Q462" s="490" t="e">
        <f>ROUND(O462*$C462/100*O450,0)</f>
        <v>#REF!</v>
      </c>
      <c r="R462" s="490"/>
      <c r="S462" s="987" t="e">
        <f>S200</f>
        <v>#REF!</v>
      </c>
      <c r="T462" s="592" t="s">
        <v>362</v>
      </c>
      <c r="U462" s="490" t="e">
        <f>ROUND(S462*$C462/100*S450,0)</f>
        <v>#REF!</v>
      </c>
      <c r="W462" s="450"/>
      <c r="Z462" s="989"/>
      <c r="AA462" s="989"/>
      <c r="AF462" s="635"/>
      <c r="AG462" s="635"/>
      <c r="AH462" s="635"/>
      <c r="AI462" s="635"/>
      <c r="AJ462" s="635"/>
      <c r="AK462" s="635"/>
      <c r="AL462" s="635"/>
      <c r="AM462" s="635"/>
      <c r="AN462" s="635"/>
      <c r="AO462" s="635"/>
      <c r="AP462" s="635"/>
      <c r="AR462" s="988"/>
    </row>
    <row r="463" spans="1:44" s="588" customFormat="1" hidden="1">
      <c r="A463" s="588" t="s">
        <v>773</v>
      </c>
      <c r="C463" s="631">
        <f>C457</f>
        <v>0</v>
      </c>
      <c r="D463" s="987">
        <v>0</v>
      </c>
      <c r="E463" s="635"/>
      <c r="F463" s="616"/>
      <c r="G463" s="987">
        <f>G201</f>
        <v>0</v>
      </c>
      <c r="H463" s="592" t="s">
        <v>362</v>
      </c>
      <c r="I463" s="490">
        <f>ROUND(G463*$C463/100*G450,0)</f>
        <v>0</v>
      </c>
      <c r="J463" s="490"/>
      <c r="K463" s="987" t="e">
        <f>K201</f>
        <v>#REF!</v>
      </c>
      <c r="L463" s="592" t="s">
        <v>362</v>
      </c>
      <c r="M463" s="490" t="e">
        <f>ROUND(K463*$C463/100*K450,0)</f>
        <v>#REF!</v>
      </c>
      <c r="N463" s="490"/>
      <c r="O463" s="987" t="e">
        <f>O201</f>
        <v>#REF!</v>
      </c>
      <c r="P463" s="592" t="s">
        <v>362</v>
      </c>
      <c r="Q463" s="490" t="e">
        <f>ROUND(O463*$C463/100*O450,0)</f>
        <v>#REF!</v>
      </c>
      <c r="R463" s="490"/>
      <c r="S463" s="987" t="e">
        <f>S201</f>
        <v>#REF!</v>
      </c>
      <c r="T463" s="592" t="s">
        <v>362</v>
      </c>
      <c r="U463" s="490" t="e">
        <f>ROUND(S463*$C463/100*S450,0)</f>
        <v>#REF!</v>
      </c>
      <c r="W463" s="450"/>
      <c r="Z463" s="989"/>
      <c r="AA463" s="989"/>
      <c r="AF463" s="635"/>
      <c r="AG463" s="635"/>
      <c r="AH463" s="635"/>
      <c r="AI463" s="635"/>
      <c r="AJ463" s="635"/>
      <c r="AK463" s="635"/>
      <c r="AL463" s="635"/>
      <c r="AM463" s="635"/>
      <c r="AN463" s="635"/>
      <c r="AO463" s="635"/>
      <c r="AP463" s="635"/>
      <c r="AR463" s="988"/>
    </row>
    <row r="464" spans="1:44">
      <c r="A464" s="305" t="s">
        <v>369</v>
      </c>
      <c r="B464" s="305"/>
      <c r="C464" s="61">
        <f>SUM(C443:C445)</f>
        <v>33312</v>
      </c>
      <c r="D464" s="1021"/>
      <c r="E464" s="305"/>
      <c r="F464" s="490">
        <f>SUM(F437:F460)</f>
        <v>8779</v>
      </c>
      <c r="G464" s="1021"/>
      <c r="H464" s="305"/>
      <c r="I464" s="490">
        <f>SUM(I437:I463)</f>
        <v>8779</v>
      </c>
      <c r="J464" s="490"/>
      <c r="K464" s="1021"/>
      <c r="L464" s="305"/>
      <c r="M464" s="490" t="e">
        <f>SUM(M437:M463)</f>
        <v>#REF!</v>
      </c>
      <c r="N464" s="490"/>
      <c r="O464" s="1021"/>
      <c r="P464" s="305"/>
      <c r="Q464" s="490" t="e">
        <f>SUM(Q437:Q463)</f>
        <v>#REF!</v>
      </c>
      <c r="R464" s="490"/>
      <c r="S464" s="1021"/>
      <c r="T464" s="305"/>
      <c r="U464" s="490" t="e">
        <f>SUM(U437:U463)</f>
        <v>#REF!</v>
      </c>
      <c r="V464" s="7"/>
      <c r="W464" s="31"/>
      <c r="X464" s="31"/>
      <c r="Y464" s="31"/>
      <c r="Z464" s="7"/>
      <c r="AA464" s="7"/>
      <c r="AB464" s="7"/>
      <c r="AC464" s="7"/>
      <c r="AD464" s="7"/>
      <c r="AE464" s="7"/>
      <c r="AF464" s="7"/>
      <c r="AG464" s="7"/>
      <c r="AH464" s="7"/>
      <c r="AI464" s="7"/>
      <c r="AJ464" s="7"/>
      <c r="AK464" s="7"/>
      <c r="AL464" s="7"/>
      <c r="AM464" s="7"/>
      <c r="AN464" s="7"/>
      <c r="AO464" s="7"/>
      <c r="AP464" s="7"/>
      <c r="AR464" s="496"/>
    </row>
    <row r="465" spans="1:44">
      <c r="A465" s="305" t="s">
        <v>351</v>
      </c>
      <c r="B465" s="305"/>
      <c r="C465" s="1017">
        <f ca="1">'Table 2'!H73</f>
        <v>623.9135406208477</v>
      </c>
      <c r="D465" s="305"/>
      <c r="E465" s="305"/>
      <c r="F465" s="993">
        <f ca="1">'Table 3'!E73</f>
        <v>53.127150935649873</v>
      </c>
      <c r="G465" s="305"/>
      <c r="H465" s="305"/>
      <c r="I465" s="993">
        <f ca="1">F465</f>
        <v>53.127150935649873</v>
      </c>
      <c r="J465" s="723"/>
      <c r="K465" s="305"/>
      <c r="L465" s="305"/>
      <c r="M465" s="993" t="e">
        <f ca="1">M220/I220*I465</f>
        <v>#DIV/0!</v>
      </c>
      <c r="N465" s="723"/>
      <c r="O465" s="305"/>
      <c r="P465" s="305"/>
      <c r="Q465" s="993" t="e">
        <f ca="1">Q220/I220*I465</f>
        <v>#DIV/0!</v>
      </c>
      <c r="R465" s="723"/>
      <c r="S465" s="305"/>
      <c r="T465" s="305"/>
      <c r="U465" s="993" t="e">
        <f ca="1">U220/I220*I465</f>
        <v>#DIV/0!</v>
      </c>
      <c r="V465" s="714"/>
      <c r="W465" s="171"/>
      <c r="X465" s="31"/>
      <c r="Y465" s="31"/>
      <c r="Z465" s="7"/>
      <c r="AA465" s="7"/>
      <c r="AB465" s="7"/>
      <c r="AC465" s="7"/>
      <c r="AD465" s="7"/>
      <c r="AE465" s="7"/>
      <c r="AF465" s="7"/>
      <c r="AG465" s="7"/>
      <c r="AH465" s="7"/>
      <c r="AI465" s="7"/>
      <c r="AJ465" s="7"/>
      <c r="AK465" s="7"/>
      <c r="AL465" s="7"/>
      <c r="AM465" s="7"/>
      <c r="AN465" s="7"/>
      <c r="AO465" s="7"/>
      <c r="AP465" s="7"/>
      <c r="AR465" s="496"/>
    </row>
    <row r="466" spans="1:44" ht="16.5" thickBot="1">
      <c r="A466" s="305" t="s">
        <v>370</v>
      </c>
      <c r="B466" s="305"/>
      <c r="C466" s="1012">
        <f ca="1">SUM(C464:C465)</f>
        <v>33935.913540620844</v>
      </c>
      <c r="D466" s="1036"/>
      <c r="E466" s="1030"/>
      <c r="F466" s="995">
        <f ca="1">F464+F465</f>
        <v>8832.1271509356502</v>
      </c>
      <c r="G466" s="1036"/>
      <c r="H466" s="1030"/>
      <c r="I466" s="995">
        <f ca="1">I464+I465</f>
        <v>8832.1271509356502</v>
      </c>
      <c r="J466" s="723"/>
      <c r="K466" s="1036"/>
      <c r="L466" s="1030"/>
      <c r="M466" s="995" t="e">
        <f ca="1">M464+M465</f>
        <v>#REF!</v>
      </c>
      <c r="N466" s="995"/>
      <c r="O466" s="1036"/>
      <c r="P466" s="1030"/>
      <c r="Q466" s="995" t="e">
        <f ca="1">Q464+Q465</f>
        <v>#REF!</v>
      </c>
      <c r="R466" s="995"/>
      <c r="S466" s="1036"/>
      <c r="T466" s="1030"/>
      <c r="U466" s="995" t="e">
        <f ca="1">U464+U465</f>
        <v>#REF!</v>
      </c>
      <c r="V466" s="295"/>
      <c r="W466" s="354"/>
      <c r="X466" s="31"/>
      <c r="Y466" s="31"/>
      <c r="Z466" s="7"/>
      <c r="AA466" s="7"/>
      <c r="AB466" s="7"/>
      <c r="AC466" s="7"/>
      <c r="AD466" s="7"/>
      <c r="AE466" s="7"/>
      <c r="AF466" s="7"/>
      <c r="AG466" s="7"/>
      <c r="AH466" s="7"/>
      <c r="AI466" s="7"/>
      <c r="AJ466" s="7"/>
      <c r="AK466" s="7"/>
      <c r="AL466" s="7"/>
      <c r="AM466" s="7"/>
      <c r="AN466" s="7"/>
      <c r="AO466" s="7"/>
      <c r="AP466" s="7"/>
      <c r="AR466" s="496"/>
    </row>
    <row r="467" spans="1:44" ht="16.5" thickTop="1">
      <c r="A467" s="305"/>
      <c r="B467" s="305"/>
      <c r="C467" s="61"/>
      <c r="D467" s="237" t="s">
        <v>31</v>
      </c>
      <c r="E467" s="305"/>
      <c r="F467" s="490"/>
      <c r="G467" s="237" t="s">
        <v>31</v>
      </c>
      <c r="H467" s="305"/>
      <c r="I467" s="490" t="s">
        <v>31</v>
      </c>
      <c r="J467" s="490"/>
      <c r="K467" s="237" t="s">
        <v>31</v>
      </c>
      <c r="L467" s="305"/>
      <c r="M467" s="490" t="s">
        <v>31</v>
      </c>
      <c r="N467" s="490"/>
      <c r="O467" s="237" t="s">
        <v>31</v>
      </c>
      <c r="P467" s="305"/>
      <c r="Q467" s="490" t="s">
        <v>31</v>
      </c>
      <c r="R467" s="490"/>
      <c r="S467" s="237" t="s">
        <v>31</v>
      </c>
      <c r="T467" s="305"/>
      <c r="U467" s="490" t="s">
        <v>31</v>
      </c>
      <c r="V467" s="7"/>
      <c r="W467" s="31"/>
      <c r="X467" s="31"/>
      <c r="Y467" s="31"/>
      <c r="Z467" s="7"/>
      <c r="AA467" s="7"/>
      <c r="AB467" s="7"/>
      <c r="AC467" s="7"/>
      <c r="AD467" s="7"/>
      <c r="AE467" s="7"/>
      <c r="AF467" s="7"/>
      <c r="AG467" s="7"/>
      <c r="AH467" s="7"/>
      <c r="AI467" s="7"/>
      <c r="AJ467" s="7"/>
      <c r="AK467" s="7"/>
      <c r="AL467" s="7"/>
      <c r="AM467" s="7"/>
      <c r="AN467" s="7"/>
      <c r="AO467" s="7"/>
      <c r="AP467" s="7"/>
      <c r="AR467" s="496"/>
    </row>
    <row r="468" spans="1:44">
      <c r="A468" s="305"/>
      <c r="B468" s="305"/>
      <c r="C468" s="61"/>
      <c r="D468" s="237" t="s">
        <v>31</v>
      </c>
      <c r="E468" s="305"/>
      <c r="F468" s="490"/>
      <c r="G468" s="237" t="s">
        <v>31</v>
      </c>
      <c r="H468" s="305"/>
      <c r="I468" s="490" t="s">
        <v>31</v>
      </c>
      <c r="J468" s="490"/>
      <c r="K468" s="237" t="s">
        <v>31</v>
      </c>
      <c r="L468" s="305"/>
      <c r="M468" s="490" t="s">
        <v>31</v>
      </c>
      <c r="N468" s="490"/>
      <c r="O468" s="237" t="s">
        <v>31</v>
      </c>
      <c r="P468" s="305"/>
      <c r="Q468" s="490" t="s">
        <v>31</v>
      </c>
      <c r="R468" s="490"/>
      <c r="S468" s="237" t="s">
        <v>31</v>
      </c>
      <c r="T468" s="305"/>
      <c r="U468" s="490" t="s">
        <v>31</v>
      </c>
      <c r="V468" s="7"/>
      <c r="W468" s="31"/>
      <c r="X468" s="31"/>
      <c r="Y468" s="31"/>
      <c r="Z468" s="7"/>
      <c r="AA468" s="7"/>
      <c r="AB468" s="7"/>
      <c r="AC468" s="7"/>
      <c r="AD468" s="7"/>
      <c r="AE468" s="7"/>
      <c r="AF468" s="7"/>
      <c r="AG468" s="7"/>
      <c r="AH468" s="7"/>
      <c r="AI468" s="7"/>
      <c r="AJ468" s="7"/>
      <c r="AK468" s="7"/>
      <c r="AL468" s="7"/>
      <c r="AM468" s="7"/>
      <c r="AN468" s="7"/>
      <c r="AO468" s="7"/>
      <c r="AP468" s="7"/>
      <c r="AR468" s="496"/>
    </row>
    <row r="469" spans="1:44">
      <c r="A469" s="305" t="s">
        <v>405</v>
      </c>
      <c r="B469" s="305"/>
      <c r="C469" s="305"/>
      <c r="D469" s="490"/>
      <c r="E469" s="305"/>
      <c r="F469" s="305"/>
      <c r="G469" s="490"/>
      <c r="H469" s="305"/>
      <c r="I469" s="305"/>
      <c r="J469" s="305"/>
      <c r="K469" s="490"/>
      <c r="L469" s="305"/>
      <c r="M469" s="305"/>
      <c r="N469" s="305"/>
      <c r="O469" s="490"/>
      <c r="P469" s="305"/>
      <c r="Q469" s="305"/>
      <c r="R469" s="305"/>
      <c r="S469" s="490"/>
      <c r="T469" s="305"/>
      <c r="U469" s="305"/>
      <c r="V469" s="7"/>
      <c r="W469" s="31"/>
      <c r="X469" s="31"/>
      <c r="Y469" s="31"/>
      <c r="Z469" s="7"/>
      <c r="AA469" s="7"/>
      <c r="AB469" s="7"/>
      <c r="AC469" s="7"/>
      <c r="AD469" s="7"/>
      <c r="AE469" s="7"/>
      <c r="AF469" s="7"/>
      <c r="AG469" s="7"/>
      <c r="AH469" s="7"/>
      <c r="AI469" s="7"/>
      <c r="AJ469" s="7"/>
      <c r="AK469" s="7"/>
      <c r="AL469" s="7"/>
      <c r="AM469" s="7"/>
      <c r="AN469" s="7"/>
      <c r="AO469" s="7"/>
      <c r="AP469" s="7"/>
      <c r="AR469" s="496"/>
    </row>
    <row r="470" spans="1:44">
      <c r="A470" s="305" t="s">
        <v>398</v>
      </c>
      <c r="B470" s="305"/>
      <c r="C470" s="305"/>
      <c r="D470" s="490"/>
      <c r="E470" s="305"/>
      <c r="F470" s="305"/>
      <c r="G470" s="490"/>
      <c r="H470" s="305"/>
      <c r="I470" s="305"/>
      <c r="J470" s="305"/>
      <c r="K470" s="490"/>
      <c r="L470" s="305"/>
      <c r="M470" s="305"/>
      <c r="N470" s="305"/>
      <c r="O470" s="490"/>
      <c r="P470" s="305"/>
      <c r="Q470" s="305"/>
      <c r="R470" s="305"/>
      <c r="S470" s="490"/>
      <c r="T470" s="305"/>
      <c r="U470" s="305"/>
      <c r="V470" s="7"/>
      <c r="W470" s="31"/>
      <c r="X470" s="31"/>
      <c r="Y470" s="31"/>
      <c r="Z470" s="7"/>
      <c r="AA470" s="7"/>
      <c r="AB470" s="7"/>
      <c r="AC470" s="7"/>
      <c r="AD470" s="7"/>
      <c r="AE470" s="7"/>
      <c r="AF470" s="7"/>
      <c r="AG470" s="7"/>
      <c r="AH470" s="7"/>
      <c r="AI470" s="7"/>
      <c r="AJ470" s="7"/>
      <c r="AK470" s="7"/>
      <c r="AL470" s="7"/>
      <c r="AM470" s="7"/>
      <c r="AN470" s="7"/>
      <c r="AO470" s="7"/>
      <c r="AP470" s="7"/>
    </row>
    <row r="471" spans="1:44">
      <c r="A471" s="305" t="s">
        <v>406</v>
      </c>
      <c r="B471" s="305"/>
      <c r="C471" s="305"/>
      <c r="D471" s="490"/>
      <c r="E471" s="305"/>
      <c r="F471" s="305"/>
      <c r="G471" s="490"/>
      <c r="H471" s="305"/>
      <c r="I471" s="305"/>
      <c r="J471" s="305"/>
      <c r="K471" s="490"/>
      <c r="L471" s="305"/>
      <c r="M471" s="305"/>
      <c r="N471" s="305"/>
      <c r="O471" s="490"/>
      <c r="P471" s="305"/>
      <c r="Q471" s="305"/>
      <c r="R471" s="305"/>
      <c r="S471" s="490"/>
      <c r="T471" s="305"/>
      <c r="U471" s="305"/>
      <c r="V471" s="7"/>
      <c r="W471" s="31"/>
      <c r="X471" s="31"/>
      <c r="Y471" s="31"/>
      <c r="Z471" s="7"/>
      <c r="AA471" s="7"/>
      <c r="AB471" s="7"/>
      <c r="AC471" s="7"/>
      <c r="AD471" s="7"/>
      <c r="AE471" s="7"/>
      <c r="AF471" s="7"/>
      <c r="AG471" s="7"/>
      <c r="AH471" s="7"/>
      <c r="AI471" s="7"/>
      <c r="AJ471" s="7"/>
      <c r="AK471" s="7"/>
      <c r="AL471" s="7"/>
      <c r="AM471" s="7"/>
      <c r="AN471" s="7"/>
      <c r="AO471" s="7"/>
      <c r="AP471" s="7"/>
    </row>
    <row r="472" spans="1:44">
      <c r="A472" s="305" t="s">
        <v>381</v>
      </c>
      <c r="B472" s="305"/>
      <c r="C472" s="61"/>
      <c r="D472" s="490"/>
      <c r="E472" s="305"/>
      <c r="F472" s="305"/>
      <c r="G472" s="490"/>
      <c r="H472" s="305"/>
      <c r="I472" s="305"/>
      <c r="J472" s="305"/>
      <c r="K472" s="490"/>
      <c r="L472" s="305"/>
      <c r="M472" s="305"/>
      <c r="N472" s="305"/>
      <c r="O472" s="490"/>
      <c r="P472" s="305"/>
      <c r="Q472" s="305"/>
      <c r="R472" s="305"/>
      <c r="S472" s="490"/>
      <c r="T472" s="305"/>
      <c r="U472" s="305"/>
      <c r="V472" s="7"/>
      <c r="W472" s="31"/>
      <c r="X472" s="31"/>
      <c r="Y472" s="31"/>
      <c r="Z472" s="7"/>
      <c r="AA472" s="7"/>
      <c r="AB472" s="7"/>
      <c r="AC472" s="7"/>
      <c r="AD472" s="7"/>
      <c r="AE472" s="7"/>
      <c r="AF472" s="7"/>
      <c r="AG472" s="7"/>
      <c r="AH472" s="7"/>
      <c r="AI472" s="7"/>
      <c r="AJ472" s="7"/>
      <c r="AK472" s="7"/>
      <c r="AL472" s="7"/>
      <c r="AM472" s="7"/>
      <c r="AN472" s="7"/>
      <c r="AO472" s="7"/>
      <c r="AP472" s="7"/>
    </row>
    <row r="473" spans="1:44">
      <c r="A473" s="305" t="s">
        <v>378</v>
      </c>
      <c r="B473" s="305"/>
      <c r="C473" s="61">
        <f t="shared" ref="C473:C482" si="99">C508+C543</f>
        <v>3</v>
      </c>
      <c r="D473" s="448">
        <f>$D$185</f>
        <v>119.88</v>
      </c>
      <c r="E473" s="305"/>
      <c r="F473" s="490">
        <f>F508+F543</f>
        <v>360</v>
      </c>
      <c r="G473" s="448">
        <f>$G$185</f>
        <v>119.88</v>
      </c>
      <c r="H473" s="305"/>
      <c r="I473" s="490">
        <f>I508+I543</f>
        <v>360</v>
      </c>
      <c r="J473" s="490"/>
      <c r="K473" s="448" t="e">
        <f>$K$185</f>
        <v>#REF!</v>
      </c>
      <c r="L473" s="305"/>
      <c r="M473" s="490" t="e">
        <f>M508+M543</f>
        <v>#REF!</v>
      </c>
      <c r="N473" s="490"/>
      <c r="O473" s="448" t="e">
        <f>$O$185</f>
        <v>#REF!</v>
      </c>
      <c r="P473" s="305"/>
      <c r="Q473" s="490" t="e">
        <f>Q508+Q543</f>
        <v>#REF!</v>
      </c>
      <c r="R473" s="490"/>
      <c r="S473" s="448" t="e">
        <f>$S$185</f>
        <v>#REF!</v>
      </c>
      <c r="T473" s="305"/>
      <c r="U473" s="490" t="e">
        <f>U508+U543</f>
        <v>#REF!</v>
      </c>
      <c r="V473" s="7"/>
      <c r="W473" s="31"/>
      <c r="X473" s="31"/>
      <c r="Y473" s="31"/>
      <c r="Z473" s="7"/>
      <c r="AA473" s="7"/>
      <c r="AB473" s="7"/>
      <c r="AC473" s="7"/>
      <c r="AD473" s="7"/>
      <c r="AE473" s="7"/>
      <c r="AF473" s="7"/>
      <c r="AG473" s="7"/>
      <c r="AH473" s="7"/>
      <c r="AI473" s="7"/>
      <c r="AJ473" s="7"/>
      <c r="AK473" s="7"/>
      <c r="AL473" s="7"/>
      <c r="AM473" s="7"/>
      <c r="AN473" s="7"/>
      <c r="AO473" s="7"/>
      <c r="AP473" s="7"/>
    </row>
    <row r="474" spans="1:44">
      <c r="A474" s="305" t="s">
        <v>379</v>
      </c>
      <c r="B474" s="305"/>
      <c r="C474" s="61">
        <f t="shared" si="99"/>
        <v>74.671232876712295</v>
      </c>
      <c r="D474" s="448">
        <f>$D$186</f>
        <v>178.68</v>
      </c>
      <c r="E474" s="1004"/>
      <c r="F474" s="490">
        <f>F509+F544</f>
        <v>13343</v>
      </c>
      <c r="G474" s="448">
        <f>$G$186</f>
        <v>178.68</v>
      </c>
      <c r="H474" s="1004"/>
      <c r="I474" s="490">
        <f>I509+I544</f>
        <v>13343</v>
      </c>
      <c r="J474" s="490"/>
      <c r="K474" s="448" t="e">
        <f>$K$186</f>
        <v>#REF!</v>
      </c>
      <c r="L474" s="1004"/>
      <c r="M474" s="490" t="e">
        <f>M509+M544</f>
        <v>#REF!</v>
      </c>
      <c r="N474" s="490"/>
      <c r="O474" s="448" t="e">
        <f>$O$186</f>
        <v>#REF!</v>
      </c>
      <c r="P474" s="1004"/>
      <c r="Q474" s="490" t="e">
        <f>Q509+Q544</f>
        <v>#REF!</v>
      </c>
      <c r="R474" s="490"/>
      <c r="S474" s="448" t="e">
        <f>$S$186</f>
        <v>#REF!</v>
      </c>
      <c r="T474" s="1004"/>
      <c r="U474" s="490" t="e">
        <f>U509+U544</f>
        <v>#REF!</v>
      </c>
      <c r="V474" s="7"/>
      <c r="W474" s="31"/>
      <c r="X474" s="31"/>
      <c r="Y474" s="31"/>
      <c r="Z474" s="7"/>
      <c r="AA474" s="7"/>
      <c r="AB474" s="7"/>
      <c r="AC474" s="7"/>
      <c r="AD474" s="7"/>
      <c r="AE474" s="7"/>
      <c r="AF474" s="7"/>
      <c r="AG474" s="7"/>
      <c r="AH474" s="7"/>
      <c r="AI474" s="7"/>
      <c r="AJ474" s="7"/>
      <c r="AK474" s="7"/>
      <c r="AL474" s="7"/>
      <c r="AM474" s="7"/>
      <c r="AN474" s="7"/>
      <c r="AO474" s="7"/>
      <c r="AP474" s="7"/>
    </row>
    <row r="475" spans="1:44">
      <c r="A475" s="305" t="s">
        <v>380</v>
      </c>
      <c r="B475" s="305"/>
      <c r="C475" s="61">
        <f t="shared" si="99"/>
        <v>2454.0986301369899</v>
      </c>
      <c r="D475" s="448">
        <f>$D$187</f>
        <v>12.48</v>
      </c>
      <c r="E475" s="1004"/>
      <c r="F475" s="490">
        <f>F510+F545</f>
        <v>30627</v>
      </c>
      <c r="G475" s="448">
        <f>$G$187</f>
        <v>12.48</v>
      </c>
      <c r="H475" s="1004"/>
      <c r="I475" s="490">
        <f>I510+I545</f>
        <v>30627</v>
      </c>
      <c r="J475" s="490"/>
      <c r="K475" s="448" t="e">
        <f>$K$187</f>
        <v>#REF!</v>
      </c>
      <c r="L475" s="1004"/>
      <c r="M475" s="490" t="e">
        <f>M510+M545</f>
        <v>#REF!</v>
      </c>
      <c r="N475" s="490"/>
      <c r="O475" s="448" t="e">
        <f>$O$187</f>
        <v>#REF!</v>
      </c>
      <c r="P475" s="1004"/>
      <c r="Q475" s="490" t="e">
        <f>Q510+Q545</f>
        <v>#REF!</v>
      </c>
      <c r="R475" s="490"/>
      <c r="S475" s="448" t="e">
        <f>$S$187</f>
        <v>#REF!</v>
      </c>
      <c r="T475" s="1004"/>
      <c r="U475" s="490" t="e">
        <f>U510+U545</f>
        <v>#REF!</v>
      </c>
      <c r="V475" s="7"/>
      <c r="W475" s="31"/>
      <c r="X475" s="31"/>
      <c r="Y475" s="31"/>
      <c r="Z475" s="7"/>
      <c r="AA475" s="7"/>
      <c r="AB475" s="7"/>
      <c r="AC475" s="7"/>
      <c r="AD475" s="7"/>
      <c r="AE475" s="7"/>
      <c r="AF475" s="7"/>
      <c r="AG475" s="7"/>
      <c r="AH475" s="7"/>
      <c r="AI475" s="7"/>
      <c r="AJ475" s="7"/>
      <c r="AK475" s="7"/>
      <c r="AL475" s="7"/>
      <c r="AM475" s="7"/>
      <c r="AN475" s="7"/>
      <c r="AO475" s="7"/>
      <c r="AP475" s="7"/>
    </row>
    <row r="476" spans="1:44">
      <c r="A476" s="305" t="s">
        <v>382</v>
      </c>
      <c r="B476" s="305"/>
      <c r="C476" s="61">
        <f t="shared" si="99"/>
        <v>77.671232876712295</v>
      </c>
      <c r="D476" s="448"/>
      <c r="E476" s="305"/>
      <c r="F476" s="490"/>
      <c r="G476" s="448"/>
      <c r="H476" s="305"/>
      <c r="I476" s="490"/>
      <c r="J476" s="490"/>
      <c r="K476" s="448"/>
      <c r="L476" s="305"/>
      <c r="M476" s="490"/>
      <c r="N476" s="490"/>
      <c r="O476" s="448"/>
      <c r="P476" s="305"/>
      <c r="Q476" s="490"/>
      <c r="R476" s="490"/>
      <c r="S476" s="448"/>
      <c r="T476" s="305"/>
      <c r="U476" s="490"/>
      <c r="V476" s="7"/>
      <c r="W476" s="31"/>
      <c r="X476" s="31"/>
      <c r="Y476" s="31"/>
      <c r="Z476" s="7"/>
      <c r="AA476" s="7"/>
      <c r="AB476" s="7"/>
      <c r="AC476" s="7"/>
      <c r="AD476" s="7"/>
      <c r="AE476" s="7"/>
      <c r="AF476" s="7"/>
      <c r="AG476" s="7"/>
      <c r="AH476" s="7"/>
      <c r="AI476" s="7"/>
      <c r="AJ476" s="7"/>
      <c r="AK476" s="7"/>
      <c r="AL476" s="7"/>
      <c r="AM476" s="7"/>
      <c r="AN476" s="7"/>
      <c r="AO476" s="7"/>
      <c r="AP476" s="7"/>
    </row>
    <row r="477" spans="1:44">
      <c r="A477" s="305" t="s">
        <v>407</v>
      </c>
      <c r="B477" s="305"/>
      <c r="C477" s="61">
        <f t="shared" si="99"/>
        <v>862.95333333333394</v>
      </c>
      <c r="D477" s="448"/>
      <c r="E477" s="305"/>
      <c r="F477" s="490"/>
      <c r="G477" s="448"/>
      <c r="H477" s="305"/>
      <c r="I477" s="490"/>
      <c r="J477" s="490"/>
      <c r="K477" s="448"/>
      <c r="L477" s="305"/>
      <c r="M477" s="490"/>
      <c r="N477" s="490"/>
      <c r="O477" s="448"/>
      <c r="P477" s="305"/>
      <c r="Q477" s="490"/>
      <c r="R477" s="490"/>
      <c r="S477" s="448"/>
      <c r="T477" s="305"/>
      <c r="U477" s="490"/>
      <c r="V477" s="7"/>
      <c r="W477" s="31"/>
      <c r="X477" s="31"/>
      <c r="Y477" s="31"/>
      <c r="Z477" s="7"/>
      <c r="AA477" s="7"/>
      <c r="AB477" s="7"/>
      <c r="AC477" s="7"/>
      <c r="AD477" s="7"/>
      <c r="AE477" s="7"/>
      <c r="AF477" s="7"/>
      <c r="AG477" s="7"/>
      <c r="AH477" s="7"/>
      <c r="AI477" s="7"/>
      <c r="AJ477" s="7"/>
      <c r="AK477" s="7"/>
      <c r="AL477" s="7"/>
      <c r="AM477" s="7"/>
      <c r="AN477" s="7"/>
      <c r="AO477" s="7"/>
      <c r="AP477" s="7"/>
    </row>
    <row r="478" spans="1:44">
      <c r="A478" s="305" t="s">
        <v>383</v>
      </c>
      <c r="B478" s="305"/>
      <c r="C478" s="61">
        <f t="shared" si="99"/>
        <v>3462.2</v>
      </c>
      <c r="D478" s="237">
        <f>$D$194</f>
        <v>3.8</v>
      </c>
      <c r="E478" s="305"/>
      <c r="F478" s="490">
        <f>F513+F548</f>
        <v>13156</v>
      </c>
      <c r="G478" s="237">
        <f>$G$194</f>
        <v>3.8099999999999996</v>
      </c>
      <c r="H478" s="305"/>
      <c r="I478" s="490">
        <f>I513+I548</f>
        <v>13191</v>
      </c>
      <c r="J478" s="490"/>
      <c r="K478" s="237" t="e">
        <f>$K$194</f>
        <v>#REF!</v>
      </c>
      <c r="L478" s="305"/>
      <c r="M478" s="490" t="e">
        <f>M513+M548</f>
        <v>#REF!</v>
      </c>
      <c r="N478" s="490"/>
      <c r="O478" s="237" t="e">
        <f>$O$194</f>
        <v>#REF!</v>
      </c>
      <c r="P478" s="305"/>
      <c r="Q478" s="490" t="e">
        <f>Q513+Q548</f>
        <v>#REF!</v>
      </c>
      <c r="R478" s="490"/>
      <c r="S478" s="237" t="e">
        <f>$S$194</f>
        <v>#REF!</v>
      </c>
      <c r="T478" s="305"/>
      <c r="U478" s="490" t="e">
        <f>U513+U548</f>
        <v>#REF!</v>
      </c>
      <c r="V478" s="7"/>
      <c r="W478" s="31"/>
      <c r="X478" s="31"/>
      <c r="Y478" s="31"/>
      <c r="Z478" s="7"/>
      <c r="AA478" s="7"/>
      <c r="AB478" s="7"/>
      <c r="AC478" s="7"/>
      <c r="AD478" s="7"/>
      <c r="AE478" s="7"/>
      <c r="AF478" s="7"/>
      <c r="AG478" s="7"/>
      <c r="AH478" s="7"/>
      <c r="AI478" s="7"/>
      <c r="AJ478" s="7"/>
      <c r="AK478" s="7"/>
      <c r="AL478" s="7"/>
      <c r="AM478" s="7"/>
      <c r="AN478" s="7"/>
      <c r="AO478" s="7"/>
      <c r="AP478" s="7"/>
    </row>
    <row r="479" spans="1:44">
      <c r="A479" s="305" t="s">
        <v>385</v>
      </c>
      <c r="B479" s="305"/>
      <c r="C479" s="61">
        <f t="shared" si="99"/>
        <v>86775</v>
      </c>
      <c r="D479" s="1006">
        <f>$D$195</f>
        <v>10.878</v>
      </c>
      <c r="E479" s="305" t="s">
        <v>362</v>
      </c>
      <c r="F479" s="490">
        <f>F514+F549</f>
        <v>9439</v>
      </c>
      <c r="G479" s="1006">
        <f>$G$195</f>
        <v>10.879</v>
      </c>
      <c r="H479" s="305" t="s">
        <v>362</v>
      </c>
      <c r="I479" s="490">
        <f>I514+I549</f>
        <v>9440</v>
      </c>
      <c r="J479" s="490"/>
      <c r="K479" s="1006" t="e">
        <f>$K$195</f>
        <v>#REF!</v>
      </c>
      <c r="L479" s="305" t="s">
        <v>362</v>
      </c>
      <c r="M479" s="490" t="e">
        <f>M514+M549</f>
        <v>#REF!</v>
      </c>
      <c r="N479" s="490"/>
      <c r="O479" s="1006" t="e">
        <f>$O$195</f>
        <v>#REF!</v>
      </c>
      <c r="P479" s="305" t="s">
        <v>362</v>
      </c>
      <c r="Q479" s="490" t="e">
        <f>Q514+Q549</f>
        <v>#REF!</v>
      </c>
      <c r="R479" s="490"/>
      <c r="S479" s="1006" t="e">
        <f>$S$195</f>
        <v>#REF!</v>
      </c>
      <c r="T479" s="305" t="s">
        <v>362</v>
      </c>
      <c r="U479" s="490" t="e">
        <f>U514+U549</f>
        <v>#REF!</v>
      </c>
      <c r="V479" s="7"/>
      <c r="W479" s="31"/>
      <c r="X479" s="31"/>
      <c r="Y479" s="31"/>
      <c r="Z479" s="7"/>
      <c r="AA479" s="7"/>
      <c r="AB479" s="7"/>
      <c r="AC479" s="7"/>
      <c r="AD479" s="7"/>
      <c r="AE479" s="7"/>
      <c r="AF479" s="7"/>
      <c r="AG479" s="7"/>
      <c r="AH479" s="7"/>
      <c r="AI479" s="7"/>
      <c r="AJ479" s="7"/>
      <c r="AK479" s="7"/>
      <c r="AL479" s="7"/>
      <c r="AM479" s="7"/>
      <c r="AN479" s="7"/>
      <c r="AO479" s="7"/>
      <c r="AP479" s="7"/>
    </row>
    <row r="480" spans="1:44">
      <c r="A480" s="305" t="s">
        <v>386</v>
      </c>
      <c r="B480" s="305"/>
      <c r="C480" s="61">
        <f t="shared" si="99"/>
        <v>47493</v>
      </c>
      <c r="D480" s="1006">
        <f>$D$196</f>
        <v>7.5140000000000002</v>
      </c>
      <c r="E480" s="305" t="s">
        <v>362</v>
      </c>
      <c r="F480" s="490">
        <f>F515+F550</f>
        <v>3569</v>
      </c>
      <c r="G480" s="1006">
        <f>$G$196</f>
        <v>7.5140000000000002</v>
      </c>
      <c r="H480" s="305" t="s">
        <v>362</v>
      </c>
      <c r="I480" s="490">
        <f>I515+I550</f>
        <v>3569</v>
      </c>
      <c r="J480" s="490"/>
      <c r="K480" s="1006" t="e">
        <f>$K$196</f>
        <v>#REF!</v>
      </c>
      <c r="L480" s="305" t="s">
        <v>362</v>
      </c>
      <c r="M480" s="490" t="e">
        <f>M515+M550</f>
        <v>#REF!</v>
      </c>
      <c r="N480" s="490"/>
      <c r="O480" s="1006" t="e">
        <f>$O$196</f>
        <v>#REF!</v>
      </c>
      <c r="P480" s="305" t="s">
        <v>362</v>
      </c>
      <c r="Q480" s="490" t="e">
        <f>Q515+Q550</f>
        <v>#REF!</v>
      </c>
      <c r="R480" s="490"/>
      <c r="S480" s="1006" t="e">
        <f>$S$196</f>
        <v>#REF!</v>
      </c>
      <c r="T480" s="305" t="s">
        <v>362</v>
      </c>
      <c r="U480" s="490" t="e">
        <f>U515+U550</f>
        <v>#REF!</v>
      </c>
      <c r="V480" s="7"/>
      <c r="W480" s="31"/>
      <c r="X480" s="31"/>
      <c r="Y480" s="31"/>
      <c r="Z480" s="7"/>
      <c r="AA480" s="7"/>
      <c r="AB480" s="7"/>
      <c r="AC480" s="7"/>
      <c r="AD480" s="7"/>
      <c r="AE480" s="7"/>
      <c r="AF480" s="7"/>
      <c r="AG480" s="7"/>
      <c r="AH480" s="7"/>
      <c r="AI480" s="7"/>
      <c r="AJ480" s="7"/>
      <c r="AK480" s="7"/>
      <c r="AL480" s="7"/>
      <c r="AM480" s="7"/>
      <c r="AN480" s="7"/>
      <c r="AO480" s="7"/>
      <c r="AP480" s="7"/>
    </row>
    <row r="481" spans="1:44">
      <c r="A481" s="305" t="s">
        <v>387</v>
      </c>
      <c r="B481" s="305"/>
      <c r="C481" s="61">
        <f t="shared" si="99"/>
        <v>0</v>
      </c>
      <c r="D481" s="1006">
        <f>$D$197</f>
        <v>6.4720000000000004</v>
      </c>
      <c r="E481" s="305" t="s">
        <v>362</v>
      </c>
      <c r="F481" s="490">
        <f>F516+F551</f>
        <v>0</v>
      </c>
      <c r="G481" s="1006">
        <f>$G$197</f>
        <v>6.4720000000000004</v>
      </c>
      <c r="H481" s="305" t="s">
        <v>362</v>
      </c>
      <c r="I481" s="490">
        <f>I516+I551</f>
        <v>0</v>
      </c>
      <c r="J481" s="490"/>
      <c r="K481" s="1006" t="e">
        <f>$K$197</f>
        <v>#REF!</v>
      </c>
      <c r="L481" s="305" t="s">
        <v>362</v>
      </c>
      <c r="M481" s="490" t="e">
        <f>M516+M551</f>
        <v>#REF!</v>
      </c>
      <c r="N481" s="490"/>
      <c r="O481" s="1006" t="e">
        <f>$O$197</f>
        <v>#REF!</v>
      </c>
      <c r="P481" s="305" t="s">
        <v>362</v>
      </c>
      <c r="Q481" s="490" t="e">
        <f>Q516+Q551</f>
        <v>#REF!</v>
      </c>
      <c r="R481" s="490"/>
      <c r="S481" s="1006" t="e">
        <f>$S$197</f>
        <v>#REF!</v>
      </c>
      <c r="T481" s="305" t="s">
        <v>362</v>
      </c>
      <c r="U481" s="490" t="e">
        <f>U516+U551</f>
        <v>#REF!</v>
      </c>
      <c r="V481" s="7"/>
      <c r="W481" s="31"/>
      <c r="X481" s="31"/>
      <c r="Y481" s="31"/>
      <c r="Z481" s="7"/>
      <c r="AA481" s="7"/>
      <c r="AB481" s="7"/>
      <c r="AC481" s="7"/>
      <c r="AD481" s="7"/>
      <c r="AE481" s="7"/>
      <c r="AF481" s="7"/>
      <c r="AG481" s="7"/>
      <c r="AH481" s="7"/>
      <c r="AI481" s="7"/>
      <c r="AJ481" s="7"/>
      <c r="AK481" s="7"/>
      <c r="AL481" s="7"/>
      <c r="AM481" s="7"/>
      <c r="AN481" s="7"/>
      <c r="AO481" s="7"/>
      <c r="AP481" s="7"/>
    </row>
    <row r="482" spans="1:44">
      <c r="A482" s="305" t="s">
        <v>388</v>
      </c>
      <c r="B482" s="305"/>
      <c r="C482" s="61">
        <f t="shared" si="99"/>
        <v>783.52388888888902</v>
      </c>
      <c r="D482" s="1021">
        <f>$D$198</f>
        <v>58</v>
      </c>
      <c r="E482" s="305" t="s">
        <v>362</v>
      </c>
      <c r="F482" s="490">
        <f>F517+F552</f>
        <v>454</v>
      </c>
      <c r="G482" s="1021">
        <f>$G$198</f>
        <v>58</v>
      </c>
      <c r="H482" s="305" t="s">
        <v>362</v>
      </c>
      <c r="I482" s="490">
        <f>I517+I552</f>
        <v>454</v>
      </c>
      <c r="J482" s="490"/>
      <c r="K482" s="1021" t="e">
        <f>$K$198</f>
        <v>#REF!</v>
      </c>
      <c r="L482" s="305" t="s">
        <v>362</v>
      </c>
      <c r="M482" s="490" t="e">
        <f>M517+M552</f>
        <v>#REF!</v>
      </c>
      <c r="N482" s="490"/>
      <c r="O482" s="1021" t="e">
        <f>$O$198</f>
        <v>#REF!</v>
      </c>
      <c r="P482" s="305" t="s">
        <v>362</v>
      </c>
      <c r="Q482" s="490" t="e">
        <f>Q517+Q552</f>
        <v>#REF!</v>
      </c>
      <c r="R482" s="490"/>
      <c r="S482" s="1021" t="e">
        <f>$S$198</f>
        <v>#REF!</v>
      </c>
      <c r="T482" s="305" t="s">
        <v>362</v>
      </c>
      <c r="U482" s="490" t="e">
        <f>U517+U552</f>
        <v>#REF!</v>
      </c>
      <c r="V482" s="7"/>
      <c r="W482" s="31"/>
      <c r="X482" s="31"/>
      <c r="Y482" s="31"/>
      <c r="Z482" s="7"/>
      <c r="AA482" s="7"/>
      <c r="AB482" s="7"/>
      <c r="AC482" s="7"/>
      <c r="AD482" s="7"/>
      <c r="AE482" s="7"/>
      <c r="AF482" s="7"/>
      <c r="AG482" s="7"/>
      <c r="AH482" s="7"/>
      <c r="AI482" s="7"/>
      <c r="AJ482" s="7"/>
      <c r="AK482" s="7"/>
      <c r="AL482" s="7"/>
      <c r="AM482" s="7"/>
      <c r="AN482" s="7"/>
      <c r="AO482" s="7"/>
      <c r="AP482" s="7"/>
    </row>
    <row r="483" spans="1:44" s="588" customFormat="1" hidden="1">
      <c r="A483" s="588" t="s">
        <v>771</v>
      </c>
      <c r="C483" s="604">
        <f>C479</f>
        <v>86775</v>
      </c>
      <c r="D483" s="990">
        <v>0</v>
      </c>
      <c r="E483" s="635"/>
      <c r="F483" s="616"/>
      <c r="G483" s="987">
        <f>G199</f>
        <v>0</v>
      </c>
      <c r="H483" s="592" t="s">
        <v>362</v>
      </c>
      <c r="I483" s="490">
        <f t="shared" ref="I483:I485" si="100">I518+I553</f>
        <v>0</v>
      </c>
      <c r="J483" s="490"/>
      <c r="K483" s="987" t="e">
        <f>K199</f>
        <v>#REF!</v>
      </c>
      <c r="L483" s="592" t="s">
        <v>362</v>
      </c>
      <c r="M483" s="490" t="e">
        <f t="shared" ref="M483:M485" si="101">M518+M553</f>
        <v>#REF!</v>
      </c>
      <c r="N483" s="490"/>
      <c r="O483" s="987" t="e">
        <f>O199</f>
        <v>#REF!</v>
      </c>
      <c r="P483" s="592" t="s">
        <v>362</v>
      </c>
      <c r="Q483" s="490" t="e">
        <f t="shared" ref="Q483:Q485" si="102">Q518+Q553</f>
        <v>#REF!</v>
      </c>
      <c r="R483" s="490"/>
      <c r="S483" s="987" t="e">
        <f>S199</f>
        <v>#REF!</v>
      </c>
      <c r="T483" s="592" t="s">
        <v>362</v>
      </c>
      <c r="U483" s="490" t="e">
        <f t="shared" ref="U483:U485" si="103">U518+U553</f>
        <v>#REF!</v>
      </c>
      <c r="W483" s="450"/>
      <c r="Z483" s="989"/>
      <c r="AA483" s="989"/>
      <c r="AF483" s="635"/>
      <c r="AG483" s="635"/>
      <c r="AH483" s="635"/>
      <c r="AI483" s="635"/>
      <c r="AJ483" s="635"/>
      <c r="AK483" s="635"/>
      <c r="AL483" s="635"/>
      <c r="AM483" s="635"/>
      <c r="AN483" s="635"/>
      <c r="AO483" s="635"/>
      <c r="AP483" s="635"/>
      <c r="AR483" s="988"/>
    </row>
    <row r="484" spans="1:44" s="588" customFormat="1" hidden="1">
      <c r="A484" s="588" t="s">
        <v>772</v>
      </c>
      <c r="C484" s="604">
        <f t="shared" ref="C484:C485" si="104">C480</f>
        <v>47493</v>
      </c>
      <c r="D484" s="990">
        <v>0</v>
      </c>
      <c r="E484" s="635"/>
      <c r="F484" s="616"/>
      <c r="G484" s="987">
        <f>G200</f>
        <v>0</v>
      </c>
      <c r="H484" s="592" t="s">
        <v>362</v>
      </c>
      <c r="I484" s="490">
        <f t="shared" si="100"/>
        <v>0</v>
      </c>
      <c r="J484" s="490"/>
      <c r="K484" s="987" t="e">
        <f>K200</f>
        <v>#REF!</v>
      </c>
      <c r="L484" s="592" t="s">
        <v>362</v>
      </c>
      <c r="M484" s="490" t="e">
        <f t="shared" si="101"/>
        <v>#REF!</v>
      </c>
      <c r="N484" s="490"/>
      <c r="O484" s="987" t="e">
        <f>O200</f>
        <v>#REF!</v>
      </c>
      <c r="P484" s="592" t="s">
        <v>362</v>
      </c>
      <c r="Q484" s="490" t="e">
        <f t="shared" si="102"/>
        <v>#REF!</v>
      </c>
      <c r="R484" s="490"/>
      <c r="S484" s="987" t="e">
        <f>S200</f>
        <v>#REF!</v>
      </c>
      <c r="T484" s="592" t="s">
        <v>362</v>
      </c>
      <c r="U484" s="490" t="e">
        <f t="shared" si="103"/>
        <v>#REF!</v>
      </c>
      <c r="W484" s="450"/>
      <c r="Z484" s="989"/>
      <c r="AA484" s="989"/>
      <c r="AF484" s="635"/>
      <c r="AG484" s="635"/>
      <c r="AH484" s="635"/>
      <c r="AI484" s="635"/>
      <c r="AJ484" s="635"/>
      <c r="AK484" s="635"/>
      <c r="AL484" s="635"/>
      <c r="AM484" s="635"/>
      <c r="AN484" s="635"/>
      <c r="AO484" s="635"/>
      <c r="AP484" s="635"/>
      <c r="AR484" s="988"/>
    </row>
    <row r="485" spans="1:44" s="588" customFormat="1" hidden="1">
      <c r="A485" s="588" t="s">
        <v>773</v>
      </c>
      <c r="C485" s="604">
        <f t="shared" si="104"/>
        <v>0</v>
      </c>
      <c r="D485" s="990">
        <v>0</v>
      </c>
      <c r="E485" s="635"/>
      <c r="F485" s="616"/>
      <c r="G485" s="987">
        <f>G201</f>
        <v>0</v>
      </c>
      <c r="H485" s="592" t="s">
        <v>362</v>
      </c>
      <c r="I485" s="490">
        <f t="shared" si="100"/>
        <v>0</v>
      </c>
      <c r="J485" s="490"/>
      <c r="K485" s="987" t="e">
        <f>K201</f>
        <v>#REF!</v>
      </c>
      <c r="L485" s="592" t="s">
        <v>362</v>
      </c>
      <c r="M485" s="490" t="e">
        <f t="shared" si="101"/>
        <v>#REF!</v>
      </c>
      <c r="N485" s="490"/>
      <c r="O485" s="987" t="e">
        <f>O201</f>
        <v>#REF!</v>
      </c>
      <c r="P485" s="592" t="s">
        <v>362</v>
      </c>
      <c r="Q485" s="490" t="e">
        <f t="shared" si="102"/>
        <v>#REF!</v>
      </c>
      <c r="R485" s="490"/>
      <c r="S485" s="987" t="e">
        <f>S201</f>
        <v>#REF!</v>
      </c>
      <c r="T485" s="592" t="s">
        <v>362</v>
      </c>
      <c r="U485" s="490" t="e">
        <f t="shared" si="103"/>
        <v>#REF!</v>
      </c>
      <c r="V485" s="588" t="s">
        <v>31</v>
      </c>
      <c r="W485" s="450"/>
      <c r="Z485" s="989"/>
      <c r="AA485" s="989"/>
      <c r="AF485" s="635"/>
      <c r="AG485" s="635"/>
      <c r="AH485" s="635"/>
      <c r="AI485" s="635"/>
      <c r="AJ485" s="635"/>
      <c r="AK485" s="635"/>
      <c r="AL485" s="635"/>
      <c r="AM485" s="635"/>
      <c r="AN485" s="635"/>
      <c r="AO485" s="635"/>
      <c r="AP485" s="635"/>
      <c r="AR485" s="988"/>
    </row>
    <row r="486" spans="1:44">
      <c r="A486" s="244" t="s">
        <v>389</v>
      </c>
      <c r="B486" s="305"/>
      <c r="C486" s="61"/>
      <c r="D486" s="1023">
        <f>$D$205</f>
        <v>-0.01</v>
      </c>
      <c r="E486" s="305"/>
      <c r="F486" s="490"/>
      <c r="G486" s="1023">
        <v>-0.01</v>
      </c>
      <c r="H486" s="305"/>
      <c r="I486" s="490"/>
      <c r="J486" s="490"/>
      <c r="K486" s="1023">
        <v>-0.01</v>
      </c>
      <c r="L486" s="305"/>
      <c r="M486" s="490"/>
      <c r="N486" s="490"/>
      <c r="O486" s="1023">
        <v>-0.01</v>
      </c>
      <c r="P486" s="305"/>
      <c r="Q486" s="490"/>
      <c r="R486" s="490"/>
      <c r="S486" s="1023">
        <v>-0.01</v>
      </c>
      <c r="T486" s="305"/>
      <c r="U486" s="490"/>
      <c r="V486" s="7"/>
      <c r="W486" s="31"/>
      <c r="X486" s="31"/>
      <c r="Y486" s="31"/>
      <c r="Z486" s="7"/>
      <c r="AA486" s="7"/>
      <c r="AB486" s="7"/>
      <c r="AC486" s="7"/>
      <c r="AD486" s="7"/>
      <c r="AE486" s="7"/>
      <c r="AF486" s="7"/>
      <c r="AG486" s="7"/>
      <c r="AH486" s="7"/>
      <c r="AI486" s="7"/>
      <c r="AJ486" s="7"/>
      <c r="AK486" s="7"/>
      <c r="AL486" s="7"/>
      <c r="AM486" s="7"/>
      <c r="AN486" s="7"/>
      <c r="AO486" s="7"/>
      <c r="AP486" s="7"/>
    </row>
    <row r="487" spans="1:44">
      <c r="A487" s="305" t="s">
        <v>378</v>
      </c>
      <c r="B487" s="305"/>
      <c r="C487" s="61">
        <v>0</v>
      </c>
      <c r="D487" s="237">
        <f>D473</f>
        <v>119.88</v>
      </c>
      <c r="E487" s="490"/>
      <c r="F487" s="490">
        <f t="shared" ref="F487:F496" si="105">F522+F557</f>
        <v>0</v>
      </c>
      <c r="G487" s="237">
        <f>G473</f>
        <v>119.88</v>
      </c>
      <c r="H487" s="490"/>
      <c r="I487" s="490">
        <f t="shared" ref="I487:I496" si="106">I522+I557</f>
        <v>0</v>
      </c>
      <c r="J487" s="490"/>
      <c r="K487" s="237" t="e">
        <f>K473</f>
        <v>#REF!</v>
      </c>
      <c r="L487" s="490"/>
      <c r="M487" s="490" t="e">
        <f t="shared" ref="M487:M496" si="107">M522+M557</f>
        <v>#REF!</v>
      </c>
      <c r="N487" s="490"/>
      <c r="O487" s="237" t="e">
        <f>O473</f>
        <v>#REF!</v>
      </c>
      <c r="P487" s="490"/>
      <c r="Q487" s="490" t="e">
        <f t="shared" ref="Q487:Q496" si="108">Q522+Q557</f>
        <v>#REF!</v>
      </c>
      <c r="R487" s="490"/>
      <c r="S487" s="237" t="e">
        <f>S473</f>
        <v>#REF!</v>
      </c>
      <c r="T487" s="490"/>
      <c r="U487" s="490" t="e">
        <f t="shared" ref="U487:U496" si="109">U522+U557</f>
        <v>#REF!</v>
      </c>
      <c r="V487" s="7"/>
      <c r="W487" s="31"/>
      <c r="X487" s="31"/>
      <c r="Y487" s="31"/>
      <c r="Z487" s="7"/>
      <c r="AA487" s="7"/>
      <c r="AB487" s="7"/>
      <c r="AC487" s="7"/>
      <c r="AD487" s="7"/>
      <c r="AE487" s="7"/>
      <c r="AF487" s="7"/>
      <c r="AG487" s="7"/>
      <c r="AH487" s="7"/>
      <c r="AI487" s="7"/>
      <c r="AJ487" s="7"/>
      <c r="AK487" s="7"/>
      <c r="AL487" s="7"/>
      <c r="AM487" s="7"/>
      <c r="AN487" s="7"/>
      <c r="AO487" s="7"/>
      <c r="AP487" s="7"/>
    </row>
    <row r="488" spans="1:44">
      <c r="A488" s="305" t="s">
        <v>379</v>
      </c>
      <c r="B488" s="305"/>
      <c r="C488" s="61">
        <v>0</v>
      </c>
      <c r="D488" s="237">
        <f>D474</f>
        <v>178.68</v>
      </c>
      <c r="E488" s="490"/>
      <c r="F488" s="490">
        <f t="shared" si="105"/>
        <v>0</v>
      </c>
      <c r="G488" s="237">
        <f>G474</f>
        <v>178.68</v>
      </c>
      <c r="H488" s="490"/>
      <c r="I488" s="490">
        <f t="shared" si="106"/>
        <v>0</v>
      </c>
      <c r="J488" s="490"/>
      <c r="K488" s="237" t="e">
        <f>K474</f>
        <v>#REF!</v>
      </c>
      <c r="L488" s="490"/>
      <c r="M488" s="490" t="e">
        <f t="shared" si="107"/>
        <v>#REF!</v>
      </c>
      <c r="N488" s="490"/>
      <c r="O488" s="237" t="e">
        <f>O474</f>
        <v>#REF!</v>
      </c>
      <c r="P488" s="490"/>
      <c r="Q488" s="490" t="e">
        <f t="shared" si="108"/>
        <v>#REF!</v>
      </c>
      <c r="R488" s="490"/>
      <c r="S488" s="237" t="e">
        <f>S474</f>
        <v>#REF!</v>
      </c>
      <c r="T488" s="490"/>
      <c r="U488" s="490" t="e">
        <f t="shared" si="109"/>
        <v>#REF!</v>
      </c>
      <c r="V488" s="7"/>
      <c r="W488" s="31"/>
      <c r="X488" s="31" t="s">
        <v>31</v>
      </c>
      <c r="Y488" s="31"/>
      <c r="Z488" s="7"/>
      <c r="AA488" s="7"/>
      <c r="AB488" s="7"/>
      <c r="AC488" s="7"/>
      <c r="AD488" s="7"/>
      <c r="AE488" s="7"/>
      <c r="AF488" s="7"/>
      <c r="AG488" s="7"/>
      <c r="AH488" s="7"/>
      <c r="AI488" s="7"/>
      <c r="AJ488" s="7"/>
      <c r="AK488" s="7"/>
      <c r="AL488" s="7"/>
      <c r="AM488" s="7"/>
      <c r="AN488" s="7"/>
      <c r="AO488" s="7"/>
      <c r="AP488" s="7"/>
    </row>
    <row r="489" spans="1:44">
      <c r="A489" s="305" t="s">
        <v>390</v>
      </c>
      <c r="B489" s="305"/>
      <c r="C489" s="61">
        <v>0</v>
      </c>
      <c r="D489" s="237">
        <f>D475</f>
        <v>12.48</v>
      </c>
      <c r="E489" s="490"/>
      <c r="F489" s="490">
        <f t="shared" si="105"/>
        <v>0</v>
      </c>
      <c r="G489" s="237">
        <f>G475</f>
        <v>12.48</v>
      </c>
      <c r="H489" s="490"/>
      <c r="I489" s="490">
        <f t="shared" si="106"/>
        <v>0</v>
      </c>
      <c r="J489" s="490"/>
      <c r="K489" s="237" t="e">
        <f>K475</f>
        <v>#REF!</v>
      </c>
      <c r="L489" s="490"/>
      <c r="M489" s="490" t="e">
        <f t="shared" si="107"/>
        <v>#REF!</v>
      </c>
      <c r="N489" s="490"/>
      <c r="O489" s="237" t="e">
        <f>O475</f>
        <v>#REF!</v>
      </c>
      <c r="P489" s="490"/>
      <c r="Q489" s="490" t="e">
        <f t="shared" si="108"/>
        <v>#REF!</v>
      </c>
      <c r="R489" s="490"/>
      <c r="S489" s="237" t="e">
        <f>S475</f>
        <v>#REF!</v>
      </c>
      <c r="T489" s="490"/>
      <c r="U489" s="490" t="e">
        <f t="shared" si="109"/>
        <v>#REF!</v>
      </c>
      <c r="V489" s="7"/>
      <c r="W489" s="31"/>
      <c r="X489" s="31"/>
      <c r="Y489" s="31"/>
      <c r="Z489" s="7"/>
      <c r="AA489" s="7"/>
      <c r="AB489" s="7"/>
      <c r="AC489" s="7"/>
      <c r="AD489" s="7"/>
      <c r="AE489" s="7"/>
      <c r="AF489" s="7"/>
      <c r="AG489" s="7"/>
      <c r="AH489" s="7"/>
      <c r="AI489" s="7"/>
      <c r="AJ489" s="7"/>
      <c r="AK489" s="7"/>
      <c r="AL489" s="7"/>
      <c r="AM489" s="7"/>
      <c r="AN489" s="7"/>
      <c r="AO489" s="7"/>
      <c r="AP489" s="7"/>
    </row>
    <row r="490" spans="1:44">
      <c r="A490" s="305" t="s">
        <v>391</v>
      </c>
      <c r="B490" s="305"/>
      <c r="C490" s="61">
        <v>0</v>
      </c>
      <c r="D490" s="237">
        <f>D478</f>
        <v>3.8</v>
      </c>
      <c r="E490" s="305"/>
      <c r="F490" s="490">
        <f t="shared" si="105"/>
        <v>0</v>
      </c>
      <c r="G490" s="237">
        <f>G478</f>
        <v>3.8099999999999996</v>
      </c>
      <c r="H490" s="305"/>
      <c r="I490" s="490">
        <f t="shared" si="106"/>
        <v>0</v>
      </c>
      <c r="J490" s="490"/>
      <c r="K490" s="237" t="e">
        <f>K478</f>
        <v>#REF!</v>
      </c>
      <c r="L490" s="305"/>
      <c r="M490" s="490" t="e">
        <f t="shared" si="107"/>
        <v>#REF!</v>
      </c>
      <c r="N490" s="490"/>
      <c r="O490" s="237" t="e">
        <f>O478</f>
        <v>#REF!</v>
      </c>
      <c r="P490" s="305"/>
      <c r="Q490" s="490" t="e">
        <f t="shared" si="108"/>
        <v>#REF!</v>
      </c>
      <c r="R490" s="490"/>
      <c r="S490" s="237" t="e">
        <f>S478</f>
        <v>#REF!</v>
      </c>
      <c r="T490" s="305"/>
      <c r="U490" s="490" t="e">
        <f t="shared" si="109"/>
        <v>#REF!</v>
      </c>
      <c r="V490" s="7"/>
      <c r="W490" s="31"/>
      <c r="X490" s="31"/>
      <c r="Y490" s="31"/>
      <c r="Z490" s="7"/>
      <c r="AA490" s="7"/>
      <c r="AB490" s="7"/>
      <c r="AC490" s="7"/>
      <c r="AD490" s="7"/>
      <c r="AE490" s="7"/>
      <c r="AF490" s="7"/>
      <c r="AG490" s="7"/>
      <c r="AH490" s="7"/>
      <c r="AI490" s="7"/>
      <c r="AJ490" s="7"/>
      <c r="AK490" s="7"/>
      <c r="AL490" s="7"/>
      <c r="AM490" s="7"/>
      <c r="AN490" s="7"/>
      <c r="AO490" s="7"/>
      <c r="AP490" s="7"/>
    </row>
    <row r="491" spans="1:44">
      <c r="A491" s="305" t="s">
        <v>393</v>
      </c>
      <c r="B491" s="305"/>
      <c r="C491" s="61">
        <v>0</v>
      </c>
      <c r="D491" s="1025">
        <f>D479</f>
        <v>10.878</v>
      </c>
      <c r="E491" s="305" t="s">
        <v>362</v>
      </c>
      <c r="F491" s="490">
        <f t="shared" si="105"/>
        <v>0</v>
      </c>
      <c r="G491" s="1025">
        <f>G479</f>
        <v>10.879</v>
      </c>
      <c r="H491" s="305" t="s">
        <v>362</v>
      </c>
      <c r="I491" s="490">
        <f t="shared" si="106"/>
        <v>0</v>
      </c>
      <c r="J491" s="490"/>
      <c r="K491" s="1025" t="e">
        <f>K479</f>
        <v>#REF!</v>
      </c>
      <c r="L491" s="305" t="s">
        <v>362</v>
      </c>
      <c r="M491" s="490" t="e">
        <f t="shared" si="107"/>
        <v>#REF!</v>
      </c>
      <c r="N491" s="490"/>
      <c r="O491" s="1025" t="e">
        <f>O479</f>
        <v>#REF!</v>
      </c>
      <c r="P491" s="305" t="s">
        <v>362</v>
      </c>
      <c r="Q491" s="490" t="e">
        <f t="shared" si="108"/>
        <v>#REF!</v>
      </c>
      <c r="R491" s="490"/>
      <c r="S491" s="1025" t="e">
        <f>S479</f>
        <v>#REF!</v>
      </c>
      <c r="T491" s="305" t="s">
        <v>362</v>
      </c>
      <c r="U491" s="490" t="e">
        <f t="shared" si="109"/>
        <v>#REF!</v>
      </c>
      <c r="V491" s="7"/>
      <c r="W491" s="31"/>
      <c r="X491" s="31"/>
      <c r="Y491" s="31"/>
      <c r="Z491" s="7"/>
      <c r="AA491" s="7"/>
      <c r="AB491" s="7"/>
      <c r="AC491" s="7"/>
      <c r="AD491" s="7"/>
      <c r="AE491" s="7"/>
      <c r="AF491" s="7"/>
      <c r="AG491" s="7"/>
      <c r="AH491" s="7"/>
      <c r="AI491" s="7"/>
      <c r="AJ491" s="7"/>
      <c r="AK491" s="7"/>
      <c r="AL491" s="7"/>
      <c r="AM491" s="7"/>
      <c r="AN491" s="7"/>
      <c r="AO491" s="7"/>
      <c r="AP491" s="7"/>
    </row>
    <row r="492" spans="1:44">
      <c r="A492" s="305" t="s">
        <v>386</v>
      </c>
      <c r="B492" s="305"/>
      <c r="C492" s="61">
        <v>0</v>
      </c>
      <c r="D492" s="1025">
        <f>D480</f>
        <v>7.5140000000000002</v>
      </c>
      <c r="E492" s="305" t="s">
        <v>362</v>
      </c>
      <c r="F492" s="490">
        <f t="shared" si="105"/>
        <v>0</v>
      </c>
      <c r="G492" s="1025">
        <f>G480</f>
        <v>7.5140000000000002</v>
      </c>
      <c r="H492" s="305" t="s">
        <v>362</v>
      </c>
      <c r="I492" s="490">
        <f t="shared" si="106"/>
        <v>0</v>
      </c>
      <c r="J492" s="490"/>
      <c r="K492" s="1025" t="e">
        <f>K480</f>
        <v>#REF!</v>
      </c>
      <c r="L492" s="305" t="s">
        <v>362</v>
      </c>
      <c r="M492" s="490" t="e">
        <f t="shared" si="107"/>
        <v>#REF!</v>
      </c>
      <c r="N492" s="490"/>
      <c r="O492" s="1025" t="e">
        <f>O480</f>
        <v>#REF!</v>
      </c>
      <c r="P492" s="305" t="s">
        <v>362</v>
      </c>
      <c r="Q492" s="490" t="e">
        <f t="shared" si="108"/>
        <v>#REF!</v>
      </c>
      <c r="R492" s="490"/>
      <c r="S492" s="1025" t="e">
        <f>S480</f>
        <v>#REF!</v>
      </c>
      <c r="T492" s="305" t="s">
        <v>362</v>
      </c>
      <c r="U492" s="490" t="e">
        <f t="shared" si="109"/>
        <v>#REF!</v>
      </c>
      <c r="V492" s="7"/>
      <c r="W492" s="31"/>
      <c r="X492" s="31"/>
      <c r="Y492" s="31"/>
      <c r="Z492" s="7"/>
      <c r="AA492" s="7"/>
      <c r="AB492" s="7"/>
      <c r="AC492" s="7"/>
      <c r="AD492" s="7"/>
      <c r="AE492" s="7"/>
      <c r="AF492" s="7"/>
      <c r="AG492" s="7"/>
      <c r="AH492" s="7"/>
      <c r="AI492" s="7"/>
      <c r="AJ492" s="7"/>
      <c r="AK492" s="7"/>
      <c r="AL492" s="7"/>
      <c r="AM492" s="7"/>
      <c r="AN492" s="7"/>
      <c r="AO492" s="7"/>
      <c r="AP492" s="7"/>
    </row>
    <row r="493" spans="1:44">
      <c r="A493" s="305" t="s">
        <v>387</v>
      </c>
      <c r="B493" s="305"/>
      <c r="C493" s="61">
        <v>0</v>
      </c>
      <c r="D493" s="1025">
        <f>D481</f>
        <v>6.4720000000000004</v>
      </c>
      <c r="E493" s="305" t="s">
        <v>362</v>
      </c>
      <c r="F493" s="490">
        <f t="shared" si="105"/>
        <v>0</v>
      </c>
      <c r="G493" s="1025">
        <f>G481</f>
        <v>6.4720000000000004</v>
      </c>
      <c r="H493" s="305" t="s">
        <v>362</v>
      </c>
      <c r="I493" s="490">
        <f t="shared" si="106"/>
        <v>0</v>
      </c>
      <c r="J493" s="490"/>
      <c r="K493" s="1025" t="e">
        <f>K481</f>
        <v>#REF!</v>
      </c>
      <c r="L493" s="305" t="s">
        <v>362</v>
      </c>
      <c r="M493" s="490" t="e">
        <f t="shared" si="107"/>
        <v>#REF!</v>
      </c>
      <c r="N493" s="490"/>
      <c r="O493" s="1025" t="e">
        <f>O481</f>
        <v>#REF!</v>
      </c>
      <c r="P493" s="305" t="s">
        <v>362</v>
      </c>
      <c r="Q493" s="490" t="e">
        <f t="shared" si="108"/>
        <v>#REF!</v>
      </c>
      <c r="R493" s="490"/>
      <c r="S493" s="1025" t="e">
        <f>S481</f>
        <v>#REF!</v>
      </c>
      <c r="T493" s="305" t="s">
        <v>362</v>
      </c>
      <c r="U493" s="490" t="e">
        <f t="shared" si="109"/>
        <v>#REF!</v>
      </c>
      <c r="V493" s="7"/>
      <c r="W493" s="31"/>
      <c r="X493" s="31"/>
      <c r="Y493" s="31"/>
      <c r="Z493" s="7"/>
      <c r="AA493" s="7"/>
      <c r="AB493" s="7"/>
      <c r="AC493" s="7"/>
      <c r="AD493" s="7"/>
      <c r="AE493" s="7"/>
      <c r="AF493" s="7"/>
      <c r="AG493" s="7"/>
      <c r="AH493" s="7"/>
      <c r="AI493" s="7"/>
      <c r="AJ493" s="7"/>
      <c r="AK493" s="7"/>
      <c r="AL493" s="7"/>
      <c r="AM493" s="7"/>
      <c r="AN493" s="7"/>
      <c r="AO493" s="7"/>
      <c r="AP493" s="7"/>
    </row>
    <row r="494" spans="1:44">
      <c r="A494" s="305" t="s">
        <v>388</v>
      </c>
      <c r="B494" s="305"/>
      <c r="C494" s="61">
        <v>0</v>
      </c>
      <c r="D494" s="1026">
        <f>D482</f>
        <v>58</v>
      </c>
      <c r="E494" s="305" t="s">
        <v>362</v>
      </c>
      <c r="F494" s="490">
        <f t="shared" si="105"/>
        <v>0</v>
      </c>
      <c r="G494" s="1026">
        <f>G482</f>
        <v>58</v>
      </c>
      <c r="H494" s="305" t="s">
        <v>362</v>
      </c>
      <c r="I494" s="490">
        <f t="shared" si="106"/>
        <v>0</v>
      </c>
      <c r="J494" s="490"/>
      <c r="K494" s="1026" t="e">
        <f>K482</f>
        <v>#REF!</v>
      </c>
      <c r="L494" s="305" t="s">
        <v>362</v>
      </c>
      <c r="M494" s="490" t="e">
        <f t="shared" si="107"/>
        <v>#REF!</v>
      </c>
      <c r="N494" s="490"/>
      <c r="O494" s="1026" t="e">
        <f>O482</f>
        <v>#REF!</v>
      </c>
      <c r="P494" s="305" t="s">
        <v>362</v>
      </c>
      <c r="Q494" s="490" t="e">
        <f t="shared" si="108"/>
        <v>#REF!</v>
      </c>
      <c r="R494" s="490"/>
      <c r="S494" s="1026" t="e">
        <f>S482</f>
        <v>#REF!</v>
      </c>
      <c r="T494" s="305" t="s">
        <v>362</v>
      </c>
      <c r="U494" s="490" t="e">
        <f t="shared" si="109"/>
        <v>#REF!</v>
      </c>
      <c r="V494" s="7"/>
      <c r="W494" s="31"/>
      <c r="X494" s="31"/>
      <c r="Y494" s="31"/>
      <c r="Z494" s="7"/>
      <c r="AA494" s="7"/>
      <c r="AB494" s="7"/>
      <c r="AC494" s="7"/>
      <c r="AD494" s="7"/>
      <c r="AE494" s="7"/>
      <c r="AF494" s="7"/>
      <c r="AG494" s="7"/>
      <c r="AH494" s="7"/>
      <c r="AI494" s="7"/>
      <c r="AJ494" s="7"/>
      <c r="AK494" s="7"/>
      <c r="AL494" s="7"/>
      <c r="AM494" s="7"/>
      <c r="AN494" s="7"/>
      <c r="AO494" s="7"/>
      <c r="AP494" s="7"/>
    </row>
    <row r="495" spans="1:44">
      <c r="A495" s="305" t="s">
        <v>395</v>
      </c>
      <c r="B495" s="305"/>
      <c r="C495" s="61">
        <v>0</v>
      </c>
      <c r="D495" s="237">
        <v>60</v>
      </c>
      <c r="E495" s="305"/>
      <c r="F495" s="490">
        <f t="shared" si="105"/>
        <v>0</v>
      </c>
      <c r="G495" s="237">
        <f>$G$214</f>
        <v>60</v>
      </c>
      <c r="H495" s="305"/>
      <c r="I495" s="490">
        <f t="shared" si="106"/>
        <v>0</v>
      </c>
      <c r="J495" s="490"/>
      <c r="K495" s="237" t="str">
        <f>$K$214</f>
        <v xml:space="preserve"> </v>
      </c>
      <c r="L495" s="305"/>
      <c r="M495" s="490">
        <f t="shared" si="107"/>
        <v>0</v>
      </c>
      <c r="N495" s="490"/>
      <c r="O495" s="237" t="e">
        <f>$O$214</f>
        <v>#REF!</v>
      </c>
      <c r="P495" s="305"/>
      <c r="Q495" s="490" t="e">
        <f t="shared" si="108"/>
        <v>#REF!</v>
      </c>
      <c r="R495" s="490"/>
      <c r="S495" s="237" t="e">
        <f>$S$214</f>
        <v>#REF!</v>
      </c>
      <c r="T495" s="305"/>
      <c r="U495" s="490" t="e">
        <f t="shared" si="109"/>
        <v>#REF!</v>
      </c>
      <c r="V495" s="7"/>
      <c r="W495" s="31"/>
      <c r="X495" s="31"/>
      <c r="Y495" s="31"/>
      <c r="Z495" s="7"/>
      <c r="AA495" s="7"/>
      <c r="AB495" s="7"/>
      <c r="AC495" s="7"/>
      <c r="AD495" s="7"/>
      <c r="AE495" s="7"/>
      <c r="AF495" s="7"/>
      <c r="AG495" s="7"/>
      <c r="AH495" s="7"/>
      <c r="AI495" s="7"/>
      <c r="AJ495" s="7"/>
      <c r="AK495" s="7"/>
      <c r="AL495" s="7"/>
      <c r="AM495" s="7"/>
      <c r="AN495" s="7"/>
      <c r="AO495" s="7"/>
      <c r="AP495" s="7"/>
    </row>
    <row r="496" spans="1:44">
      <c r="A496" s="305" t="s">
        <v>396</v>
      </c>
      <c r="B496" s="305"/>
      <c r="C496" s="61">
        <v>0</v>
      </c>
      <c r="D496" s="1027">
        <v>-30</v>
      </c>
      <c r="E496" s="305" t="s">
        <v>362</v>
      </c>
      <c r="F496" s="490">
        <f t="shared" si="105"/>
        <v>0</v>
      </c>
      <c r="G496" s="1027">
        <f>$G$215</f>
        <v>-30</v>
      </c>
      <c r="H496" s="305" t="s">
        <v>362</v>
      </c>
      <c r="I496" s="490">
        <f t="shared" si="106"/>
        <v>0</v>
      </c>
      <c r="J496" s="490"/>
      <c r="K496" s="1027" t="e">
        <f>$K$215</f>
        <v>#REF!</v>
      </c>
      <c r="L496" s="305" t="s">
        <v>362</v>
      </c>
      <c r="M496" s="490" t="e">
        <f t="shared" si="107"/>
        <v>#REF!</v>
      </c>
      <c r="N496" s="490"/>
      <c r="O496" s="1027" t="str">
        <f>$O$215</f>
        <v xml:space="preserve"> </v>
      </c>
      <c r="P496" s="305" t="s">
        <v>362</v>
      </c>
      <c r="Q496" s="490">
        <f t="shared" si="108"/>
        <v>0</v>
      </c>
      <c r="R496" s="490"/>
      <c r="S496" s="1027" t="str">
        <f>$S$215</f>
        <v xml:space="preserve"> </v>
      </c>
      <c r="T496" s="305" t="s">
        <v>362</v>
      </c>
      <c r="U496" s="490">
        <f t="shared" si="109"/>
        <v>0</v>
      </c>
      <c r="V496" s="7"/>
      <c r="W496" s="31"/>
      <c r="X496" s="31"/>
      <c r="Y496" s="31"/>
      <c r="Z496" s="7"/>
      <c r="AA496" s="7"/>
      <c r="AB496" s="7"/>
      <c r="AC496" s="7"/>
      <c r="AD496" s="7"/>
      <c r="AE496" s="7"/>
      <c r="AF496" s="7"/>
      <c r="AG496" s="7"/>
      <c r="AH496" s="7"/>
      <c r="AI496" s="7"/>
      <c r="AJ496" s="7"/>
      <c r="AK496" s="7"/>
      <c r="AL496" s="7"/>
      <c r="AM496" s="7"/>
      <c r="AN496" s="7"/>
      <c r="AO496" s="7"/>
      <c r="AP496" s="7"/>
    </row>
    <row r="497" spans="1:44" s="588" customFormat="1" hidden="1">
      <c r="A497" s="588" t="s">
        <v>771</v>
      </c>
      <c r="C497" s="631">
        <f>C491</f>
        <v>0</v>
      </c>
      <c r="D497" s="990">
        <v>0</v>
      </c>
      <c r="E497" s="635"/>
      <c r="F497" s="616"/>
      <c r="G497" s="987">
        <f>G199</f>
        <v>0</v>
      </c>
      <c r="H497" s="592" t="s">
        <v>362</v>
      </c>
      <c r="I497" s="616">
        <f>I538+I578</f>
        <v>0</v>
      </c>
      <c r="J497" s="616"/>
      <c r="K497" s="987" t="e">
        <f>K199</f>
        <v>#REF!</v>
      </c>
      <c r="L497" s="592" t="s">
        <v>362</v>
      </c>
      <c r="M497" s="616" t="e">
        <f>M538+M578</f>
        <v>#REF!</v>
      </c>
      <c r="N497" s="616"/>
      <c r="O497" s="987" t="e">
        <f>O199</f>
        <v>#REF!</v>
      </c>
      <c r="P497" s="592" t="s">
        <v>362</v>
      </c>
      <c r="Q497" s="616" t="e">
        <f>Q538+Q578</f>
        <v>#REF!</v>
      </c>
      <c r="R497" s="616"/>
      <c r="S497" s="987" t="e">
        <f>S199</f>
        <v>#REF!</v>
      </c>
      <c r="T497" s="592" t="s">
        <v>362</v>
      </c>
      <c r="U497" s="616" t="e">
        <f>U538+U578</f>
        <v>#REF!</v>
      </c>
      <c r="W497" s="450"/>
      <c r="Z497" s="989"/>
      <c r="AA497" s="989"/>
      <c r="AF497" s="635"/>
      <c r="AG497" s="635"/>
      <c r="AH497" s="635"/>
      <c r="AI497" s="635"/>
      <c r="AJ497" s="635"/>
      <c r="AK497" s="635"/>
      <c r="AL497" s="635"/>
      <c r="AM497" s="635"/>
      <c r="AN497" s="635"/>
      <c r="AO497" s="635"/>
      <c r="AP497" s="635"/>
      <c r="AR497" s="988"/>
    </row>
    <row r="498" spans="1:44" s="588" customFormat="1" hidden="1">
      <c r="A498" s="588" t="s">
        <v>772</v>
      </c>
      <c r="C498" s="631">
        <f>C492</f>
        <v>0</v>
      </c>
      <c r="D498" s="990">
        <v>0</v>
      </c>
      <c r="E498" s="635"/>
      <c r="F498" s="616"/>
      <c r="G498" s="987">
        <f>G200</f>
        <v>0</v>
      </c>
      <c r="H498" s="592" t="s">
        <v>362</v>
      </c>
      <c r="I498" s="616">
        <f>I539+I579</f>
        <v>0</v>
      </c>
      <c r="J498" s="616"/>
      <c r="K498" s="987" t="e">
        <f>K200</f>
        <v>#REF!</v>
      </c>
      <c r="L498" s="592" t="s">
        <v>362</v>
      </c>
      <c r="M498" s="616" t="e">
        <f>M539+M579</f>
        <v>#REF!</v>
      </c>
      <c r="N498" s="616"/>
      <c r="O498" s="987" t="e">
        <f>O200</f>
        <v>#REF!</v>
      </c>
      <c r="P498" s="592" t="s">
        <v>362</v>
      </c>
      <c r="Q498" s="616" t="e">
        <f>Q539+Q579</f>
        <v>#REF!</v>
      </c>
      <c r="R498" s="616"/>
      <c r="S498" s="987" t="e">
        <f>S200</f>
        <v>#REF!</v>
      </c>
      <c r="T498" s="592" t="s">
        <v>362</v>
      </c>
      <c r="U498" s="616" t="e">
        <f>U539+U579</f>
        <v>#REF!</v>
      </c>
      <c r="W498" s="450"/>
      <c r="Z498" s="989"/>
      <c r="AA498" s="989"/>
      <c r="AF498" s="635"/>
      <c r="AG498" s="635"/>
      <c r="AH498" s="635"/>
      <c r="AI498" s="635"/>
      <c r="AJ498" s="635"/>
      <c r="AK498" s="635"/>
      <c r="AL498" s="635"/>
      <c r="AM498" s="635"/>
      <c r="AN498" s="635"/>
      <c r="AO498" s="635"/>
      <c r="AP498" s="635"/>
      <c r="AR498" s="988"/>
    </row>
    <row r="499" spans="1:44" s="588" customFormat="1" hidden="1">
      <c r="A499" s="588" t="s">
        <v>773</v>
      </c>
      <c r="C499" s="631">
        <f>C493</f>
        <v>0</v>
      </c>
      <c r="D499" s="990">
        <v>0</v>
      </c>
      <c r="E499" s="635"/>
      <c r="F499" s="616"/>
      <c r="G499" s="987">
        <f>G201</f>
        <v>0</v>
      </c>
      <c r="H499" s="592" t="s">
        <v>362</v>
      </c>
      <c r="I499" s="616">
        <f>I540+I580</f>
        <v>0</v>
      </c>
      <c r="J499" s="616"/>
      <c r="K499" s="987" t="e">
        <f>K201</f>
        <v>#REF!</v>
      </c>
      <c r="L499" s="592" t="s">
        <v>362</v>
      </c>
      <c r="M499" s="616" t="e">
        <f>M540+M580</f>
        <v>#REF!</v>
      </c>
      <c r="N499" s="616"/>
      <c r="O499" s="987" t="e">
        <f>O201</f>
        <v>#REF!</v>
      </c>
      <c r="P499" s="592" t="s">
        <v>362</v>
      </c>
      <c r="Q499" s="616" t="e">
        <f>Q540+Q580</f>
        <v>#REF!</v>
      </c>
      <c r="R499" s="616"/>
      <c r="S499" s="987" t="e">
        <f>S201</f>
        <v>#REF!</v>
      </c>
      <c r="T499" s="592" t="s">
        <v>362</v>
      </c>
      <c r="U499" s="616" t="e">
        <f>U540+U580</f>
        <v>#REF!</v>
      </c>
      <c r="W499" s="450"/>
      <c r="Z499" s="989"/>
      <c r="AA499" s="989"/>
      <c r="AF499" s="635"/>
      <c r="AG499" s="635"/>
      <c r="AH499" s="635"/>
      <c r="AI499" s="635"/>
      <c r="AJ499" s="635"/>
      <c r="AK499" s="635"/>
      <c r="AL499" s="635"/>
      <c r="AM499" s="635"/>
      <c r="AN499" s="635"/>
      <c r="AO499" s="635"/>
      <c r="AP499" s="635"/>
      <c r="AR499" s="988"/>
    </row>
    <row r="500" spans="1:44">
      <c r="A500" s="305" t="s">
        <v>369</v>
      </c>
      <c r="B500" s="305"/>
      <c r="C500" s="61">
        <f>C535+C570</f>
        <v>134268</v>
      </c>
      <c r="D500" s="1009"/>
      <c r="E500" s="305"/>
      <c r="F500" s="490">
        <f>F535+F570</f>
        <v>70948</v>
      </c>
      <c r="G500" s="490"/>
      <c r="H500" s="305"/>
      <c r="I500" s="490">
        <f t="shared" ref="I500" si="110">I535+I570</f>
        <v>70984</v>
      </c>
      <c r="J500" s="490"/>
      <c r="K500" s="490"/>
      <c r="L500" s="305"/>
      <c r="M500" s="490" t="e">
        <f t="shared" ref="M500" si="111">M535+M570</f>
        <v>#REF!</v>
      </c>
      <c r="N500" s="490"/>
      <c r="O500" s="490"/>
      <c r="P500" s="305"/>
      <c r="Q500" s="490" t="e">
        <f t="shared" ref="Q500" si="112">Q535+Q570</f>
        <v>#REF!</v>
      </c>
      <c r="R500" s="490"/>
      <c r="S500" s="490"/>
      <c r="T500" s="305"/>
      <c r="U500" s="490" t="e">
        <f t="shared" ref="U500" si="113">U535+U570</f>
        <v>#REF!</v>
      </c>
      <c r="V500" s="7"/>
      <c r="W500" s="31"/>
      <c r="X500" s="31"/>
      <c r="Y500" s="31"/>
      <c r="Z500" s="7"/>
      <c r="AA500" s="7"/>
      <c r="AB500" s="7"/>
      <c r="AC500" s="7"/>
      <c r="AD500" s="7"/>
      <c r="AE500" s="7"/>
      <c r="AF500" s="7"/>
      <c r="AG500" s="7"/>
      <c r="AH500" s="7"/>
      <c r="AI500" s="7"/>
      <c r="AJ500" s="7"/>
      <c r="AK500" s="7"/>
      <c r="AL500" s="7"/>
      <c r="AM500" s="7"/>
      <c r="AN500" s="7"/>
      <c r="AO500" s="7"/>
      <c r="AP500" s="7"/>
    </row>
    <row r="501" spans="1:44">
      <c r="A501" s="305" t="s">
        <v>351</v>
      </c>
      <c r="B501" s="305"/>
      <c r="C501" s="1011">
        <f ca="1">C536+C571</f>
        <v>1269.5530254389409</v>
      </c>
      <c r="D501" s="305"/>
      <c r="E501" s="305"/>
      <c r="F501" s="993">
        <f ca="1">F536+F571</f>
        <v>913.92011363057588</v>
      </c>
      <c r="G501" s="305"/>
      <c r="H501" s="305"/>
      <c r="I501" s="993">
        <f ca="1">F501</f>
        <v>913.92011363057588</v>
      </c>
      <c r="J501" s="723"/>
      <c r="K501" s="305"/>
      <c r="L501" s="305"/>
      <c r="M501" s="993" t="e">
        <f ca="1">M220/I220*I501</f>
        <v>#DIV/0!</v>
      </c>
      <c r="N501" s="723"/>
      <c r="O501" s="305"/>
      <c r="P501" s="305"/>
      <c r="Q501" s="993" t="e">
        <f ca="1">Q220/I220*I501</f>
        <v>#DIV/0!</v>
      </c>
      <c r="R501" s="723"/>
      <c r="S501" s="305"/>
      <c r="T501" s="305"/>
      <c r="U501" s="993" t="e">
        <f ca="1">U220/I220*I501</f>
        <v>#DIV/0!</v>
      </c>
      <c r="V501" s="714"/>
      <c r="W501" s="171"/>
      <c r="X501" s="31"/>
      <c r="Y501" s="31"/>
      <c r="Z501" s="7"/>
      <c r="AA501" s="7"/>
      <c r="AB501" s="7"/>
      <c r="AC501" s="7"/>
      <c r="AD501" s="7"/>
      <c r="AE501" s="7"/>
      <c r="AF501" s="7"/>
      <c r="AG501" s="7"/>
      <c r="AH501" s="7"/>
      <c r="AI501" s="7"/>
      <c r="AJ501" s="7"/>
      <c r="AK501" s="7"/>
      <c r="AL501" s="7"/>
      <c r="AM501" s="7"/>
      <c r="AN501" s="7"/>
      <c r="AO501" s="7"/>
      <c r="AP501" s="7"/>
    </row>
    <row r="502" spans="1:44" ht="16.5" thickBot="1">
      <c r="A502" s="305" t="s">
        <v>370</v>
      </c>
      <c r="B502" s="305"/>
      <c r="C502" s="1012">
        <f ca="1">SUM(C500:C501)</f>
        <v>135537.55302543895</v>
      </c>
      <c r="D502" s="1036"/>
      <c r="E502" s="1030"/>
      <c r="F502" s="995">
        <f ca="1">F500+F501</f>
        <v>71861.920113630578</v>
      </c>
      <c r="G502" s="1036"/>
      <c r="H502" s="1030"/>
      <c r="I502" s="995">
        <f ca="1">I500+I501</f>
        <v>71897.920113630578</v>
      </c>
      <c r="J502" s="723"/>
      <c r="K502" s="1036"/>
      <c r="L502" s="1030"/>
      <c r="M502" s="995" t="e">
        <f ca="1">M500+M501</f>
        <v>#REF!</v>
      </c>
      <c r="N502" s="995"/>
      <c r="O502" s="1036"/>
      <c r="P502" s="1030"/>
      <c r="Q502" s="995" t="e">
        <f ca="1">Q500+Q501</f>
        <v>#REF!</v>
      </c>
      <c r="R502" s="995"/>
      <c r="S502" s="1036"/>
      <c r="T502" s="1030"/>
      <c r="U502" s="995" t="e">
        <f ca="1">U500+U501</f>
        <v>#REF!</v>
      </c>
      <c r="V502" s="295"/>
      <c r="W502" s="354"/>
      <c r="X502" s="31"/>
      <c r="Y502" s="31"/>
      <c r="Z502" s="7"/>
      <c r="AA502" s="7"/>
      <c r="AB502" s="7"/>
      <c r="AC502" s="7"/>
      <c r="AD502" s="7"/>
      <c r="AE502" s="7"/>
      <c r="AF502" s="7"/>
      <c r="AG502" s="7"/>
      <c r="AH502" s="7"/>
      <c r="AI502" s="7"/>
      <c r="AJ502" s="7"/>
      <c r="AK502" s="7"/>
      <c r="AL502" s="7"/>
      <c r="AM502" s="7"/>
      <c r="AN502" s="7"/>
      <c r="AO502" s="7"/>
      <c r="AP502" s="7"/>
    </row>
    <row r="503" spans="1:44" ht="16.5" thickTop="1">
      <c r="A503" s="305"/>
      <c r="B503" s="305"/>
      <c r="C503" s="61"/>
      <c r="D503" s="237" t="s">
        <v>31</v>
      </c>
      <c r="E503" s="305"/>
      <c r="F503" s="490"/>
      <c r="G503" s="237" t="s">
        <v>31</v>
      </c>
      <c r="H503" s="305"/>
      <c r="I503" s="490" t="s">
        <v>31</v>
      </c>
      <c r="J503" s="490"/>
      <c r="K503" s="237" t="s">
        <v>31</v>
      </c>
      <c r="L503" s="305"/>
      <c r="M503" s="490" t="s">
        <v>31</v>
      </c>
      <c r="N503" s="490"/>
      <c r="O503" s="237" t="s">
        <v>31</v>
      </c>
      <c r="P503" s="305"/>
      <c r="Q503" s="490" t="s">
        <v>31</v>
      </c>
      <c r="R503" s="490"/>
      <c r="S503" s="237" t="s">
        <v>31</v>
      </c>
      <c r="T503" s="305"/>
      <c r="U503" s="490" t="s">
        <v>31</v>
      </c>
      <c r="V503" s="7"/>
      <c r="W503" s="31"/>
      <c r="X503" s="31"/>
      <c r="Y503" s="31"/>
      <c r="Z503" s="7"/>
      <c r="AA503" s="7"/>
      <c r="AB503" s="7"/>
      <c r="AC503" s="7"/>
      <c r="AD503" s="7"/>
      <c r="AE503" s="7"/>
      <c r="AF503" s="7"/>
      <c r="AG503" s="7"/>
      <c r="AH503" s="7"/>
      <c r="AI503" s="7"/>
      <c r="AJ503" s="7"/>
      <c r="AK503" s="7"/>
      <c r="AL503" s="7"/>
      <c r="AM503" s="7"/>
      <c r="AN503" s="7"/>
      <c r="AO503" s="7"/>
      <c r="AP503" s="7"/>
    </row>
    <row r="504" spans="1:44">
      <c r="A504" s="305" t="s">
        <v>405</v>
      </c>
      <c r="B504" s="305"/>
      <c r="C504" s="305"/>
      <c r="D504" s="490"/>
      <c r="E504" s="305"/>
      <c r="F504" s="305"/>
      <c r="G504" s="490"/>
      <c r="H504" s="305"/>
      <c r="I504" s="305"/>
      <c r="J504" s="305"/>
      <c r="K504" s="490"/>
      <c r="L504" s="305"/>
      <c r="M504" s="305"/>
      <c r="N504" s="305"/>
      <c r="O504" s="490"/>
      <c r="P504" s="305"/>
      <c r="Q504" s="305"/>
      <c r="R504" s="305"/>
      <c r="S504" s="490"/>
      <c r="T504" s="305"/>
      <c r="U504" s="305"/>
      <c r="V504" s="7"/>
      <c r="W504" s="31"/>
      <c r="X504" s="31"/>
      <c r="Y504" s="31"/>
      <c r="Z504" s="7"/>
      <c r="AA504" s="7"/>
      <c r="AB504" s="7"/>
      <c r="AC504" s="7"/>
      <c r="AD504" s="7"/>
      <c r="AE504" s="7"/>
      <c r="AF504" s="7"/>
      <c r="AG504" s="7"/>
      <c r="AH504" s="7"/>
      <c r="AI504" s="7"/>
      <c r="AJ504" s="7"/>
      <c r="AK504" s="7"/>
      <c r="AL504" s="7"/>
      <c r="AM504" s="7"/>
      <c r="AN504" s="7"/>
      <c r="AO504" s="7"/>
      <c r="AP504" s="7"/>
    </row>
    <row r="505" spans="1:44">
      <c r="A505" s="305" t="s">
        <v>399</v>
      </c>
      <c r="B505" s="305"/>
      <c r="C505" s="305"/>
      <c r="D505" s="490"/>
      <c r="E505" s="305"/>
      <c r="F505" s="305"/>
      <c r="G505" s="490"/>
      <c r="H505" s="305"/>
      <c r="I505" s="305"/>
      <c r="J505" s="305"/>
      <c r="K505" s="490"/>
      <c r="L505" s="305"/>
      <c r="M505" s="305"/>
      <c r="N505" s="305"/>
      <c r="O505" s="490"/>
      <c r="P505" s="305"/>
      <c r="Q505" s="305"/>
      <c r="R505" s="305"/>
      <c r="S505" s="490"/>
      <c r="T505" s="305"/>
      <c r="U505" s="305"/>
      <c r="V505" s="7"/>
      <c r="W505" s="31"/>
      <c r="X505" s="31"/>
      <c r="Y505" s="31"/>
      <c r="Z505" s="7"/>
      <c r="AA505" s="7"/>
      <c r="AB505" s="7"/>
      <c r="AC505" s="7"/>
      <c r="AD505" s="7"/>
      <c r="AE505" s="7"/>
      <c r="AF505" s="7"/>
      <c r="AG505" s="7"/>
      <c r="AH505" s="7"/>
      <c r="AI505" s="7"/>
      <c r="AJ505" s="7"/>
      <c r="AK505" s="7"/>
      <c r="AL505" s="7"/>
      <c r="AM505" s="7"/>
      <c r="AN505" s="7"/>
      <c r="AO505" s="7"/>
      <c r="AP505" s="7"/>
    </row>
    <row r="506" spans="1:44">
      <c r="A506" s="305" t="s">
        <v>406</v>
      </c>
      <c r="B506" s="305"/>
      <c r="C506" s="305"/>
      <c r="D506" s="490"/>
      <c r="E506" s="305"/>
      <c r="F506" s="305"/>
      <c r="G506" s="490"/>
      <c r="H506" s="305"/>
      <c r="I506" s="305"/>
      <c r="J506" s="305"/>
      <c r="K506" s="490"/>
      <c r="L506" s="305"/>
      <c r="M506" s="305"/>
      <c r="N506" s="305"/>
      <c r="O506" s="490"/>
      <c r="P506" s="305"/>
      <c r="Q506" s="305"/>
      <c r="R506" s="305"/>
      <c r="S506" s="490"/>
      <c r="T506" s="305"/>
      <c r="U506" s="305"/>
      <c r="V506" s="7"/>
      <c r="W506" s="31"/>
      <c r="X506" s="31"/>
      <c r="Y506" s="31"/>
      <c r="Z506" s="7"/>
      <c r="AA506" s="7"/>
      <c r="AB506" s="7"/>
      <c r="AC506" s="7"/>
      <c r="AD506" s="7"/>
      <c r="AE506" s="7"/>
      <c r="AF506" s="7"/>
      <c r="AG506" s="7"/>
      <c r="AH506" s="7"/>
      <c r="AI506" s="7"/>
      <c r="AJ506" s="7"/>
      <c r="AK506" s="7"/>
      <c r="AL506" s="7"/>
      <c r="AM506" s="7"/>
      <c r="AN506" s="7"/>
      <c r="AO506" s="7"/>
      <c r="AP506" s="7"/>
    </row>
    <row r="507" spans="1:44">
      <c r="A507" s="305" t="s">
        <v>381</v>
      </c>
      <c r="B507" s="305"/>
      <c r="C507" s="61"/>
      <c r="D507" s="490"/>
      <c r="E507" s="305"/>
      <c r="F507" s="305"/>
      <c r="G507" s="490"/>
      <c r="H507" s="305"/>
      <c r="I507" s="305"/>
      <c r="J507" s="305"/>
      <c r="K507" s="490"/>
      <c r="L507" s="305"/>
      <c r="M507" s="305"/>
      <c r="N507" s="305"/>
      <c r="O507" s="490"/>
      <c r="P507" s="305"/>
      <c r="Q507" s="305"/>
      <c r="R507" s="305"/>
      <c r="S507" s="490"/>
      <c r="T507" s="305"/>
      <c r="U507" s="305"/>
      <c r="V507" s="7"/>
      <c r="W507" s="31"/>
      <c r="X507" s="31"/>
      <c r="Y507" s="31"/>
      <c r="Z507" s="7"/>
      <c r="AA507" s="7"/>
      <c r="AB507" s="7"/>
      <c r="AC507" s="7"/>
      <c r="AD507" s="7"/>
      <c r="AE507" s="7"/>
      <c r="AF507" s="7"/>
      <c r="AG507" s="7"/>
      <c r="AH507" s="7"/>
      <c r="AI507" s="7"/>
      <c r="AJ507" s="7"/>
      <c r="AK507" s="7"/>
      <c r="AL507" s="7"/>
      <c r="AM507" s="7"/>
      <c r="AN507" s="7"/>
      <c r="AO507" s="7"/>
      <c r="AP507" s="7"/>
    </row>
    <row r="508" spans="1:44">
      <c r="A508" s="305" t="s">
        <v>378</v>
      </c>
      <c r="B508" s="305"/>
      <c r="C508" s="61">
        <v>3</v>
      </c>
      <c r="D508" s="448">
        <f>$D$185</f>
        <v>119.88</v>
      </c>
      <c r="E508" s="305"/>
      <c r="F508" s="490">
        <f>ROUND(D508*$C508,0)</f>
        <v>360</v>
      </c>
      <c r="G508" s="448">
        <f>$G$185</f>
        <v>119.88</v>
      </c>
      <c r="H508" s="305"/>
      <c r="I508" s="490">
        <f>ROUND(G508*$C508,0)</f>
        <v>360</v>
      </c>
      <c r="J508" s="490"/>
      <c r="K508" s="448" t="e">
        <f>$K$185</f>
        <v>#REF!</v>
      </c>
      <c r="L508" s="305"/>
      <c r="M508" s="490" t="e">
        <f>ROUND(K508*$C508,0)</f>
        <v>#REF!</v>
      </c>
      <c r="N508" s="490"/>
      <c r="O508" s="448" t="e">
        <f>$O$185</f>
        <v>#REF!</v>
      </c>
      <c r="P508" s="305"/>
      <c r="Q508" s="490" t="e">
        <f>ROUND(O508*$C508,0)</f>
        <v>#REF!</v>
      </c>
      <c r="R508" s="490"/>
      <c r="S508" s="448" t="e">
        <f>$S$185</f>
        <v>#REF!</v>
      </c>
      <c r="T508" s="305"/>
      <c r="U508" s="490" t="e">
        <f>ROUND(S508*$C508,0)</f>
        <v>#REF!</v>
      </c>
      <c r="V508" s="7"/>
      <c r="W508" s="31"/>
      <c r="X508" s="31"/>
      <c r="Y508" s="31"/>
      <c r="Z508" s="7"/>
      <c r="AA508" s="7"/>
      <c r="AB508" s="7"/>
      <c r="AC508" s="7"/>
      <c r="AD508" s="7"/>
      <c r="AE508" s="7"/>
      <c r="AF508" s="7"/>
      <c r="AG508" s="7"/>
      <c r="AH508" s="7"/>
      <c r="AI508" s="7"/>
      <c r="AJ508" s="7"/>
      <c r="AK508" s="7"/>
      <c r="AL508" s="7"/>
      <c r="AM508" s="7"/>
      <c r="AN508" s="7"/>
      <c r="AO508" s="7"/>
      <c r="AP508" s="7"/>
    </row>
    <row r="509" spans="1:44">
      <c r="A509" s="305" t="s">
        <v>379</v>
      </c>
      <c r="B509" s="305"/>
      <c r="C509" s="61">
        <v>73.671232876712295</v>
      </c>
      <c r="D509" s="448">
        <f>$D$186</f>
        <v>178.68</v>
      </c>
      <c r="E509" s="1004"/>
      <c r="F509" s="490">
        <f t="shared" ref="F509:F510" si="114">ROUND(D509*$C509,0)</f>
        <v>13164</v>
      </c>
      <c r="G509" s="448">
        <f>$G$186</f>
        <v>178.68</v>
      </c>
      <c r="H509" s="1004"/>
      <c r="I509" s="490">
        <f>ROUND(G509*$C509,0)</f>
        <v>13164</v>
      </c>
      <c r="J509" s="490"/>
      <c r="K509" s="448" t="e">
        <f>$K$186</f>
        <v>#REF!</v>
      </c>
      <c r="L509" s="1004"/>
      <c r="M509" s="490" t="e">
        <f>ROUND(K509*$C509,0)</f>
        <v>#REF!</v>
      </c>
      <c r="N509" s="490"/>
      <c r="O509" s="448" t="e">
        <f>$O$186</f>
        <v>#REF!</v>
      </c>
      <c r="P509" s="1004"/>
      <c r="Q509" s="490" t="e">
        <f>ROUND(O509*$C509,0)</f>
        <v>#REF!</v>
      </c>
      <c r="R509" s="490"/>
      <c r="S509" s="448" t="e">
        <f>$S$186</f>
        <v>#REF!</v>
      </c>
      <c r="T509" s="1004"/>
      <c r="U509" s="490" t="e">
        <f>ROUND(S509*$C509,0)</f>
        <v>#REF!</v>
      </c>
      <c r="V509" s="7"/>
      <c r="W509" s="31"/>
      <c r="X509" s="31"/>
      <c r="Y509" s="31"/>
      <c r="Z509" s="7"/>
      <c r="AA509" s="7"/>
      <c r="AB509" s="7"/>
      <c r="AC509" s="7"/>
      <c r="AD509" s="7"/>
      <c r="AE509" s="7"/>
      <c r="AF509" s="7"/>
      <c r="AG509" s="7"/>
      <c r="AH509" s="7"/>
      <c r="AI509" s="7"/>
      <c r="AJ509" s="7"/>
      <c r="AK509" s="7"/>
      <c r="AL509" s="7"/>
      <c r="AM509" s="7"/>
      <c r="AN509" s="7"/>
      <c r="AO509" s="7"/>
      <c r="AP509" s="7"/>
    </row>
    <row r="510" spans="1:44">
      <c r="A510" s="305" t="s">
        <v>380</v>
      </c>
      <c r="B510" s="305"/>
      <c r="C510" s="61">
        <v>2388.0986301369899</v>
      </c>
      <c r="D510" s="448">
        <f>$D$187</f>
        <v>12.48</v>
      </c>
      <c r="E510" s="1004"/>
      <c r="F510" s="490">
        <f t="shared" si="114"/>
        <v>29803</v>
      </c>
      <c r="G510" s="448">
        <f>$G$187</f>
        <v>12.48</v>
      </c>
      <c r="H510" s="1004"/>
      <c r="I510" s="490">
        <f>ROUND(G510*$C510,0)</f>
        <v>29803</v>
      </c>
      <c r="J510" s="490"/>
      <c r="K510" s="448" t="e">
        <f>$K$187</f>
        <v>#REF!</v>
      </c>
      <c r="L510" s="1004"/>
      <c r="M510" s="490" t="e">
        <f>ROUND(K510*$C510,0)</f>
        <v>#REF!</v>
      </c>
      <c r="N510" s="490"/>
      <c r="O510" s="448" t="e">
        <f>$O$187</f>
        <v>#REF!</v>
      </c>
      <c r="P510" s="1004"/>
      <c r="Q510" s="490" t="e">
        <f>ROUND(O510*$C510,0)</f>
        <v>#REF!</v>
      </c>
      <c r="R510" s="490"/>
      <c r="S510" s="448" t="e">
        <f>$S$187</f>
        <v>#REF!</v>
      </c>
      <c r="T510" s="1004"/>
      <c r="U510" s="490" t="e">
        <f>ROUND(S510*$C510,0)</f>
        <v>#REF!</v>
      </c>
      <c r="V510" s="7"/>
      <c r="W510" s="31"/>
      <c r="X510" s="31"/>
      <c r="Y510" s="31"/>
      <c r="Z510" s="7"/>
      <c r="AA510" s="7"/>
      <c r="AB510" s="7"/>
      <c r="AC510" s="7"/>
      <c r="AD510" s="7"/>
      <c r="AE510" s="7"/>
      <c r="AF510" s="7"/>
      <c r="AG510" s="7"/>
      <c r="AH510" s="7"/>
      <c r="AI510" s="7"/>
      <c r="AJ510" s="7"/>
      <c r="AK510" s="7"/>
      <c r="AL510" s="7"/>
      <c r="AM510" s="7"/>
      <c r="AN510" s="7"/>
      <c r="AO510" s="7"/>
      <c r="AP510" s="7"/>
    </row>
    <row r="511" spans="1:44">
      <c r="A511" s="305" t="s">
        <v>382</v>
      </c>
      <c r="B511" s="305"/>
      <c r="C511" s="61">
        <v>76.671232876712295</v>
      </c>
      <c r="D511" s="448"/>
      <c r="E511" s="305"/>
      <c r="F511" s="490"/>
      <c r="G511" s="448"/>
      <c r="H511" s="305"/>
      <c r="I511" s="490"/>
      <c r="J511" s="490"/>
      <c r="K511" s="448"/>
      <c r="L511" s="305"/>
      <c r="M511" s="490"/>
      <c r="N511" s="490"/>
      <c r="O511" s="448"/>
      <c r="P511" s="305"/>
      <c r="Q511" s="490"/>
      <c r="R511" s="490"/>
      <c r="S511" s="448"/>
      <c r="T511" s="305"/>
      <c r="U511" s="490"/>
      <c r="V511" s="7"/>
      <c r="W511" s="31"/>
      <c r="X511" s="31"/>
      <c r="Y511" s="31"/>
      <c r="Z511" s="7"/>
      <c r="AA511" s="7"/>
      <c r="AB511" s="7"/>
      <c r="AC511" s="7"/>
      <c r="AD511" s="7"/>
      <c r="AE511" s="7"/>
      <c r="AF511" s="7"/>
      <c r="AG511" s="7"/>
      <c r="AH511" s="7"/>
      <c r="AI511" s="7"/>
      <c r="AJ511" s="7"/>
      <c r="AK511" s="7"/>
      <c r="AL511" s="7"/>
      <c r="AM511" s="7"/>
      <c r="AN511" s="7"/>
      <c r="AO511" s="7"/>
      <c r="AP511" s="7"/>
    </row>
    <row r="512" spans="1:44">
      <c r="A512" s="305" t="s">
        <v>407</v>
      </c>
      <c r="B512" s="305"/>
      <c r="C512" s="61">
        <v>851.87000000000069</v>
      </c>
      <c r="D512" s="448"/>
      <c r="E512" s="305"/>
      <c r="F512" s="490"/>
      <c r="G512" s="448"/>
      <c r="H512" s="305"/>
      <c r="I512" s="490"/>
      <c r="J512" s="490"/>
      <c r="K512" s="448"/>
      <c r="L512" s="305"/>
      <c r="M512" s="490"/>
      <c r="N512" s="490"/>
      <c r="O512" s="448"/>
      <c r="P512" s="305"/>
      <c r="Q512" s="490"/>
      <c r="R512" s="490"/>
      <c r="S512" s="448"/>
      <c r="T512" s="305"/>
      <c r="U512" s="490"/>
      <c r="V512" s="7"/>
      <c r="W512" s="31"/>
      <c r="X512" s="31"/>
      <c r="Y512" s="31"/>
      <c r="Z512" s="7"/>
      <c r="AA512" s="7"/>
      <c r="AB512" s="7"/>
      <c r="AC512" s="7"/>
      <c r="AD512" s="7"/>
      <c r="AE512" s="7"/>
      <c r="AF512" s="7"/>
      <c r="AG512" s="7"/>
      <c r="AH512" s="7"/>
      <c r="AI512" s="7"/>
      <c r="AJ512" s="7"/>
      <c r="AK512" s="7"/>
      <c r="AL512" s="7"/>
      <c r="AM512" s="7"/>
      <c r="AN512" s="7"/>
      <c r="AO512" s="7"/>
      <c r="AP512" s="7"/>
    </row>
    <row r="513" spans="1:44">
      <c r="A513" s="305" t="s">
        <v>383</v>
      </c>
      <c r="B513" s="305"/>
      <c r="C513" s="61">
        <v>3462.2</v>
      </c>
      <c r="D513" s="237">
        <f>$D$194</f>
        <v>3.8</v>
      </c>
      <c r="E513" s="305"/>
      <c r="F513" s="490">
        <f>ROUND(D513*C513,0)</f>
        <v>13156</v>
      </c>
      <c r="G513" s="237">
        <f>$G$194</f>
        <v>3.8099999999999996</v>
      </c>
      <c r="H513" s="305"/>
      <c r="I513" s="490">
        <f>ROUND(G513*$C513,0)</f>
        <v>13191</v>
      </c>
      <c r="J513" s="490"/>
      <c r="K513" s="237" t="e">
        <f>$K$194</f>
        <v>#REF!</v>
      </c>
      <c r="L513" s="305"/>
      <c r="M513" s="490" t="e">
        <f>ROUND(K513*$C513,0)</f>
        <v>#REF!</v>
      </c>
      <c r="N513" s="490"/>
      <c r="O513" s="237" t="e">
        <f>$O$194</f>
        <v>#REF!</v>
      </c>
      <c r="P513" s="305"/>
      <c r="Q513" s="490" t="e">
        <f>ROUND(O513*$C513,0)</f>
        <v>#REF!</v>
      </c>
      <c r="R513" s="490"/>
      <c r="S513" s="237" t="e">
        <f>$S$194</f>
        <v>#REF!</v>
      </c>
      <c r="T513" s="305"/>
      <c r="U513" s="490" t="e">
        <f>ROUND(S513*$C513,0)</f>
        <v>#REF!</v>
      </c>
      <c r="V513" s="7"/>
      <c r="W513" s="31"/>
      <c r="X513" s="31"/>
      <c r="Y513" s="31"/>
      <c r="Z513" s="7"/>
      <c r="AA513" s="7"/>
      <c r="AB513" s="7"/>
      <c r="AC513" s="7"/>
      <c r="AD513" s="7"/>
      <c r="AE513" s="7"/>
      <c r="AF513" s="7"/>
      <c r="AG513" s="7"/>
      <c r="AH513" s="7"/>
      <c r="AI513" s="7"/>
      <c r="AJ513" s="7"/>
      <c r="AK513" s="7"/>
      <c r="AL513" s="7"/>
      <c r="AM513" s="7"/>
      <c r="AN513" s="7"/>
      <c r="AO513" s="7"/>
      <c r="AP513" s="7"/>
    </row>
    <row r="514" spans="1:44">
      <c r="A514" s="305" t="s">
        <v>385</v>
      </c>
      <c r="B514" s="305"/>
      <c r="C514" s="61">
        <v>82574</v>
      </c>
      <c r="D514" s="1006">
        <f>$D$195</f>
        <v>10.878</v>
      </c>
      <c r="E514" s="305" t="s">
        <v>362</v>
      </c>
      <c r="F514" s="490">
        <f>ROUND(D514*C514/100,0)</f>
        <v>8982</v>
      </c>
      <c r="G514" s="1006">
        <f>$G$195</f>
        <v>10.879</v>
      </c>
      <c r="H514" s="305" t="s">
        <v>362</v>
      </c>
      <c r="I514" s="490">
        <f>ROUND(G514*$C514/100,0)</f>
        <v>8983</v>
      </c>
      <c r="J514" s="490"/>
      <c r="K514" s="1006" t="e">
        <f>$K$195</f>
        <v>#REF!</v>
      </c>
      <c r="L514" s="305" t="s">
        <v>362</v>
      </c>
      <c r="M514" s="490" t="e">
        <f>ROUND(K514*$C514/100,0)</f>
        <v>#REF!</v>
      </c>
      <c r="N514" s="490"/>
      <c r="O514" s="1006" t="e">
        <f>$O$195</f>
        <v>#REF!</v>
      </c>
      <c r="P514" s="305" t="s">
        <v>362</v>
      </c>
      <c r="Q514" s="490" t="e">
        <f>ROUND(O514*$C514/100,0)</f>
        <v>#REF!</v>
      </c>
      <c r="R514" s="490"/>
      <c r="S514" s="1006" t="e">
        <f>$S$195</f>
        <v>#REF!</v>
      </c>
      <c r="T514" s="305" t="s">
        <v>362</v>
      </c>
      <c r="U514" s="490" t="e">
        <f>ROUND(S514*$C514/100,0)</f>
        <v>#REF!</v>
      </c>
      <c r="V514" s="7"/>
      <c r="W514" s="31"/>
      <c r="X514" s="31"/>
      <c r="Y514" s="31"/>
      <c r="Z514" s="7"/>
      <c r="AA514" s="7"/>
      <c r="AB514" s="7"/>
      <c r="AC514" s="7"/>
      <c r="AD514" s="7"/>
      <c r="AE514" s="7"/>
      <c r="AF514" s="7"/>
      <c r="AG514" s="7"/>
      <c r="AH514" s="7"/>
      <c r="AI514" s="7"/>
      <c r="AJ514" s="7"/>
      <c r="AK514" s="7"/>
      <c r="AL514" s="7"/>
      <c r="AM514" s="7"/>
      <c r="AN514" s="7"/>
      <c r="AO514" s="7"/>
      <c r="AP514" s="7"/>
    </row>
    <row r="515" spans="1:44">
      <c r="A515" s="305" t="s">
        <v>386</v>
      </c>
      <c r="B515" s="305"/>
      <c r="C515" s="61">
        <v>47297</v>
      </c>
      <c r="D515" s="1006">
        <f>$D$196</f>
        <v>7.5140000000000002</v>
      </c>
      <c r="E515" s="305" t="s">
        <v>362</v>
      </c>
      <c r="F515" s="490">
        <f>ROUND(D515*C515/100,0)</f>
        <v>3554</v>
      </c>
      <c r="G515" s="1006">
        <f>$G$196</f>
        <v>7.5140000000000002</v>
      </c>
      <c r="H515" s="305" t="s">
        <v>362</v>
      </c>
      <c r="I515" s="490">
        <f>ROUND(G515*$C515/100,0)</f>
        <v>3554</v>
      </c>
      <c r="J515" s="490"/>
      <c r="K515" s="1006" t="e">
        <f>$K$196</f>
        <v>#REF!</v>
      </c>
      <c r="L515" s="305" t="s">
        <v>362</v>
      </c>
      <c r="M515" s="490" t="e">
        <f>ROUND(K515*$C515/100,0)</f>
        <v>#REF!</v>
      </c>
      <c r="N515" s="490"/>
      <c r="O515" s="1006" t="e">
        <f>$O$196</f>
        <v>#REF!</v>
      </c>
      <c r="P515" s="305" t="s">
        <v>362</v>
      </c>
      <c r="Q515" s="490" t="e">
        <f>ROUND(O515*$C515/100,0)</f>
        <v>#REF!</v>
      </c>
      <c r="R515" s="490"/>
      <c r="S515" s="1006" t="e">
        <f>$S$196</f>
        <v>#REF!</v>
      </c>
      <c r="T515" s="305" t="s">
        <v>362</v>
      </c>
      <c r="U515" s="490" t="e">
        <f>ROUND(S515*$C515/100,0)</f>
        <v>#REF!</v>
      </c>
      <c r="V515" s="7"/>
      <c r="W515" s="31"/>
      <c r="X515" s="31"/>
      <c r="Y515" s="31"/>
      <c r="Z515" s="7"/>
      <c r="AA515" s="7"/>
      <c r="AB515" s="7"/>
      <c r="AC515" s="7"/>
      <c r="AD515" s="7"/>
      <c r="AE515" s="7"/>
      <c r="AF515" s="7"/>
      <c r="AG515" s="7"/>
      <c r="AH515" s="7"/>
      <c r="AI515" s="7"/>
      <c r="AJ515" s="7"/>
      <c r="AK515" s="7"/>
      <c r="AL515" s="7"/>
      <c r="AM515" s="7"/>
      <c r="AN515" s="7"/>
      <c r="AO515" s="7"/>
      <c r="AP515" s="7"/>
    </row>
    <row r="516" spans="1:44">
      <c r="A516" s="305" t="s">
        <v>387</v>
      </c>
      <c r="B516" s="305"/>
      <c r="C516" s="61">
        <v>0</v>
      </c>
      <c r="D516" s="1006">
        <f>$D$197</f>
        <v>6.4720000000000004</v>
      </c>
      <c r="E516" s="305" t="s">
        <v>362</v>
      </c>
      <c r="F516" s="490">
        <f>ROUND(D516*C516/100,0)</f>
        <v>0</v>
      </c>
      <c r="G516" s="1006">
        <f>$G$197</f>
        <v>6.4720000000000004</v>
      </c>
      <c r="H516" s="305" t="s">
        <v>362</v>
      </c>
      <c r="I516" s="490">
        <f>ROUND(G516*$C516/100,0)</f>
        <v>0</v>
      </c>
      <c r="J516" s="490"/>
      <c r="K516" s="1006" t="e">
        <f>$K$197</f>
        <v>#REF!</v>
      </c>
      <c r="L516" s="305" t="s">
        <v>362</v>
      </c>
      <c r="M516" s="490" t="e">
        <f>ROUND(K516*$C516/100,0)</f>
        <v>#REF!</v>
      </c>
      <c r="N516" s="490"/>
      <c r="O516" s="1006" t="e">
        <f>$O$197</f>
        <v>#REF!</v>
      </c>
      <c r="P516" s="305" t="s">
        <v>362</v>
      </c>
      <c r="Q516" s="490" t="e">
        <f>ROUND(O516*$C516/100,0)</f>
        <v>#REF!</v>
      </c>
      <c r="R516" s="490"/>
      <c r="S516" s="1006" t="e">
        <f>$S$197</f>
        <v>#REF!</v>
      </c>
      <c r="T516" s="305" t="s">
        <v>362</v>
      </c>
      <c r="U516" s="490" t="e">
        <f>ROUND(S516*$C516/100,0)</f>
        <v>#REF!</v>
      </c>
      <c r="V516" s="7"/>
      <c r="W516" s="31"/>
      <c r="X516" s="31"/>
      <c r="Y516" s="31"/>
      <c r="Z516" s="7"/>
      <c r="AA516" s="7"/>
      <c r="AB516" s="7"/>
      <c r="AC516" s="7"/>
      <c r="AD516" s="7"/>
      <c r="AE516" s="7"/>
      <c r="AF516" s="7"/>
      <c r="AG516" s="7"/>
      <c r="AH516" s="7"/>
      <c r="AI516" s="7"/>
      <c r="AJ516" s="7"/>
      <c r="AK516" s="7"/>
      <c r="AL516" s="7"/>
      <c r="AM516" s="7"/>
      <c r="AN516" s="7"/>
      <c r="AO516" s="7"/>
      <c r="AP516" s="7"/>
    </row>
    <row r="517" spans="1:44">
      <c r="A517" s="305" t="s">
        <v>388</v>
      </c>
      <c r="B517" s="305"/>
      <c r="C517" s="61">
        <v>775.923888888889</v>
      </c>
      <c r="D517" s="1021">
        <f>$D$198</f>
        <v>58</v>
      </c>
      <c r="E517" s="305" t="s">
        <v>362</v>
      </c>
      <c r="F517" s="490">
        <f>ROUND(D517*C517/100,0)</f>
        <v>450</v>
      </c>
      <c r="G517" s="1021">
        <f>$G$198</f>
        <v>58</v>
      </c>
      <c r="H517" s="305" t="s">
        <v>362</v>
      </c>
      <c r="I517" s="490">
        <f>ROUND(G517*$C517/100,0)</f>
        <v>450</v>
      </c>
      <c r="J517" s="490"/>
      <c r="K517" s="1021" t="e">
        <f>$K$198</f>
        <v>#REF!</v>
      </c>
      <c r="L517" s="305" t="s">
        <v>362</v>
      </c>
      <c r="M517" s="490" t="e">
        <f>ROUND(K517*$C517/100,0)</f>
        <v>#REF!</v>
      </c>
      <c r="N517" s="490"/>
      <c r="O517" s="1021" t="e">
        <f>$O$198</f>
        <v>#REF!</v>
      </c>
      <c r="P517" s="305" t="s">
        <v>362</v>
      </c>
      <c r="Q517" s="490" t="e">
        <f>ROUND(O517*$C517/100,0)</f>
        <v>#REF!</v>
      </c>
      <c r="R517" s="490"/>
      <c r="S517" s="1021" t="e">
        <f>$S$198</f>
        <v>#REF!</v>
      </c>
      <c r="T517" s="305" t="s">
        <v>362</v>
      </c>
      <c r="U517" s="490" t="e">
        <f>ROUND(S517*$C517/100,0)</f>
        <v>#REF!</v>
      </c>
      <c r="V517" s="7"/>
      <c r="W517" s="31"/>
      <c r="X517" s="31"/>
      <c r="Y517" s="31"/>
      <c r="Z517" s="7"/>
      <c r="AA517" s="7"/>
      <c r="AB517" s="7"/>
      <c r="AC517" s="7"/>
      <c r="AD517" s="7"/>
      <c r="AE517" s="7"/>
      <c r="AF517" s="7"/>
      <c r="AG517" s="7"/>
      <c r="AH517" s="7"/>
      <c r="AI517" s="7"/>
      <c r="AJ517" s="7"/>
      <c r="AK517" s="7"/>
      <c r="AL517" s="7"/>
      <c r="AM517" s="7"/>
      <c r="AN517" s="7"/>
      <c r="AO517" s="7"/>
      <c r="AP517" s="7"/>
    </row>
    <row r="518" spans="1:44" s="588" customFormat="1" hidden="1">
      <c r="A518" s="588" t="s">
        <v>771</v>
      </c>
      <c r="C518" s="631">
        <f t="shared" ref="C518:C519" si="115">C514</f>
        <v>82574</v>
      </c>
      <c r="D518" s="990">
        <v>0</v>
      </c>
      <c r="E518" s="635"/>
      <c r="F518" s="616"/>
      <c r="G518" s="987">
        <f>G199</f>
        <v>0</v>
      </c>
      <c r="H518" s="592" t="s">
        <v>362</v>
      </c>
      <c r="I518" s="616">
        <f t="shared" ref="I518:I520" si="116">ROUND(G518*$C518/100,0)</f>
        <v>0</v>
      </c>
      <c r="J518" s="616"/>
      <c r="K518" s="987" t="e">
        <f>K199</f>
        <v>#REF!</v>
      </c>
      <c r="L518" s="592" t="s">
        <v>362</v>
      </c>
      <c r="M518" s="616" t="e">
        <f t="shared" ref="M518:M520" si="117">ROUND(K518*$C518/100,0)</f>
        <v>#REF!</v>
      </c>
      <c r="N518" s="616"/>
      <c r="O518" s="987" t="e">
        <f>O199</f>
        <v>#REF!</v>
      </c>
      <c r="P518" s="592" t="s">
        <v>362</v>
      </c>
      <c r="Q518" s="616" t="e">
        <f t="shared" ref="Q518:Q520" si="118">ROUND(O518*$C518/100,0)</f>
        <v>#REF!</v>
      </c>
      <c r="R518" s="616"/>
      <c r="S518" s="987" t="e">
        <f>S199</f>
        <v>#REF!</v>
      </c>
      <c r="T518" s="592" t="s">
        <v>362</v>
      </c>
      <c r="U518" s="616" t="e">
        <f t="shared" ref="U518:U520" si="119">ROUND(S518*$C518/100,0)</f>
        <v>#REF!</v>
      </c>
      <c r="W518" s="450"/>
      <c r="Z518" s="989"/>
      <c r="AA518" s="989"/>
      <c r="AF518" s="635"/>
      <c r="AG518" s="635"/>
      <c r="AH518" s="635"/>
      <c r="AI518" s="635"/>
      <c r="AJ518" s="635"/>
      <c r="AK518" s="635"/>
      <c r="AL518" s="635"/>
      <c r="AM518" s="635"/>
      <c r="AN518" s="635"/>
      <c r="AO518" s="635"/>
      <c r="AP518" s="635"/>
      <c r="AR518" s="988"/>
    </row>
    <row r="519" spans="1:44" s="588" customFormat="1" hidden="1">
      <c r="A519" s="588" t="s">
        <v>772</v>
      </c>
      <c r="C519" s="631">
        <f t="shared" si="115"/>
        <v>47297</v>
      </c>
      <c r="D519" s="990">
        <v>0</v>
      </c>
      <c r="E519" s="635"/>
      <c r="F519" s="616"/>
      <c r="G519" s="987">
        <f>G200</f>
        <v>0</v>
      </c>
      <c r="H519" s="592" t="s">
        <v>362</v>
      </c>
      <c r="I519" s="616">
        <f t="shared" si="116"/>
        <v>0</v>
      </c>
      <c r="J519" s="616"/>
      <c r="K519" s="987" t="e">
        <f>K200</f>
        <v>#REF!</v>
      </c>
      <c r="L519" s="592" t="s">
        <v>362</v>
      </c>
      <c r="M519" s="616" t="e">
        <f t="shared" si="117"/>
        <v>#REF!</v>
      </c>
      <c r="N519" s="616"/>
      <c r="O519" s="987" t="e">
        <f>O200</f>
        <v>#REF!</v>
      </c>
      <c r="P519" s="592" t="s">
        <v>362</v>
      </c>
      <c r="Q519" s="616" t="e">
        <f t="shared" si="118"/>
        <v>#REF!</v>
      </c>
      <c r="R519" s="616"/>
      <c r="S519" s="987" t="e">
        <f>S200</f>
        <v>#REF!</v>
      </c>
      <c r="T519" s="592" t="s">
        <v>362</v>
      </c>
      <c r="U519" s="616" t="e">
        <f t="shared" si="119"/>
        <v>#REF!</v>
      </c>
      <c r="W519" s="450"/>
      <c r="Z519" s="989"/>
      <c r="AA519" s="989"/>
      <c r="AF519" s="635"/>
      <c r="AG519" s="635"/>
      <c r="AH519" s="635"/>
      <c r="AI519" s="635"/>
      <c r="AJ519" s="635"/>
      <c r="AK519" s="635"/>
      <c r="AL519" s="635"/>
      <c r="AM519" s="635"/>
      <c r="AN519" s="635"/>
      <c r="AO519" s="635"/>
      <c r="AP519" s="635"/>
      <c r="AR519" s="988"/>
    </row>
    <row r="520" spans="1:44" s="588" customFormat="1" hidden="1">
      <c r="A520" s="588" t="s">
        <v>773</v>
      </c>
      <c r="C520" s="631">
        <f>C516</f>
        <v>0</v>
      </c>
      <c r="D520" s="990">
        <v>0</v>
      </c>
      <c r="E520" s="635"/>
      <c r="F520" s="616"/>
      <c r="G520" s="987">
        <f>G201</f>
        <v>0</v>
      </c>
      <c r="H520" s="592" t="s">
        <v>362</v>
      </c>
      <c r="I520" s="616">
        <f t="shared" si="116"/>
        <v>0</v>
      </c>
      <c r="J520" s="616"/>
      <c r="K520" s="987" t="e">
        <f>K201</f>
        <v>#REF!</v>
      </c>
      <c r="L520" s="592" t="s">
        <v>362</v>
      </c>
      <c r="M520" s="616" t="e">
        <f t="shared" si="117"/>
        <v>#REF!</v>
      </c>
      <c r="N520" s="616"/>
      <c r="O520" s="987" t="e">
        <f>O201</f>
        <v>#REF!</v>
      </c>
      <c r="P520" s="592" t="s">
        <v>362</v>
      </c>
      <c r="Q520" s="616" t="e">
        <f t="shared" si="118"/>
        <v>#REF!</v>
      </c>
      <c r="R520" s="616"/>
      <c r="S520" s="987" t="e">
        <f>S201</f>
        <v>#REF!</v>
      </c>
      <c r="T520" s="592" t="s">
        <v>362</v>
      </c>
      <c r="U520" s="616" t="e">
        <f t="shared" si="119"/>
        <v>#REF!</v>
      </c>
      <c r="W520" s="450"/>
      <c r="Z520" s="989"/>
      <c r="AA520" s="989"/>
      <c r="AF520" s="635"/>
      <c r="AG520" s="635"/>
      <c r="AH520" s="635"/>
      <c r="AI520" s="635"/>
      <c r="AJ520" s="635"/>
      <c r="AK520" s="635"/>
      <c r="AL520" s="635"/>
      <c r="AM520" s="635"/>
      <c r="AN520" s="635"/>
      <c r="AO520" s="635"/>
      <c r="AP520" s="635"/>
      <c r="AR520" s="988"/>
    </row>
    <row r="521" spans="1:44">
      <c r="A521" s="244" t="s">
        <v>389</v>
      </c>
      <c r="B521" s="305"/>
      <c r="C521" s="61"/>
      <c r="D521" s="1023">
        <f>$D$205</f>
        <v>-0.01</v>
      </c>
      <c r="E521" s="305"/>
      <c r="F521" s="490"/>
      <c r="G521" s="1023">
        <v>-0.01</v>
      </c>
      <c r="H521" s="305"/>
      <c r="I521" s="490"/>
      <c r="J521" s="490"/>
      <c r="K521" s="1023">
        <v>-0.01</v>
      </c>
      <c r="L521" s="305"/>
      <c r="M521" s="490"/>
      <c r="N521" s="490"/>
      <c r="O521" s="1023">
        <v>-0.01</v>
      </c>
      <c r="P521" s="305"/>
      <c r="Q521" s="490"/>
      <c r="R521" s="490"/>
      <c r="S521" s="1023">
        <v>-0.01</v>
      </c>
      <c r="T521" s="305"/>
      <c r="U521" s="490"/>
      <c r="V521" s="7"/>
      <c r="W521" s="31"/>
      <c r="X521" s="31"/>
      <c r="Y521" s="31"/>
      <c r="Z521" s="7"/>
      <c r="AA521" s="7"/>
      <c r="AB521" s="7"/>
      <c r="AC521" s="7"/>
      <c r="AD521" s="7"/>
      <c r="AE521" s="7"/>
      <c r="AF521" s="7"/>
      <c r="AG521" s="7"/>
      <c r="AH521" s="7"/>
      <c r="AI521" s="7"/>
      <c r="AJ521" s="7"/>
      <c r="AK521" s="7"/>
      <c r="AL521" s="7"/>
      <c r="AM521" s="7"/>
      <c r="AN521" s="7"/>
      <c r="AO521" s="7"/>
      <c r="AP521" s="7"/>
    </row>
    <row r="522" spans="1:44">
      <c r="A522" s="305" t="s">
        <v>378</v>
      </c>
      <c r="B522" s="305"/>
      <c r="C522" s="61">
        <v>0</v>
      </c>
      <c r="D522" s="237">
        <f>D508</f>
        <v>119.88</v>
      </c>
      <c r="E522" s="490"/>
      <c r="F522" s="490">
        <f>-ROUND(D522*$C522/100,0)</f>
        <v>0</v>
      </c>
      <c r="G522" s="237">
        <f>G508</f>
        <v>119.88</v>
      </c>
      <c r="H522" s="490"/>
      <c r="I522" s="490">
        <f>-ROUND(G522*$C522/100,0)</f>
        <v>0</v>
      </c>
      <c r="J522" s="490"/>
      <c r="K522" s="237" t="e">
        <f>K508</f>
        <v>#REF!</v>
      </c>
      <c r="L522" s="490"/>
      <c r="M522" s="490" t="e">
        <f>-ROUND(K522*$C522/100,0)</f>
        <v>#REF!</v>
      </c>
      <c r="N522" s="490"/>
      <c r="O522" s="237" t="e">
        <f>O508</f>
        <v>#REF!</v>
      </c>
      <c r="P522" s="490"/>
      <c r="Q522" s="490" t="e">
        <f>-ROUND(O522*$C522/100,0)</f>
        <v>#REF!</v>
      </c>
      <c r="R522" s="490"/>
      <c r="S522" s="237" t="e">
        <f>S508</f>
        <v>#REF!</v>
      </c>
      <c r="T522" s="490"/>
      <c r="U522" s="490" t="e">
        <f>-ROUND(S522*$C522/100,0)</f>
        <v>#REF!</v>
      </c>
      <c r="V522" s="7"/>
      <c r="W522" s="31"/>
      <c r="X522" s="31"/>
      <c r="Y522" s="31"/>
      <c r="Z522" s="7"/>
      <c r="AA522" s="7"/>
      <c r="AB522" s="7"/>
      <c r="AC522" s="7"/>
      <c r="AD522" s="7"/>
      <c r="AE522" s="7"/>
      <c r="AF522" s="7"/>
      <c r="AG522" s="7"/>
      <c r="AH522" s="7"/>
      <c r="AI522" s="7"/>
      <c r="AJ522" s="7"/>
      <c r="AK522" s="7"/>
      <c r="AL522" s="7"/>
      <c r="AM522" s="7"/>
      <c r="AN522" s="7"/>
      <c r="AO522" s="7"/>
      <c r="AP522" s="7"/>
    </row>
    <row r="523" spans="1:44">
      <c r="A523" s="305" t="s">
        <v>379</v>
      </c>
      <c r="B523" s="305"/>
      <c r="C523" s="61">
        <v>0</v>
      </c>
      <c r="D523" s="237">
        <f t="shared" ref="D523:D524" si="120">D509</f>
        <v>178.68</v>
      </c>
      <c r="E523" s="490"/>
      <c r="F523" s="490">
        <f t="shared" ref="F523:F525" si="121">-ROUND(D523*$C523/100,0)</f>
        <v>0</v>
      </c>
      <c r="G523" s="237">
        <f>G509</f>
        <v>178.68</v>
      </c>
      <c r="H523" s="490"/>
      <c r="I523" s="490">
        <f>-ROUND(G523*$C523/100,0)</f>
        <v>0</v>
      </c>
      <c r="J523" s="490"/>
      <c r="K523" s="237" t="e">
        <f>K509</f>
        <v>#REF!</v>
      </c>
      <c r="L523" s="490"/>
      <c r="M523" s="490" t="e">
        <f>-ROUND(K523*$C523/100,0)</f>
        <v>#REF!</v>
      </c>
      <c r="N523" s="490"/>
      <c r="O523" s="237" t="e">
        <f>O509</f>
        <v>#REF!</v>
      </c>
      <c r="P523" s="490"/>
      <c r="Q523" s="490" t="e">
        <f>-ROUND(O523*$C523/100,0)</f>
        <v>#REF!</v>
      </c>
      <c r="R523" s="490"/>
      <c r="S523" s="237" t="e">
        <f>S509</f>
        <v>#REF!</v>
      </c>
      <c r="T523" s="490"/>
      <c r="U523" s="490" t="e">
        <f>-ROUND(S523*$C523/100,0)</f>
        <v>#REF!</v>
      </c>
      <c r="V523" s="7"/>
      <c r="W523" s="31"/>
      <c r="X523" s="31"/>
      <c r="Y523" s="31"/>
      <c r="Z523" s="7"/>
      <c r="AA523" s="7"/>
      <c r="AB523" s="7"/>
      <c r="AC523" s="7"/>
      <c r="AD523" s="7"/>
      <c r="AE523" s="7"/>
      <c r="AF523" s="7"/>
      <c r="AG523" s="7"/>
      <c r="AH523" s="7"/>
      <c r="AI523" s="7"/>
      <c r="AJ523" s="7"/>
      <c r="AK523" s="7"/>
      <c r="AL523" s="7"/>
      <c r="AM523" s="7"/>
      <c r="AN523" s="7"/>
      <c r="AO523" s="7"/>
      <c r="AP523" s="7"/>
    </row>
    <row r="524" spans="1:44">
      <c r="A524" s="305" t="s">
        <v>390</v>
      </c>
      <c r="B524" s="305"/>
      <c r="C524" s="61">
        <v>0</v>
      </c>
      <c r="D524" s="237">
        <f t="shared" si="120"/>
        <v>12.48</v>
      </c>
      <c r="E524" s="490"/>
      <c r="F524" s="490">
        <f t="shared" si="121"/>
        <v>0</v>
      </c>
      <c r="G524" s="237">
        <f>G510</f>
        <v>12.48</v>
      </c>
      <c r="H524" s="490"/>
      <c r="I524" s="490">
        <f>-ROUND(G524*$C524/100,0)</f>
        <v>0</v>
      </c>
      <c r="J524" s="490"/>
      <c r="K524" s="237" t="e">
        <f>K510</f>
        <v>#REF!</v>
      </c>
      <c r="L524" s="490"/>
      <c r="M524" s="490" t="e">
        <f>-ROUND(K524*$C524/100,0)</f>
        <v>#REF!</v>
      </c>
      <c r="N524" s="490"/>
      <c r="O524" s="237" t="e">
        <f>O510</f>
        <v>#REF!</v>
      </c>
      <c r="P524" s="490"/>
      <c r="Q524" s="490" t="e">
        <f>-ROUND(O524*$C524/100,0)</f>
        <v>#REF!</v>
      </c>
      <c r="R524" s="490"/>
      <c r="S524" s="237" t="e">
        <f>S510</f>
        <v>#REF!</v>
      </c>
      <c r="T524" s="490"/>
      <c r="U524" s="490" t="e">
        <f>-ROUND(S524*$C524/100,0)</f>
        <v>#REF!</v>
      </c>
      <c r="V524" s="7"/>
      <c r="W524" s="31"/>
      <c r="X524" s="31"/>
      <c r="Y524" s="31"/>
      <c r="Z524" s="7"/>
      <c r="AA524" s="7"/>
      <c r="AB524" s="7"/>
      <c r="AC524" s="7"/>
      <c r="AD524" s="7"/>
      <c r="AE524" s="7"/>
      <c r="AF524" s="7"/>
      <c r="AG524" s="7"/>
      <c r="AH524" s="7"/>
      <c r="AI524" s="7"/>
      <c r="AJ524" s="7"/>
      <c r="AK524" s="7"/>
      <c r="AL524" s="7"/>
      <c r="AM524" s="7"/>
      <c r="AN524" s="7"/>
      <c r="AO524" s="7"/>
      <c r="AP524" s="7"/>
    </row>
    <row r="525" spans="1:44">
      <c r="A525" s="305" t="s">
        <v>391</v>
      </c>
      <c r="B525" s="305"/>
      <c r="C525" s="61">
        <v>0</v>
      </c>
      <c r="D525" s="237">
        <f>D513</f>
        <v>3.8</v>
      </c>
      <c r="E525" s="305"/>
      <c r="F525" s="490">
        <f t="shared" si="121"/>
        <v>0</v>
      </c>
      <c r="G525" s="237">
        <f>G513</f>
        <v>3.8099999999999996</v>
      </c>
      <c r="H525" s="305"/>
      <c r="I525" s="490">
        <f>-ROUND(G525*$C525/100,0)</f>
        <v>0</v>
      </c>
      <c r="J525" s="490"/>
      <c r="K525" s="237" t="e">
        <f>K513</f>
        <v>#REF!</v>
      </c>
      <c r="L525" s="305"/>
      <c r="M525" s="490" t="e">
        <f>-ROUND(K525*$C525/100,0)</f>
        <v>#REF!</v>
      </c>
      <c r="N525" s="490"/>
      <c r="O525" s="237" t="e">
        <f>O513</f>
        <v>#REF!</v>
      </c>
      <c r="P525" s="305"/>
      <c r="Q525" s="490" t="e">
        <f>-ROUND(O525*$C525/100,0)</f>
        <v>#REF!</v>
      </c>
      <c r="R525" s="490"/>
      <c r="S525" s="237" t="e">
        <f>S513</f>
        <v>#REF!</v>
      </c>
      <c r="T525" s="305"/>
      <c r="U525" s="490" t="e">
        <f>-ROUND(S525*$C525/100,0)</f>
        <v>#REF!</v>
      </c>
      <c r="V525" s="7"/>
      <c r="W525" s="31"/>
      <c r="X525" s="31"/>
      <c r="Y525" s="31"/>
      <c r="Z525" s="7"/>
      <c r="AA525" s="7"/>
      <c r="AB525" s="7"/>
      <c r="AC525" s="7"/>
      <c r="AD525" s="7"/>
      <c r="AE525" s="7"/>
      <c r="AF525" s="7"/>
      <c r="AG525" s="7"/>
      <c r="AH525" s="7"/>
      <c r="AI525" s="7"/>
      <c r="AJ525" s="7"/>
      <c r="AK525" s="7"/>
      <c r="AL525" s="7"/>
      <c r="AM525" s="7"/>
      <c r="AN525" s="7"/>
      <c r="AO525" s="7"/>
      <c r="AP525" s="7"/>
    </row>
    <row r="526" spans="1:44">
      <c r="A526" s="305" t="s">
        <v>393</v>
      </c>
      <c r="B526" s="305"/>
      <c r="C526" s="61">
        <v>0</v>
      </c>
      <c r="D526" s="1025">
        <f>D514</f>
        <v>10.878</v>
      </c>
      <c r="E526" s="305" t="s">
        <v>362</v>
      </c>
      <c r="F526" s="490">
        <f>ROUND(D526*$C526/100*D521,0)</f>
        <v>0</v>
      </c>
      <c r="G526" s="1025">
        <f>G514</f>
        <v>10.879</v>
      </c>
      <c r="H526" s="305" t="s">
        <v>362</v>
      </c>
      <c r="I526" s="490">
        <f>ROUND(G526*$C526/100*G521,0)</f>
        <v>0</v>
      </c>
      <c r="J526" s="490"/>
      <c r="K526" s="1025" t="e">
        <f>K514</f>
        <v>#REF!</v>
      </c>
      <c r="L526" s="305" t="s">
        <v>362</v>
      </c>
      <c r="M526" s="490" t="e">
        <f>ROUND(K526*$C526/100*K521,0)</f>
        <v>#REF!</v>
      </c>
      <c r="N526" s="490"/>
      <c r="O526" s="1025" t="e">
        <f>O514</f>
        <v>#REF!</v>
      </c>
      <c r="P526" s="305" t="s">
        <v>362</v>
      </c>
      <c r="Q526" s="490" t="e">
        <f>ROUND(O526*$C526/100*O521,0)</f>
        <v>#REF!</v>
      </c>
      <c r="R526" s="490"/>
      <c r="S526" s="1025" t="e">
        <f>S514</f>
        <v>#REF!</v>
      </c>
      <c r="T526" s="305" t="s">
        <v>362</v>
      </c>
      <c r="U526" s="490" t="e">
        <f>ROUND(S526*$C526/100*S521,0)</f>
        <v>#REF!</v>
      </c>
      <c r="V526" s="7"/>
      <c r="W526" s="31"/>
      <c r="X526" s="31"/>
      <c r="Y526" s="31"/>
      <c r="Z526" s="7"/>
      <c r="AA526" s="7"/>
      <c r="AB526" s="7"/>
      <c r="AC526" s="7"/>
      <c r="AD526" s="7"/>
      <c r="AE526" s="7"/>
      <c r="AF526" s="7"/>
      <c r="AG526" s="7"/>
      <c r="AH526" s="7"/>
      <c r="AI526" s="7"/>
      <c r="AJ526" s="7"/>
      <c r="AK526" s="7"/>
      <c r="AL526" s="7"/>
      <c r="AM526" s="7"/>
      <c r="AN526" s="7"/>
      <c r="AO526" s="7"/>
      <c r="AP526" s="7"/>
    </row>
    <row r="527" spans="1:44">
      <c r="A527" s="305" t="s">
        <v>386</v>
      </c>
      <c r="B527" s="305"/>
      <c r="C527" s="61">
        <v>0</v>
      </c>
      <c r="D527" s="1025">
        <f t="shared" ref="D527:D528" si="122">D515</f>
        <v>7.5140000000000002</v>
      </c>
      <c r="E527" s="305" t="s">
        <v>362</v>
      </c>
      <c r="F527" s="490">
        <f>ROUND(D527*$C527/100*D521,0)</f>
        <v>0</v>
      </c>
      <c r="G527" s="1025">
        <f>G515</f>
        <v>7.5140000000000002</v>
      </c>
      <c r="H527" s="305" t="s">
        <v>362</v>
      </c>
      <c r="I527" s="490">
        <f>ROUND(G527*$C527/100*G521,0)</f>
        <v>0</v>
      </c>
      <c r="J527" s="490"/>
      <c r="K527" s="1025" t="e">
        <f>K515</f>
        <v>#REF!</v>
      </c>
      <c r="L527" s="305" t="s">
        <v>362</v>
      </c>
      <c r="M527" s="490" t="e">
        <f>ROUND(K527*$C527/100*K521,0)</f>
        <v>#REF!</v>
      </c>
      <c r="N527" s="490"/>
      <c r="O527" s="1025" t="e">
        <f>O515</f>
        <v>#REF!</v>
      </c>
      <c r="P527" s="305" t="s">
        <v>362</v>
      </c>
      <c r="Q527" s="490" t="e">
        <f>ROUND(O527*$C527/100*O521,0)</f>
        <v>#REF!</v>
      </c>
      <c r="R527" s="490"/>
      <c r="S527" s="1025" t="e">
        <f>S515</f>
        <v>#REF!</v>
      </c>
      <c r="T527" s="305" t="s">
        <v>362</v>
      </c>
      <c r="U527" s="490" t="e">
        <f>ROUND(S527*$C527/100*S521,0)</f>
        <v>#REF!</v>
      </c>
      <c r="V527" s="7"/>
      <c r="W527" s="31"/>
      <c r="X527" s="31"/>
      <c r="Y527" s="31"/>
      <c r="Z527" s="7"/>
      <c r="AA527" s="7"/>
      <c r="AB527" s="7"/>
      <c r="AC527" s="7"/>
      <c r="AD527" s="7"/>
      <c r="AE527" s="7"/>
      <c r="AF527" s="7"/>
      <c r="AG527" s="7"/>
      <c r="AH527" s="7"/>
      <c r="AI527" s="7"/>
      <c r="AJ527" s="7"/>
      <c r="AK527" s="7"/>
      <c r="AL527" s="7"/>
      <c r="AM527" s="7"/>
      <c r="AN527" s="7"/>
      <c r="AO527" s="7"/>
      <c r="AP527" s="7"/>
    </row>
    <row r="528" spans="1:44">
      <c r="A528" s="305" t="s">
        <v>387</v>
      </c>
      <c r="B528" s="305"/>
      <c r="C528" s="61">
        <v>0</v>
      </c>
      <c r="D528" s="1025">
        <f t="shared" si="122"/>
        <v>6.4720000000000004</v>
      </c>
      <c r="E528" s="305" t="s">
        <v>362</v>
      </c>
      <c r="F528" s="490">
        <f>ROUND(D528*$C528/100*D521,0)</f>
        <v>0</v>
      </c>
      <c r="G528" s="1025">
        <f>G516</f>
        <v>6.4720000000000004</v>
      </c>
      <c r="H528" s="305" t="s">
        <v>362</v>
      </c>
      <c r="I528" s="490">
        <f>ROUND(G528*$C528/100*G521,0)</f>
        <v>0</v>
      </c>
      <c r="J528" s="490"/>
      <c r="K528" s="1025" t="e">
        <f>K516</f>
        <v>#REF!</v>
      </c>
      <c r="L528" s="305" t="s">
        <v>362</v>
      </c>
      <c r="M528" s="490" t="e">
        <f>ROUND(K528*$C528/100*K521,0)</f>
        <v>#REF!</v>
      </c>
      <c r="N528" s="490"/>
      <c r="O528" s="1025" t="e">
        <f>O516</f>
        <v>#REF!</v>
      </c>
      <c r="P528" s="305" t="s">
        <v>362</v>
      </c>
      <c r="Q528" s="490" t="e">
        <f>ROUND(O528*$C528/100*O521,0)</f>
        <v>#REF!</v>
      </c>
      <c r="R528" s="490"/>
      <c r="S528" s="1025" t="e">
        <f>S516</f>
        <v>#REF!</v>
      </c>
      <c r="T528" s="305" t="s">
        <v>362</v>
      </c>
      <c r="U528" s="490" t="e">
        <f>ROUND(S528*$C528/100*S521,0)</f>
        <v>#REF!</v>
      </c>
      <c r="V528" s="7"/>
      <c r="W528" s="31"/>
      <c r="X528" s="31"/>
      <c r="Y528" s="31"/>
      <c r="Z528" s="7"/>
      <c r="AA528" s="7"/>
      <c r="AB528" s="7"/>
      <c r="AC528" s="7"/>
      <c r="AD528" s="7"/>
      <c r="AE528" s="7"/>
      <c r="AF528" s="7"/>
      <c r="AG528" s="7"/>
      <c r="AH528" s="7"/>
      <c r="AI528" s="7"/>
      <c r="AJ528" s="7"/>
      <c r="AK528" s="7"/>
      <c r="AL528" s="7"/>
      <c r="AM528" s="7"/>
      <c r="AN528" s="7"/>
      <c r="AO528" s="7"/>
      <c r="AP528" s="7"/>
    </row>
    <row r="529" spans="1:44">
      <c r="A529" s="305" t="s">
        <v>388</v>
      </c>
      <c r="B529" s="305"/>
      <c r="C529" s="61">
        <v>0</v>
      </c>
      <c r="D529" s="1026">
        <f>D517</f>
        <v>58</v>
      </c>
      <c r="E529" s="305" t="s">
        <v>362</v>
      </c>
      <c r="F529" s="490">
        <f>ROUND(D529*$C529/100*D521,0)</f>
        <v>0</v>
      </c>
      <c r="G529" s="1026">
        <f>G517</f>
        <v>58</v>
      </c>
      <c r="H529" s="305" t="s">
        <v>362</v>
      </c>
      <c r="I529" s="490">
        <f>ROUND(G529*$C529/100*G521,0)</f>
        <v>0</v>
      </c>
      <c r="J529" s="490"/>
      <c r="K529" s="1026" t="e">
        <f>K517</f>
        <v>#REF!</v>
      </c>
      <c r="L529" s="305" t="s">
        <v>362</v>
      </c>
      <c r="M529" s="490" t="e">
        <f>ROUND(K529*$C529/100*K521,0)</f>
        <v>#REF!</v>
      </c>
      <c r="N529" s="490"/>
      <c r="O529" s="1026" t="e">
        <f>O517</f>
        <v>#REF!</v>
      </c>
      <c r="P529" s="305" t="s">
        <v>362</v>
      </c>
      <c r="Q529" s="490" t="e">
        <f>ROUND(O529*$C529/100*O521,0)</f>
        <v>#REF!</v>
      </c>
      <c r="R529" s="490"/>
      <c r="S529" s="1026" t="e">
        <f>S517</f>
        <v>#REF!</v>
      </c>
      <c r="T529" s="305" t="s">
        <v>362</v>
      </c>
      <c r="U529" s="490" t="e">
        <f>ROUND(S529*$C529/100*S521,0)</f>
        <v>#REF!</v>
      </c>
      <c r="V529" s="7"/>
      <c r="W529" s="31"/>
      <c r="X529" s="31"/>
      <c r="Y529" s="31"/>
      <c r="Z529" s="7"/>
      <c r="AA529" s="7"/>
      <c r="AB529" s="7"/>
      <c r="AC529" s="7"/>
      <c r="AD529" s="7"/>
      <c r="AE529" s="7"/>
      <c r="AF529" s="7"/>
      <c r="AG529" s="7"/>
      <c r="AH529" s="7"/>
      <c r="AI529" s="7"/>
      <c r="AJ529" s="7"/>
      <c r="AK529" s="7"/>
      <c r="AL529" s="7"/>
      <c r="AM529" s="7"/>
      <c r="AN529" s="7"/>
      <c r="AO529" s="7"/>
      <c r="AP529" s="7"/>
    </row>
    <row r="530" spans="1:44">
      <c r="A530" s="305" t="s">
        <v>395</v>
      </c>
      <c r="B530" s="305"/>
      <c r="C530" s="61">
        <v>0</v>
      </c>
      <c r="D530" s="237">
        <v>60</v>
      </c>
      <c r="E530" s="305"/>
      <c r="F530" s="490">
        <f>ROUND(D530*C530,0)</f>
        <v>0</v>
      </c>
      <c r="G530" s="237">
        <f>$G$214</f>
        <v>60</v>
      </c>
      <c r="H530" s="305"/>
      <c r="I530" s="490">
        <f>ROUND(G530*$C530,0)</f>
        <v>0</v>
      </c>
      <c r="J530" s="490"/>
      <c r="K530" s="237" t="str">
        <f>$K$214</f>
        <v xml:space="preserve"> </v>
      </c>
      <c r="L530" s="305"/>
      <c r="M530" s="490">
        <f>ROUND(K530*$C530,0)</f>
        <v>0</v>
      </c>
      <c r="N530" s="490"/>
      <c r="O530" s="237" t="e">
        <f>$O$214</f>
        <v>#REF!</v>
      </c>
      <c r="P530" s="305"/>
      <c r="Q530" s="490" t="e">
        <f>ROUND(O530*$C530,0)</f>
        <v>#REF!</v>
      </c>
      <c r="R530" s="490"/>
      <c r="S530" s="237" t="e">
        <f>$S$214</f>
        <v>#REF!</v>
      </c>
      <c r="T530" s="305"/>
      <c r="U530" s="490" t="e">
        <f>ROUND(S530*$C530,0)</f>
        <v>#REF!</v>
      </c>
      <c r="V530" s="7"/>
      <c r="W530" s="31"/>
      <c r="X530" s="31"/>
      <c r="Y530" s="31"/>
      <c r="Z530" s="7"/>
      <c r="AA530" s="7"/>
      <c r="AB530" s="7"/>
      <c r="AC530" s="7"/>
      <c r="AD530" s="7"/>
      <c r="AE530" s="7"/>
      <c r="AF530" s="7"/>
      <c r="AG530" s="7"/>
      <c r="AH530" s="7"/>
      <c r="AI530" s="7"/>
      <c r="AJ530" s="7"/>
      <c r="AK530" s="7"/>
      <c r="AL530" s="7"/>
      <c r="AM530" s="7"/>
      <c r="AN530" s="7"/>
      <c r="AO530" s="7"/>
      <c r="AP530" s="7"/>
    </row>
    <row r="531" spans="1:44">
      <c r="A531" s="305" t="s">
        <v>396</v>
      </c>
      <c r="B531" s="305"/>
      <c r="C531" s="61">
        <v>0</v>
      </c>
      <c r="D531" s="1027">
        <v>-30</v>
      </c>
      <c r="E531" s="305" t="s">
        <v>362</v>
      </c>
      <c r="F531" s="490">
        <f>ROUND(D531*C531/100,0)</f>
        <v>0</v>
      </c>
      <c r="G531" s="1027">
        <f>$G$215</f>
        <v>-30</v>
      </c>
      <c r="H531" s="305" t="s">
        <v>362</v>
      </c>
      <c r="I531" s="490">
        <f>ROUND(G531*$C531/100,0)</f>
        <v>0</v>
      </c>
      <c r="J531" s="490"/>
      <c r="K531" s="1027" t="e">
        <f>$K$215</f>
        <v>#REF!</v>
      </c>
      <c r="L531" s="305" t="s">
        <v>362</v>
      </c>
      <c r="M531" s="490" t="e">
        <f>ROUND(K531*$C531/100,0)</f>
        <v>#REF!</v>
      </c>
      <c r="N531" s="490"/>
      <c r="O531" s="1027" t="str">
        <f>$O$215</f>
        <v xml:space="preserve"> </v>
      </c>
      <c r="P531" s="305" t="s">
        <v>362</v>
      </c>
      <c r="Q531" s="490">
        <f>ROUND(O531*$C531/100,0)</f>
        <v>0</v>
      </c>
      <c r="R531" s="490"/>
      <c r="S531" s="1027" t="str">
        <f>$S$215</f>
        <v xml:space="preserve"> </v>
      </c>
      <c r="T531" s="305" t="s">
        <v>362</v>
      </c>
      <c r="U531" s="490">
        <f>ROUND(S531*$C531/100,0)</f>
        <v>0</v>
      </c>
      <c r="V531" s="7"/>
      <c r="W531" s="31"/>
      <c r="X531" s="31"/>
      <c r="Y531" s="31"/>
      <c r="Z531" s="7"/>
      <c r="AA531" s="7"/>
      <c r="AB531" s="7"/>
      <c r="AC531" s="7"/>
      <c r="AD531" s="7"/>
      <c r="AE531" s="7"/>
      <c r="AF531" s="7"/>
      <c r="AG531" s="7"/>
      <c r="AH531" s="7"/>
      <c r="AI531" s="7"/>
      <c r="AJ531" s="7"/>
      <c r="AK531" s="7"/>
      <c r="AL531" s="7"/>
      <c r="AM531" s="7"/>
      <c r="AN531" s="7"/>
      <c r="AO531" s="7"/>
      <c r="AP531" s="7"/>
    </row>
    <row r="532" spans="1:44" s="588" customFormat="1" hidden="1">
      <c r="A532" s="588" t="s">
        <v>771</v>
      </c>
      <c r="C532" s="631">
        <f>C526</f>
        <v>0</v>
      </c>
      <c r="D532" s="990">
        <v>0</v>
      </c>
      <c r="E532" s="635"/>
      <c r="F532" s="616"/>
      <c r="G532" s="987">
        <f>G199</f>
        <v>0</v>
      </c>
      <c r="H532" s="592" t="s">
        <v>362</v>
      </c>
      <c r="I532" s="490">
        <f>ROUND(G532*$C532/100*G521,0)</f>
        <v>0</v>
      </c>
      <c r="J532" s="490"/>
      <c r="K532" s="987" t="e">
        <f>K199</f>
        <v>#REF!</v>
      </c>
      <c r="L532" s="592" t="s">
        <v>362</v>
      </c>
      <c r="M532" s="490" t="e">
        <f>ROUND(K532*$C532/100*K521,0)</f>
        <v>#REF!</v>
      </c>
      <c r="N532" s="490"/>
      <c r="O532" s="987" t="e">
        <f>O199</f>
        <v>#REF!</v>
      </c>
      <c r="P532" s="592" t="s">
        <v>362</v>
      </c>
      <c r="Q532" s="490" t="e">
        <f>ROUND(O532*$C532/100*O521,0)</f>
        <v>#REF!</v>
      </c>
      <c r="R532" s="490"/>
      <c r="S532" s="987" t="e">
        <f>S199</f>
        <v>#REF!</v>
      </c>
      <c r="T532" s="592" t="s">
        <v>362</v>
      </c>
      <c r="U532" s="490" t="e">
        <f>ROUND(S532*$C532/100*S521,0)</f>
        <v>#REF!</v>
      </c>
      <c r="W532" s="450"/>
      <c r="Z532" s="989"/>
      <c r="AA532" s="989"/>
      <c r="AF532" s="635"/>
      <c r="AG532" s="635"/>
      <c r="AH532" s="635"/>
      <c r="AI532" s="635"/>
      <c r="AJ532" s="635"/>
      <c r="AK532" s="635"/>
      <c r="AL532" s="635"/>
      <c r="AM532" s="635"/>
      <c r="AN532" s="635"/>
      <c r="AO532" s="635"/>
      <c r="AP532" s="635"/>
      <c r="AR532" s="988"/>
    </row>
    <row r="533" spans="1:44" s="588" customFormat="1" hidden="1">
      <c r="A533" s="588" t="s">
        <v>772</v>
      </c>
      <c r="C533" s="631">
        <f t="shared" ref="C533:C534" si="123">C527</f>
        <v>0</v>
      </c>
      <c r="D533" s="990">
        <v>0</v>
      </c>
      <c r="E533" s="635"/>
      <c r="F533" s="616"/>
      <c r="G533" s="987">
        <f>G200</f>
        <v>0</v>
      </c>
      <c r="H533" s="592" t="s">
        <v>362</v>
      </c>
      <c r="I533" s="490">
        <f>ROUND(G533*$C533/100*G521,0)</f>
        <v>0</v>
      </c>
      <c r="J533" s="490"/>
      <c r="K533" s="987" t="e">
        <f>K200</f>
        <v>#REF!</v>
      </c>
      <c r="L533" s="592" t="s">
        <v>362</v>
      </c>
      <c r="M533" s="490" t="e">
        <f>ROUND(K533*$C533/100*K521,0)</f>
        <v>#REF!</v>
      </c>
      <c r="N533" s="490"/>
      <c r="O533" s="987" t="e">
        <f>O200</f>
        <v>#REF!</v>
      </c>
      <c r="P533" s="592" t="s">
        <v>362</v>
      </c>
      <c r="Q533" s="490" t="e">
        <f>ROUND(O533*$C533/100*O521,0)</f>
        <v>#REF!</v>
      </c>
      <c r="R533" s="490"/>
      <c r="S533" s="987" t="e">
        <f>S200</f>
        <v>#REF!</v>
      </c>
      <c r="T533" s="592" t="s">
        <v>362</v>
      </c>
      <c r="U533" s="490" t="e">
        <f>ROUND(S533*$C533/100*S521,0)</f>
        <v>#REF!</v>
      </c>
      <c r="W533" s="450"/>
      <c r="Z533" s="989"/>
      <c r="AA533" s="989"/>
      <c r="AF533" s="635"/>
      <c r="AG533" s="635"/>
      <c r="AH533" s="635"/>
      <c r="AI533" s="635"/>
      <c r="AJ533" s="635"/>
      <c r="AK533" s="635"/>
      <c r="AL533" s="635"/>
      <c r="AM533" s="635"/>
      <c r="AN533" s="635"/>
      <c r="AO533" s="635"/>
      <c r="AP533" s="635"/>
      <c r="AR533" s="988"/>
    </row>
    <row r="534" spans="1:44" s="588" customFormat="1" hidden="1">
      <c r="A534" s="588" t="s">
        <v>773</v>
      </c>
      <c r="C534" s="631">
        <f t="shared" si="123"/>
        <v>0</v>
      </c>
      <c r="D534" s="990">
        <v>0</v>
      </c>
      <c r="E534" s="635"/>
      <c r="F534" s="616"/>
      <c r="G534" s="987">
        <f>G201</f>
        <v>0</v>
      </c>
      <c r="H534" s="592" t="s">
        <v>362</v>
      </c>
      <c r="I534" s="490">
        <f>ROUND(G534*$C534/100*G521,0)</f>
        <v>0</v>
      </c>
      <c r="J534" s="490"/>
      <c r="K534" s="987" t="e">
        <f>K201</f>
        <v>#REF!</v>
      </c>
      <c r="L534" s="592" t="s">
        <v>362</v>
      </c>
      <c r="M534" s="490" t="e">
        <f>ROUND(K534*$C534/100*K521,0)</f>
        <v>#REF!</v>
      </c>
      <c r="N534" s="490"/>
      <c r="O534" s="987" t="e">
        <f>O201</f>
        <v>#REF!</v>
      </c>
      <c r="P534" s="592" t="s">
        <v>362</v>
      </c>
      <c r="Q534" s="490" t="e">
        <f>ROUND(O534*$C534/100*O521,0)</f>
        <v>#REF!</v>
      </c>
      <c r="R534" s="490"/>
      <c r="S534" s="987" t="e">
        <f>S201</f>
        <v>#REF!</v>
      </c>
      <c r="T534" s="592" t="s">
        <v>362</v>
      </c>
      <c r="U534" s="490" t="e">
        <f>ROUND(S534*$C534/100*S521,0)</f>
        <v>#REF!</v>
      </c>
      <c r="W534" s="450"/>
      <c r="Z534" s="989"/>
      <c r="AA534" s="989"/>
      <c r="AF534" s="635"/>
      <c r="AG534" s="635"/>
      <c r="AH534" s="635"/>
      <c r="AI534" s="635"/>
      <c r="AJ534" s="635"/>
      <c r="AK534" s="635"/>
      <c r="AL534" s="635"/>
      <c r="AM534" s="635"/>
      <c r="AN534" s="635"/>
      <c r="AO534" s="635"/>
      <c r="AP534" s="635"/>
      <c r="AR534" s="988"/>
    </row>
    <row r="535" spans="1:44">
      <c r="A535" s="305" t="s">
        <v>369</v>
      </c>
      <c r="B535" s="305"/>
      <c r="C535" s="61">
        <f>SUM(C514:C516)</f>
        <v>129871</v>
      </c>
      <c r="D535" s="1021"/>
      <c r="E535" s="305"/>
      <c r="F535" s="490">
        <f>SUM(F508:F531)</f>
        <v>69469</v>
      </c>
      <c r="G535" s="1021"/>
      <c r="H535" s="305"/>
      <c r="I535" s="490">
        <f>SUM(I508:I534)</f>
        <v>69505</v>
      </c>
      <c r="J535" s="490"/>
      <c r="K535" s="1021"/>
      <c r="L535" s="305"/>
      <c r="M535" s="490" t="e">
        <f>SUM(M508:M534)</f>
        <v>#REF!</v>
      </c>
      <c r="N535" s="490"/>
      <c r="O535" s="1021"/>
      <c r="P535" s="305"/>
      <c r="Q535" s="490" t="e">
        <f>SUM(Q508:Q534)</f>
        <v>#REF!</v>
      </c>
      <c r="R535" s="490"/>
      <c r="S535" s="1021"/>
      <c r="T535" s="305"/>
      <c r="U535" s="490" t="e">
        <f>SUM(U508:U534)</f>
        <v>#REF!</v>
      </c>
      <c r="V535" s="7"/>
      <c r="W535" s="31"/>
      <c r="X535" s="31"/>
      <c r="Y535" s="31"/>
      <c r="Z535" s="7"/>
      <c r="AA535" s="7"/>
      <c r="AB535" s="7"/>
      <c r="AC535" s="7"/>
      <c r="AD535" s="7"/>
      <c r="AE535" s="7"/>
      <c r="AF535" s="7"/>
      <c r="AG535" s="7"/>
      <c r="AH535" s="7"/>
      <c r="AI535" s="7"/>
      <c r="AJ535" s="7"/>
      <c r="AK535" s="7"/>
      <c r="AL535" s="7"/>
      <c r="AM535" s="7"/>
      <c r="AN535" s="7"/>
      <c r="AO535" s="7"/>
      <c r="AP535" s="7"/>
    </row>
    <row r="536" spans="1:44">
      <c r="A536" s="305" t="s">
        <v>351</v>
      </c>
      <c r="B536" s="305"/>
      <c r="C536" s="1017">
        <f>'Table 2'!H43</f>
        <v>1187.1998842853066</v>
      </c>
      <c r="D536" s="305"/>
      <c r="E536" s="305"/>
      <c r="F536" s="993">
        <f>'Table 3'!E43</f>
        <v>905.10456688004149</v>
      </c>
      <c r="G536" s="305"/>
      <c r="H536" s="305"/>
      <c r="I536" s="993">
        <f>F536</f>
        <v>905.10456688004149</v>
      </c>
      <c r="J536" s="723"/>
      <c r="K536" s="305"/>
      <c r="L536" s="305"/>
      <c r="M536" s="993" t="e">
        <f ca="1">M220/I220*I536</f>
        <v>#DIV/0!</v>
      </c>
      <c r="N536" s="723"/>
      <c r="O536" s="305"/>
      <c r="P536" s="305"/>
      <c r="Q536" s="993" t="e">
        <f ca="1">Q220/I220*I536</f>
        <v>#DIV/0!</v>
      </c>
      <c r="R536" s="723"/>
      <c r="S536" s="305"/>
      <c r="T536" s="305"/>
      <c r="U536" s="993" t="e">
        <f ca="1">U220/I220*I536</f>
        <v>#DIV/0!</v>
      </c>
      <c r="V536" s="714"/>
      <c r="W536" s="171"/>
      <c r="X536" s="31"/>
      <c r="Y536" s="31"/>
      <c r="Z536" s="7"/>
      <c r="AA536" s="7"/>
      <c r="AB536" s="7"/>
      <c r="AC536" s="7"/>
      <c r="AD536" s="7"/>
      <c r="AE536" s="7"/>
      <c r="AF536" s="7"/>
      <c r="AG536" s="7"/>
      <c r="AH536" s="7"/>
      <c r="AI536" s="7"/>
      <c r="AJ536" s="7"/>
      <c r="AK536" s="7"/>
      <c r="AL536" s="7"/>
      <c r="AM536" s="7"/>
      <c r="AN536" s="7"/>
      <c r="AO536" s="7"/>
      <c r="AP536" s="7"/>
    </row>
    <row r="537" spans="1:44" ht="16.5" thickBot="1">
      <c r="A537" s="305" t="s">
        <v>370</v>
      </c>
      <c r="B537" s="305"/>
      <c r="C537" s="1012">
        <f>SUM(C535:C536)</f>
        <v>131058.19988428531</v>
      </c>
      <c r="D537" s="1036"/>
      <c r="E537" s="1030"/>
      <c r="F537" s="995">
        <f>F535+F536</f>
        <v>70374.104566880036</v>
      </c>
      <c r="G537" s="1036"/>
      <c r="H537" s="1030"/>
      <c r="I537" s="995">
        <f>I535+I536</f>
        <v>70410.104566880036</v>
      </c>
      <c r="J537" s="723"/>
      <c r="K537" s="1036"/>
      <c r="L537" s="1030"/>
      <c r="M537" s="995" t="e">
        <f ca="1">M535+M536</f>
        <v>#REF!</v>
      </c>
      <c r="N537" s="995"/>
      <c r="O537" s="1036"/>
      <c r="P537" s="1030"/>
      <c r="Q537" s="995" t="e">
        <f ca="1">Q535+Q536</f>
        <v>#REF!</v>
      </c>
      <c r="R537" s="995"/>
      <c r="S537" s="1036"/>
      <c r="T537" s="1030"/>
      <c r="U537" s="995" t="e">
        <f ca="1">U535+U536</f>
        <v>#REF!</v>
      </c>
      <c r="V537" s="295"/>
      <c r="W537" s="354"/>
      <c r="X537" s="31"/>
      <c r="Y537" s="31"/>
      <c r="Z537" s="7"/>
      <c r="AA537" s="7"/>
      <c r="AB537" s="7"/>
      <c r="AC537" s="7"/>
      <c r="AD537" s="7"/>
      <c r="AE537" s="7"/>
      <c r="AF537" s="7"/>
      <c r="AG537" s="7"/>
      <c r="AH537" s="7"/>
      <c r="AI537" s="7"/>
      <c r="AJ537" s="7"/>
      <c r="AK537" s="7"/>
      <c r="AL537" s="7"/>
      <c r="AM537" s="7"/>
      <c r="AN537" s="7"/>
      <c r="AO537" s="7"/>
      <c r="AP537" s="7"/>
    </row>
    <row r="538" spans="1:44" ht="16.5" thickTop="1">
      <c r="A538" s="305"/>
      <c r="B538" s="305"/>
      <c r="C538" s="61"/>
      <c r="D538" s="237" t="s">
        <v>31</v>
      </c>
      <c r="E538" s="305"/>
      <c r="F538" s="490"/>
      <c r="G538" s="237" t="s">
        <v>31</v>
      </c>
      <c r="H538" s="305"/>
      <c r="I538" s="490" t="s">
        <v>31</v>
      </c>
      <c r="J538" s="490"/>
      <c r="K538" s="237" t="s">
        <v>31</v>
      </c>
      <c r="L538" s="305"/>
      <c r="M538" s="490" t="s">
        <v>31</v>
      </c>
      <c r="N538" s="490"/>
      <c r="O538" s="237" t="s">
        <v>31</v>
      </c>
      <c r="P538" s="305"/>
      <c r="Q538" s="490" t="s">
        <v>31</v>
      </c>
      <c r="R538" s="490"/>
      <c r="S538" s="237" t="s">
        <v>31</v>
      </c>
      <c r="T538" s="305"/>
      <c r="U538" s="490" t="s">
        <v>31</v>
      </c>
      <c r="V538" s="7"/>
      <c r="W538" s="31"/>
      <c r="X538" s="31"/>
      <c r="Y538" s="31"/>
      <c r="Z538" s="7"/>
      <c r="AA538" s="7"/>
      <c r="AB538" s="7"/>
      <c r="AC538" s="7"/>
      <c r="AD538" s="7"/>
      <c r="AE538" s="7"/>
      <c r="AF538" s="7"/>
      <c r="AG538" s="7"/>
      <c r="AH538" s="7"/>
      <c r="AI538" s="7"/>
      <c r="AJ538" s="7"/>
      <c r="AK538" s="7"/>
      <c r="AL538" s="7"/>
      <c r="AM538" s="7"/>
      <c r="AN538" s="7"/>
      <c r="AO538" s="7"/>
      <c r="AP538" s="7"/>
    </row>
    <row r="539" spans="1:44">
      <c r="A539" s="305" t="s">
        <v>405</v>
      </c>
      <c r="B539" s="305"/>
      <c r="C539" s="305"/>
      <c r="D539" s="490"/>
      <c r="E539" s="305"/>
      <c r="F539" s="305"/>
      <c r="G539" s="490"/>
      <c r="H539" s="305"/>
      <c r="I539" s="305"/>
      <c r="J539" s="305"/>
      <c r="K539" s="490"/>
      <c r="L539" s="305"/>
      <c r="M539" s="305"/>
      <c r="N539" s="305"/>
      <c r="O539" s="490"/>
      <c r="P539" s="305"/>
      <c r="Q539" s="305"/>
      <c r="R539" s="305"/>
      <c r="S539" s="490"/>
      <c r="T539" s="305"/>
      <c r="U539" s="305"/>
      <c r="V539" s="7"/>
      <c r="W539" s="31"/>
      <c r="X539" s="31"/>
      <c r="Y539" s="31"/>
      <c r="Z539" s="7"/>
      <c r="AA539" s="7"/>
      <c r="AB539" s="7"/>
      <c r="AC539" s="7"/>
      <c r="AD539" s="7"/>
      <c r="AE539" s="7"/>
      <c r="AF539" s="7"/>
      <c r="AG539" s="7"/>
      <c r="AH539" s="7"/>
      <c r="AI539" s="7"/>
      <c r="AJ539" s="7"/>
      <c r="AK539" s="7"/>
      <c r="AL539" s="7"/>
      <c r="AM539" s="7"/>
      <c r="AN539" s="7"/>
      <c r="AO539" s="7"/>
      <c r="AP539" s="7"/>
    </row>
    <row r="540" spans="1:44">
      <c r="A540" s="305" t="s">
        <v>402</v>
      </c>
      <c r="B540" s="305"/>
      <c r="C540" s="305"/>
      <c r="D540" s="490"/>
      <c r="E540" s="305"/>
      <c r="F540" s="305"/>
      <c r="G540" s="490"/>
      <c r="H540" s="305"/>
      <c r="I540" s="305"/>
      <c r="J540" s="305"/>
      <c r="K540" s="490"/>
      <c r="L540" s="305"/>
      <c r="M540" s="305"/>
      <c r="N540" s="305"/>
      <c r="O540" s="490"/>
      <c r="P540" s="305"/>
      <c r="Q540" s="305"/>
      <c r="R540" s="305"/>
      <c r="S540" s="490"/>
      <c r="T540" s="305"/>
      <c r="U540" s="305"/>
      <c r="V540" s="7"/>
      <c r="W540" s="31"/>
      <c r="X540" s="31"/>
      <c r="Y540" s="31"/>
      <c r="Z540" s="7"/>
      <c r="AA540" s="7"/>
      <c r="AB540" s="7"/>
      <c r="AC540" s="7"/>
      <c r="AD540" s="7"/>
      <c r="AE540" s="7"/>
      <c r="AF540" s="7"/>
      <c r="AG540" s="7"/>
      <c r="AH540" s="7"/>
      <c r="AI540" s="7"/>
      <c r="AJ540" s="7"/>
      <c r="AK540" s="7"/>
      <c r="AL540" s="7"/>
      <c r="AM540" s="7"/>
      <c r="AN540" s="7"/>
      <c r="AO540" s="7"/>
      <c r="AP540" s="7"/>
    </row>
    <row r="541" spans="1:44">
      <c r="A541" s="305" t="s">
        <v>406</v>
      </c>
      <c r="B541" s="305"/>
      <c r="C541" s="305"/>
      <c r="D541" s="490"/>
      <c r="E541" s="305"/>
      <c r="F541" s="305"/>
      <c r="G541" s="490"/>
      <c r="H541" s="305"/>
      <c r="I541" s="305"/>
      <c r="J541" s="305"/>
      <c r="K541" s="490"/>
      <c r="L541" s="305"/>
      <c r="M541" s="305"/>
      <c r="N541" s="305"/>
      <c r="O541" s="490"/>
      <c r="P541" s="305"/>
      <c r="Q541" s="305"/>
      <c r="R541" s="305"/>
      <c r="S541" s="490"/>
      <c r="T541" s="305"/>
      <c r="U541" s="305"/>
      <c r="V541" s="7"/>
      <c r="W541" s="31"/>
      <c r="X541" s="31"/>
      <c r="Y541" s="31"/>
      <c r="Z541" s="7"/>
      <c r="AA541" s="7"/>
      <c r="AB541" s="7"/>
      <c r="AC541" s="7"/>
      <c r="AD541" s="7"/>
      <c r="AE541" s="7"/>
      <c r="AF541" s="7"/>
      <c r="AG541" s="7"/>
      <c r="AH541" s="7"/>
      <c r="AI541" s="7"/>
      <c r="AJ541" s="7"/>
      <c r="AK541" s="7"/>
      <c r="AL541" s="7"/>
      <c r="AM541" s="7"/>
      <c r="AN541" s="7"/>
      <c r="AO541" s="7"/>
      <c r="AP541" s="7"/>
    </row>
    <row r="542" spans="1:44">
      <c r="A542" s="305" t="s">
        <v>381</v>
      </c>
      <c r="B542" s="305"/>
      <c r="C542" s="61"/>
      <c r="D542" s="490"/>
      <c r="E542" s="305"/>
      <c r="F542" s="305"/>
      <c r="G542" s="490"/>
      <c r="H542" s="305"/>
      <c r="I542" s="305"/>
      <c r="J542" s="305"/>
      <c r="K542" s="490"/>
      <c r="L542" s="305"/>
      <c r="M542" s="305"/>
      <c r="N542" s="305"/>
      <c r="O542" s="490"/>
      <c r="P542" s="305"/>
      <c r="Q542" s="305"/>
      <c r="R542" s="305"/>
      <c r="S542" s="490"/>
      <c r="T542" s="305"/>
      <c r="U542" s="305"/>
      <c r="V542" s="7"/>
      <c r="W542" s="31"/>
      <c r="X542" s="31"/>
      <c r="Y542" s="31"/>
      <c r="Z542" s="7"/>
      <c r="AA542" s="7"/>
      <c r="AB542" s="7"/>
      <c r="AC542" s="7"/>
      <c r="AD542" s="7"/>
      <c r="AE542" s="7"/>
      <c r="AF542" s="7"/>
      <c r="AG542" s="7"/>
      <c r="AH542" s="7"/>
      <c r="AI542" s="7"/>
      <c r="AJ542" s="7"/>
      <c r="AK542" s="7"/>
      <c r="AL542" s="7"/>
      <c r="AM542" s="7"/>
      <c r="AN542" s="7"/>
      <c r="AO542" s="7"/>
      <c r="AP542" s="7"/>
    </row>
    <row r="543" spans="1:44">
      <c r="A543" s="305" t="s">
        <v>378</v>
      </c>
      <c r="B543" s="305"/>
      <c r="C543" s="61">
        <v>0</v>
      </c>
      <c r="D543" s="448">
        <f>D508</f>
        <v>119.88</v>
      </c>
      <c r="E543" s="305"/>
      <c r="F543" s="490">
        <f>ROUND(D543*$C543,0)</f>
        <v>0</v>
      </c>
      <c r="G543" s="448">
        <f>$G$185</f>
        <v>119.88</v>
      </c>
      <c r="H543" s="305"/>
      <c r="I543" s="490">
        <f>ROUND(G543*$C543,0)</f>
        <v>0</v>
      </c>
      <c r="J543" s="490"/>
      <c r="K543" s="448" t="e">
        <f>$K$185</f>
        <v>#REF!</v>
      </c>
      <c r="L543" s="305"/>
      <c r="M543" s="490" t="e">
        <f>ROUND(K543*$C543,0)</f>
        <v>#REF!</v>
      </c>
      <c r="N543" s="490"/>
      <c r="O543" s="448" t="e">
        <f>$O$185</f>
        <v>#REF!</v>
      </c>
      <c r="P543" s="305"/>
      <c r="Q543" s="490" t="e">
        <f>ROUND(O543*$C543,0)</f>
        <v>#REF!</v>
      </c>
      <c r="R543" s="490"/>
      <c r="S543" s="448" t="e">
        <f>$S$185</f>
        <v>#REF!</v>
      </c>
      <c r="T543" s="305"/>
      <c r="U543" s="490" t="e">
        <f>ROUND(S543*$C543,0)</f>
        <v>#REF!</v>
      </c>
      <c r="V543" s="7"/>
      <c r="W543" s="31"/>
      <c r="X543" s="31"/>
      <c r="Y543" s="31"/>
      <c r="Z543" s="7"/>
      <c r="AA543" s="7"/>
      <c r="AB543" s="7"/>
      <c r="AC543" s="7"/>
      <c r="AD543" s="7"/>
      <c r="AE543" s="7"/>
      <c r="AF543" s="7"/>
      <c r="AG543" s="7"/>
      <c r="AH543" s="7"/>
      <c r="AI543" s="7"/>
      <c r="AJ543" s="7"/>
      <c r="AK543" s="7"/>
      <c r="AL543" s="7"/>
      <c r="AM543" s="7"/>
      <c r="AN543" s="7"/>
      <c r="AO543" s="7"/>
      <c r="AP543" s="7"/>
    </row>
    <row r="544" spans="1:44">
      <c r="A544" s="305" t="s">
        <v>379</v>
      </c>
      <c r="B544" s="305"/>
      <c r="C544" s="61">
        <v>1</v>
      </c>
      <c r="D544" s="448">
        <f t="shared" ref="D544:D545" si="124">D509</f>
        <v>178.68</v>
      </c>
      <c r="E544" s="1004"/>
      <c r="F544" s="490">
        <f t="shared" ref="F544:F545" si="125">ROUND(D544*$C544,0)</f>
        <v>179</v>
      </c>
      <c r="G544" s="448">
        <f>$G$186</f>
        <v>178.68</v>
      </c>
      <c r="H544" s="1004"/>
      <c r="I544" s="490">
        <f>ROUND(G544*$C544,0)</f>
        <v>179</v>
      </c>
      <c r="J544" s="490"/>
      <c r="K544" s="448" t="e">
        <f>$K$186</f>
        <v>#REF!</v>
      </c>
      <c r="L544" s="1004"/>
      <c r="M544" s="490" t="e">
        <f>ROUND(K544*$C544,0)</f>
        <v>#REF!</v>
      </c>
      <c r="N544" s="490"/>
      <c r="O544" s="448" t="e">
        <f>$O$186</f>
        <v>#REF!</v>
      </c>
      <c r="P544" s="1004"/>
      <c r="Q544" s="490" t="e">
        <f>ROUND(O544*$C544,0)</f>
        <v>#REF!</v>
      </c>
      <c r="R544" s="490"/>
      <c r="S544" s="448" t="e">
        <f>$S$186</f>
        <v>#REF!</v>
      </c>
      <c r="T544" s="1004"/>
      <c r="U544" s="490" t="e">
        <f>ROUND(S544*$C544,0)</f>
        <v>#REF!</v>
      </c>
      <c r="V544" s="7"/>
      <c r="W544" s="31"/>
      <c r="X544" s="31"/>
      <c r="Y544" s="31"/>
      <c r="Z544" s="7"/>
      <c r="AA544" s="7"/>
      <c r="AB544" s="7"/>
      <c r="AC544" s="7"/>
      <c r="AD544" s="7"/>
      <c r="AE544" s="7"/>
      <c r="AF544" s="7"/>
      <c r="AG544" s="7"/>
      <c r="AH544" s="7"/>
      <c r="AI544" s="7"/>
      <c r="AJ544" s="7"/>
      <c r="AK544" s="7"/>
      <c r="AL544" s="7"/>
      <c r="AM544" s="7"/>
      <c r="AN544" s="7"/>
      <c r="AO544" s="7"/>
      <c r="AP544" s="7"/>
    </row>
    <row r="545" spans="1:44">
      <c r="A545" s="305" t="s">
        <v>380</v>
      </c>
      <c r="B545" s="305"/>
      <c r="C545" s="61">
        <v>66</v>
      </c>
      <c r="D545" s="448">
        <f t="shared" si="124"/>
        <v>12.48</v>
      </c>
      <c r="E545" s="1004"/>
      <c r="F545" s="490">
        <f t="shared" si="125"/>
        <v>824</v>
      </c>
      <c r="G545" s="448">
        <f>$G$187</f>
        <v>12.48</v>
      </c>
      <c r="H545" s="1004"/>
      <c r="I545" s="490">
        <f>ROUND(G545*$C545,0)</f>
        <v>824</v>
      </c>
      <c r="J545" s="490"/>
      <c r="K545" s="448" t="e">
        <f>$K$187</f>
        <v>#REF!</v>
      </c>
      <c r="L545" s="1004"/>
      <c r="M545" s="490" t="e">
        <f>ROUND(K545*$C545,0)</f>
        <v>#REF!</v>
      </c>
      <c r="N545" s="490"/>
      <c r="O545" s="448" t="e">
        <f>$O$187</f>
        <v>#REF!</v>
      </c>
      <c r="P545" s="1004"/>
      <c r="Q545" s="490" t="e">
        <f>ROUND(O545*$C545,0)</f>
        <v>#REF!</v>
      </c>
      <c r="R545" s="490"/>
      <c r="S545" s="448" t="e">
        <f>$S$187</f>
        <v>#REF!</v>
      </c>
      <c r="T545" s="1004"/>
      <c r="U545" s="490" t="e">
        <f>ROUND(S545*$C545,0)</f>
        <v>#REF!</v>
      </c>
      <c r="V545" s="7"/>
      <c r="W545" s="31"/>
      <c r="X545" s="31"/>
      <c r="Y545" s="31"/>
      <c r="Z545" s="7"/>
      <c r="AA545" s="7"/>
      <c r="AB545" s="7"/>
      <c r="AC545" s="7"/>
      <c r="AD545" s="7"/>
      <c r="AE545" s="7"/>
      <c r="AF545" s="7"/>
      <c r="AG545" s="7"/>
      <c r="AH545" s="7"/>
      <c r="AI545" s="7"/>
      <c r="AJ545" s="7"/>
      <c r="AK545" s="7"/>
      <c r="AL545" s="7"/>
      <c r="AM545" s="7"/>
      <c r="AN545" s="7"/>
      <c r="AO545" s="7"/>
      <c r="AP545" s="7"/>
    </row>
    <row r="546" spans="1:44">
      <c r="A546" s="305" t="s">
        <v>382</v>
      </c>
      <c r="B546" s="305"/>
      <c r="C546" s="61">
        <f>SUM(C543:C544)</f>
        <v>1</v>
      </c>
      <c r="D546" s="448"/>
      <c r="E546" s="305"/>
      <c r="F546" s="490"/>
      <c r="G546" s="448"/>
      <c r="H546" s="305"/>
      <c r="I546" s="490"/>
      <c r="J546" s="490"/>
      <c r="K546" s="448"/>
      <c r="L546" s="305"/>
      <c r="M546" s="490"/>
      <c r="N546" s="490"/>
      <c r="O546" s="448"/>
      <c r="P546" s="305"/>
      <c r="Q546" s="490"/>
      <c r="R546" s="490"/>
      <c r="S546" s="448"/>
      <c r="T546" s="305"/>
      <c r="U546" s="490"/>
      <c r="V546" s="7"/>
      <c r="W546" s="31"/>
      <c r="X546" s="31"/>
      <c r="Y546" s="31"/>
      <c r="Z546" s="7"/>
      <c r="AA546" s="7"/>
      <c r="AB546" s="7"/>
      <c r="AC546" s="7"/>
      <c r="AD546" s="7"/>
      <c r="AE546" s="7"/>
      <c r="AF546" s="7"/>
      <c r="AG546" s="7"/>
      <c r="AH546" s="7"/>
      <c r="AI546" s="7"/>
      <c r="AJ546" s="7"/>
      <c r="AK546" s="7"/>
      <c r="AL546" s="7"/>
      <c r="AM546" s="7"/>
      <c r="AN546" s="7"/>
      <c r="AO546" s="7"/>
      <c r="AP546" s="7"/>
    </row>
    <row r="547" spans="1:44">
      <c r="A547" s="305" t="s">
        <v>407</v>
      </c>
      <c r="B547" s="305"/>
      <c r="C547" s="61">
        <v>11.0833333333333</v>
      </c>
      <c r="D547" s="448"/>
      <c r="E547" s="305"/>
      <c r="F547" s="490"/>
      <c r="G547" s="448"/>
      <c r="H547" s="305"/>
      <c r="I547" s="490"/>
      <c r="J547" s="490"/>
      <c r="K547" s="448"/>
      <c r="L547" s="305"/>
      <c r="M547" s="490"/>
      <c r="N547" s="490"/>
      <c r="O547" s="448"/>
      <c r="P547" s="305"/>
      <c r="Q547" s="490"/>
      <c r="R547" s="490"/>
      <c r="S547" s="448"/>
      <c r="T547" s="305"/>
      <c r="U547" s="490"/>
      <c r="V547" s="7"/>
      <c r="W547" s="31"/>
      <c r="X547" s="31"/>
      <c r="Y547" s="31"/>
      <c r="Z547" s="7"/>
      <c r="AA547" s="7"/>
      <c r="AB547" s="7"/>
      <c r="AC547" s="7"/>
      <c r="AD547" s="7"/>
      <c r="AE547" s="7"/>
      <c r="AF547" s="7"/>
      <c r="AG547" s="7"/>
      <c r="AH547" s="7"/>
      <c r="AI547" s="7"/>
      <c r="AJ547" s="7"/>
      <c r="AK547" s="7"/>
      <c r="AL547" s="7"/>
      <c r="AM547" s="7"/>
      <c r="AN547" s="7"/>
      <c r="AO547" s="7"/>
      <c r="AP547" s="7"/>
    </row>
    <row r="548" spans="1:44">
      <c r="A548" s="305" t="s">
        <v>383</v>
      </c>
      <c r="B548" s="305"/>
      <c r="C548" s="61">
        <v>0</v>
      </c>
      <c r="D548" s="237">
        <f>D513</f>
        <v>3.8</v>
      </c>
      <c r="E548" s="305"/>
      <c r="F548" s="490">
        <f>ROUND(D548*C548,0)</f>
        <v>0</v>
      </c>
      <c r="G548" s="237">
        <f>$G$194</f>
        <v>3.8099999999999996</v>
      </c>
      <c r="H548" s="305"/>
      <c r="I548" s="490">
        <f>ROUND(G548*$C548,0)</f>
        <v>0</v>
      </c>
      <c r="J548" s="490"/>
      <c r="K548" s="237" t="e">
        <f>$K$194</f>
        <v>#REF!</v>
      </c>
      <c r="L548" s="305"/>
      <c r="M548" s="490" t="e">
        <f>ROUND(K548*$C548,0)</f>
        <v>#REF!</v>
      </c>
      <c r="N548" s="490"/>
      <c r="O548" s="237" t="e">
        <f>$O$194</f>
        <v>#REF!</v>
      </c>
      <c r="P548" s="305"/>
      <c r="Q548" s="490" t="e">
        <f>ROUND(O548*$C548,0)</f>
        <v>#REF!</v>
      </c>
      <c r="R548" s="490"/>
      <c r="S548" s="237" t="e">
        <f>$S$194</f>
        <v>#REF!</v>
      </c>
      <c r="T548" s="305"/>
      <c r="U548" s="490" t="e">
        <f>ROUND(S548*$C548,0)</f>
        <v>#REF!</v>
      </c>
      <c r="V548" s="7"/>
      <c r="W548" s="31"/>
      <c r="X548" s="31"/>
      <c r="Y548" s="31"/>
      <c r="Z548" s="7"/>
      <c r="AA548" s="7"/>
      <c r="AB548" s="7"/>
      <c r="AC548" s="7"/>
      <c r="AD548" s="7"/>
      <c r="AE548" s="7"/>
      <c r="AF548" s="7"/>
      <c r="AG548" s="7"/>
      <c r="AH548" s="7"/>
      <c r="AI548" s="7"/>
      <c r="AJ548" s="7"/>
      <c r="AK548" s="7"/>
      <c r="AL548" s="7"/>
      <c r="AM548" s="7"/>
      <c r="AN548" s="7"/>
      <c r="AO548" s="7"/>
      <c r="AP548" s="7"/>
    </row>
    <row r="549" spans="1:44">
      <c r="A549" s="305" t="s">
        <v>385</v>
      </c>
      <c r="B549" s="305"/>
      <c r="C549" s="61">
        <v>4201</v>
      </c>
      <c r="D549" s="1006">
        <f>D514</f>
        <v>10.878</v>
      </c>
      <c r="E549" s="305" t="s">
        <v>362</v>
      </c>
      <c r="F549" s="490">
        <f>ROUND(D549*C549/100,0)</f>
        <v>457</v>
      </c>
      <c r="G549" s="1006">
        <f>$G$195</f>
        <v>10.879</v>
      </c>
      <c r="H549" s="305" t="s">
        <v>362</v>
      </c>
      <c r="I549" s="490">
        <f>ROUND(G549*$C549/100,0)</f>
        <v>457</v>
      </c>
      <c r="J549" s="490"/>
      <c r="K549" s="1006" t="e">
        <f>$K$195</f>
        <v>#REF!</v>
      </c>
      <c r="L549" s="305" t="s">
        <v>362</v>
      </c>
      <c r="M549" s="490" t="e">
        <f>ROUND(K549*$C549/100,0)</f>
        <v>#REF!</v>
      </c>
      <c r="N549" s="490"/>
      <c r="O549" s="1006" t="e">
        <f>$O$195</f>
        <v>#REF!</v>
      </c>
      <c r="P549" s="305" t="s">
        <v>362</v>
      </c>
      <c r="Q549" s="490" t="e">
        <f>ROUND(O549*$C549/100,0)</f>
        <v>#REF!</v>
      </c>
      <c r="R549" s="490"/>
      <c r="S549" s="1006" t="e">
        <f>$S$195</f>
        <v>#REF!</v>
      </c>
      <c r="T549" s="305" t="s">
        <v>362</v>
      </c>
      <c r="U549" s="490" t="e">
        <f>ROUND(S549*$C549/100,0)</f>
        <v>#REF!</v>
      </c>
      <c r="V549" s="7"/>
      <c r="W549" s="31"/>
      <c r="X549" s="31"/>
      <c r="Y549" s="31"/>
      <c r="Z549" s="7"/>
      <c r="AA549" s="7"/>
      <c r="AB549" s="7"/>
      <c r="AC549" s="7"/>
      <c r="AD549" s="7"/>
      <c r="AE549" s="7"/>
      <c r="AF549" s="7"/>
      <c r="AG549" s="7"/>
      <c r="AH549" s="7"/>
      <c r="AI549" s="7"/>
      <c r="AJ549" s="7"/>
      <c r="AK549" s="7"/>
      <c r="AL549" s="7"/>
      <c r="AM549" s="7"/>
      <c r="AN549" s="7"/>
      <c r="AO549" s="7"/>
      <c r="AP549" s="7"/>
    </row>
    <row r="550" spans="1:44">
      <c r="A550" s="305" t="s">
        <v>386</v>
      </c>
      <c r="B550" s="305"/>
      <c r="C550" s="61">
        <v>196</v>
      </c>
      <c r="D550" s="1006">
        <f t="shared" ref="D550:D551" si="126">D515</f>
        <v>7.5140000000000002</v>
      </c>
      <c r="E550" s="305" t="s">
        <v>362</v>
      </c>
      <c r="F550" s="490">
        <f>ROUND(D550*C550/100,0)</f>
        <v>15</v>
      </c>
      <c r="G550" s="1006">
        <f>$G$196</f>
        <v>7.5140000000000002</v>
      </c>
      <c r="H550" s="305" t="s">
        <v>362</v>
      </c>
      <c r="I550" s="490">
        <f>ROUND(G550*$C550/100,0)</f>
        <v>15</v>
      </c>
      <c r="J550" s="490"/>
      <c r="K550" s="1006" t="e">
        <f>$K$196</f>
        <v>#REF!</v>
      </c>
      <c r="L550" s="305" t="s">
        <v>362</v>
      </c>
      <c r="M550" s="490" t="e">
        <f>ROUND(K550*$C550/100,0)</f>
        <v>#REF!</v>
      </c>
      <c r="N550" s="490"/>
      <c r="O550" s="1006" t="e">
        <f>$O$196</f>
        <v>#REF!</v>
      </c>
      <c r="P550" s="305" t="s">
        <v>362</v>
      </c>
      <c r="Q550" s="490" t="e">
        <f>ROUND(O550*$C550/100,0)</f>
        <v>#REF!</v>
      </c>
      <c r="R550" s="490"/>
      <c r="S550" s="1006" t="e">
        <f>$S$196</f>
        <v>#REF!</v>
      </c>
      <c r="T550" s="305" t="s">
        <v>362</v>
      </c>
      <c r="U550" s="490" t="e">
        <f>ROUND(S550*$C550/100,0)</f>
        <v>#REF!</v>
      </c>
      <c r="V550" s="7"/>
      <c r="W550" s="31"/>
      <c r="X550" s="31"/>
      <c r="Y550" s="31"/>
      <c r="Z550" s="7"/>
      <c r="AA550" s="7"/>
      <c r="AB550" s="7"/>
      <c r="AC550" s="7"/>
      <c r="AD550" s="7"/>
      <c r="AE550" s="7"/>
      <c r="AF550" s="7"/>
      <c r="AG550" s="7"/>
      <c r="AH550" s="7"/>
      <c r="AI550" s="7"/>
      <c r="AJ550" s="7"/>
      <c r="AK550" s="7"/>
      <c r="AL550" s="7"/>
      <c r="AM550" s="7"/>
      <c r="AN550" s="7"/>
      <c r="AO550" s="7"/>
      <c r="AP550" s="7"/>
    </row>
    <row r="551" spans="1:44">
      <c r="A551" s="305" t="s">
        <v>387</v>
      </c>
      <c r="B551" s="305"/>
      <c r="C551" s="61">
        <v>0</v>
      </c>
      <c r="D551" s="1006">
        <f t="shared" si="126"/>
        <v>6.4720000000000004</v>
      </c>
      <c r="E551" s="305" t="s">
        <v>362</v>
      </c>
      <c r="F551" s="490">
        <f>ROUND(D551*C551/100,0)</f>
        <v>0</v>
      </c>
      <c r="G551" s="1006">
        <f>$G$197</f>
        <v>6.4720000000000004</v>
      </c>
      <c r="H551" s="305" t="s">
        <v>362</v>
      </c>
      <c r="I551" s="490">
        <f>ROUND(G551*$C551/100,0)</f>
        <v>0</v>
      </c>
      <c r="J551" s="490"/>
      <c r="K551" s="1006" t="e">
        <f>$K$197</f>
        <v>#REF!</v>
      </c>
      <c r="L551" s="305" t="s">
        <v>362</v>
      </c>
      <c r="M551" s="490" t="e">
        <f>ROUND(K551*$C551/100,0)</f>
        <v>#REF!</v>
      </c>
      <c r="N551" s="490"/>
      <c r="O551" s="1006" t="e">
        <f>$O$197</f>
        <v>#REF!</v>
      </c>
      <c r="P551" s="305" t="s">
        <v>362</v>
      </c>
      <c r="Q551" s="490" t="e">
        <f>ROUND(O551*$C551/100,0)</f>
        <v>#REF!</v>
      </c>
      <c r="R551" s="490"/>
      <c r="S551" s="1006" t="e">
        <f>$S$197</f>
        <v>#REF!</v>
      </c>
      <c r="T551" s="305" t="s">
        <v>362</v>
      </c>
      <c r="U551" s="490" t="e">
        <f>ROUND(S551*$C551/100,0)</f>
        <v>#REF!</v>
      </c>
      <c r="V551" s="7"/>
      <c r="W551" s="31"/>
      <c r="X551" s="31"/>
      <c r="Y551" s="31"/>
      <c r="Z551" s="7"/>
      <c r="AA551" s="7"/>
      <c r="AB551" s="7"/>
      <c r="AC551" s="7"/>
      <c r="AD551" s="7"/>
      <c r="AE551" s="7"/>
      <c r="AF551" s="7"/>
      <c r="AG551" s="7"/>
      <c r="AH551" s="7"/>
      <c r="AI551" s="7"/>
      <c r="AJ551" s="7"/>
      <c r="AK551" s="7"/>
      <c r="AL551" s="7"/>
      <c r="AM551" s="7"/>
      <c r="AN551" s="7"/>
      <c r="AO551" s="7"/>
      <c r="AP551" s="7"/>
    </row>
    <row r="552" spans="1:44">
      <c r="A552" s="305" t="s">
        <v>388</v>
      </c>
      <c r="B552" s="305"/>
      <c r="C552" s="61">
        <v>7.6</v>
      </c>
      <c r="D552" s="1021">
        <f>D517</f>
        <v>58</v>
      </c>
      <c r="E552" s="305" t="s">
        <v>362</v>
      </c>
      <c r="F552" s="490">
        <f>ROUND(D552*C552/100,0)</f>
        <v>4</v>
      </c>
      <c r="G552" s="1021">
        <f>$G$198</f>
        <v>58</v>
      </c>
      <c r="H552" s="305" t="s">
        <v>362</v>
      </c>
      <c r="I552" s="490">
        <f>ROUND(G552*$C552/100,0)</f>
        <v>4</v>
      </c>
      <c r="J552" s="490"/>
      <c r="K552" s="1021" t="e">
        <f>$K$198</f>
        <v>#REF!</v>
      </c>
      <c r="L552" s="305" t="s">
        <v>362</v>
      </c>
      <c r="M552" s="490" t="e">
        <f>ROUND(K552*$C552/100,0)</f>
        <v>#REF!</v>
      </c>
      <c r="N552" s="490"/>
      <c r="O552" s="1021" t="e">
        <f>$O$198</f>
        <v>#REF!</v>
      </c>
      <c r="P552" s="305" t="s">
        <v>362</v>
      </c>
      <c r="Q552" s="490" t="e">
        <f>ROUND(O552*$C552/100,0)</f>
        <v>#REF!</v>
      </c>
      <c r="R552" s="490"/>
      <c r="S552" s="1021" t="e">
        <f>$S$198</f>
        <v>#REF!</v>
      </c>
      <c r="T552" s="305" t="s">
        <v>362</v>
      </c>
      <c r="U552" s="490" t="e">
        <f>ROUND(S552*$C552/100,0)</f>
        <v>#REF!</v>
      </c>
      <c r="V552" s="7"/>
      <c r="W552" s="31"/>
      <c r="X552" s="31"/>
      <c r="Y552" s="31"/>
      <c r="Z552" s="7"/>
      <c r="AA552" s="7"/>
      <c r="AB552" s="7"/>
      <c r="AC552" s="7"/>
      <c r="AD552" s="7"/>
      <c r="AE552" s="7"/>
      <c r="AF552" s="7"/>
      <c r="AG552" s="7"/>
      <c r="AH552" s="7"/>
      <c r="AI552" s="7"/>
      <c r="AJ552" s="7"/>
      <c r="AK552" s="7"/>
      <c r="AL552" s="7"/>
      <c r="AM552" s="7"/>
      <c r="AN552" s="7"/>
      <c r="AO552" s="7"/>
      <c r="AP552" s="7"/>
    </row>
    <row r="553" spans="1:44" s="588" customFormat="1" hidden="1">
      <c r="A553" s="588" t="s">
        <v>771</v>
      </c>
      <c r="C553" s="631">
        <f>C549</f>
        <v>4201</v>
      </c>
      <c r="D553" s="990">
        <v>0</v>
      </c>
      <c r="E553" s="635"/>
      <c r="F553" s="616"/>
      <c r="G553" s="987">
        <f>G199</f>
        <v>0</v>
      </c>
      <c r="H553" s="592" t="s">
        <v>362</v>
      </c>
      <c r="I553" s="616">
        <f t="shared" ref="I553:I555" si="127">ROUND(G553*$C553/100,0)</f>
        <v>0</v>
      </c>
      <c r="J553" s="616"/>
      <c r="K553" s="987" t="e">
        <f>K199</f>
        <v>#REF!</v>
      </c>
      <c r="L553" s="592" t="s">
        <v>362</v>
      </c>
      <c r="M553" s="616" t="e">
        <f t="shared" ref="M553:M555" si="128">ROUND(K553*$C553/100,0)</f>
        <v>#REF!</v>
      </c>
      <c r="N553" s="616"/>
      <c r="O553" s="987" t="e">
        <f>O199</f>
        <v>#REF!</v>
      </c>
      <c r="P553" s="592" t="s">
        <v>362</v>
      </c>
      <c r="Q553" s="616" t="e">
        <f t="shared" ref="Q553:Q555" si="129">ROUND(O553*$C553/100,0)</f>
        <v>#REF!</v>
      </c>
      <c r="R553" s="616"/>
      <c r="S553" s="987" t="e">
        <f>S199</f>
        <v>#REF!</v>
      </c>
      <c r="T553" s="592" t="s">
        <v>362</v>
      </c>
      <c r="U553" s="616" t="e">
        <f t="shared" ref="U553:U555" si="130">ROUND(S553*$C553/100,0)</f>
        <v>#REF!</v>
      </c>
      <c r="W553" s="450"/>
      <c r="Z553" s="989"/>
      <c r="AA553" s="989"/>
      <c r="AF553" s="635"/>
      <c r="AG553" s="635"/>
      <c r="AH553" s="635"/>
      <c r="AI553" s="635"/>
      <c r="AJ553" s="635"/>
      <c r="AK553" s="635"/>
      <c r="AL553" s="635"/>
      <c r="AM553" s="635"/>
      <c r="AN553" s="635"/>
      <c r="AO553" s="635"/>
      <c r="AP553" s="635"/>
      <c r="AR553" s="988"/>
    </row>
    <row r="554" spans="1:44" s="588" customFormat="1" hidden="1">
      <c r="A554" s="588" t="s">
        <v>772</v>
      </c>
      <c r="C554" s="631">
        <f>C550</f>
        <v>196</v>
      </c>
      <c r="D554" s="990">
        <v>0</v>
      </c>
      <c r="E554" s="635"/>
      <c r="F554" s="616"/>
      <c r="G554" s="987">
        <f>G200</f>
        <v>0</v>
      </c>
      <c r="H554" s="592" t="s">
        <v>362</v>
      </c>
      <c r="I554" s="616">
        <f t="shared" si="127"/>
        <v>0</v>
      </c>
      <c r="J554" s="616"/>
      <c r="K554" s="987" t="e">
        <f>K200</f>
        <v>#REF!</v>
      </c>
      <c r="L554" s="592" t="s">
        <v>362</v>
      </c>
      <c r="M554" s="616" t="e">
        <f t="shared" si="128"/>
        <v>#REF!</v>
      </c>
      <c r="N554" s="616"/>
      <c r="O554" s="987" t="e">
        <f>O200</f>
        <v>#REF!</v>
      </c>
      <c r="P554" s="592" t="s">
        <v>362</v>
      </c>
      <c r="Q554" s="616" t="e">
        <f t="shared" si="129"/>
        <v>#REF!</v>
      </c>
      <c r="R554" s="616"/>
      <c r="S554" s="987" t="e">
        <f>S200</f>
        <v>#REF!</v>
      </c>
      <c r="T554" s="592" t="s">
        <v>362</v>
      </c>
      <c r="U554" s="616" t="e">
        <f t="shared" si="130"/>
        <v>#REF!</v>
      </c>
      <c r="W554" s="450"/>
      <c r="Z554" s="989"/>
      <c r="AA554" s="989"/>
      <c r="AF554" s="635"/>
      <c r="AG554" s="635"/>
      <c r="AH554" s="635"/>
      <c r="AI554" s="635"/>
      <c r="AJ554" s="635"/>
      <c r="AK554" s="635"/>
      <c r="AL554" s="635"/>
      <c r="AM554" s="635"/>
      <c r="AN554" s="635"/>
      <c r="AO554" s="635"/>
      <c r="AP554" s="635"/>
      <c r="AR554" s="988"/>
    </row>
    <row r="555" spans="1:44" s="588" customFormat="1" hidden="1">
      <c r="A555" s="588" t="s">
        <v>773</v>
      </c>
      <c r="C555" s="631">
        <f>C551</f>
        <v>0</v>
      </c>
      <c r="D555" s="990">
        <v>0</v>
      </c>
      <c r="E555" s="635"/>
      <c r="F555" s="616"/>
      <c r="G555" s="987">
        <f>G201</f>
        <v>0</v>
      </c>
      <c r="H555" s="592" t="s">
        <v>362</v>
      </c>
      <c r="I555" s="616">
        <f t="shared" si="127"/>
        <v>0</v>
      </c>
      <c r="J555" s="616"/>
      <c r="K555" s="987" t="e">
        <f>K201</f>
        <v>#REF!</v>
      </c>
      <c r="L555" s="592" t="s">
        <v>362</v>
      </c>
      <c r="M555" s="616" t="e">
        <f t="shared" si="128"/>
        <v>#REF!</v>
      </c>
      <c r="N555" s="616"/>
      <c r="O555" s="987" t="e">
        <f>O201</f>
        <v>#REF!</v>
      </c>
      <c r="P555" s="592" t="s">
        <v>362</v>
      </c>
      <c r="Q555" s="616" t="e">
        <f t="shared" si="129"/>
        <v>#REF!</v>
      </c>
      <c r="R555" s="616"/>
      <c r="S555" s="987" t="e">
        <f>S201</f>
        <v>#REF!</v>
      </c>
      <c r="T555" s="592" t="s">
        <v>362</v>
      </c>
      <c r="U555" s="616" t="e">
        <f t="shared" si="130"/>
        <v>#REF!</v>
      </c>
      <c r="W555" s="450"/>
      <c r="Z555" s="989"/>
      <c r="AA555" s="989"/>
      <c r="AF555" s="635"/>
      <c r="AG555" s="635"/>
      <c r="AH555" s="635"/>
      <c r="AI555" s="635"/>
      <c r="AJ555" s="635"/>
      <c r="AK555" s="635"/>
      <c r="AL555" s="635"/>
      <c r="AM555" s="635"/>
      <c r="AN555" s="635"/>
      <c r="AO555" s="635"/>
      <c r="AP555" s="635"/>
      <c r="AR555" s="988"/>
    </row>
    <row r="556" spans="1:44">
      <c r="A556" s="244" t="s">
        <v>389</v>
      </c>
      <c r="B556" s="305"/>
      <c r="C556" s="61"/>
      <c r="D556" s="1023">
        <f>$D$205</f>
        <v>-0.01</v>
      </c>
      <c r="E556" s="305"/>
      <c r="F556" s="490"/>
      <c r="G556" s="1023">
        <v>-0.01</v>
      </c>
      <c r="H556" s="305"/>
      <c r="I556" s="490"/>
      <c r="J556" s="490"/>
      <c r="K556" s="1023">
        <v>-0.01</v>
      </c>
      <c r="L556" s="305"/>
      <c r="M556" s="490"/>
      <c r="N556" s="490"/>
      <c r="O556" s="1023">
        <v>-0.01</v>
      </c>
      <c r="P556" s="305"/>
      <c r="Q556" s="490"/>
      <c r="R556" s="490"/>
      <c r="S556" s="1023">
        <v>-0.01</v>
      </c>
      <c r="T556" s="305"/>
      <c r="U556" s="490"/>
      <c r="V556" s="7"/>
      <c r="W556" s="31"/>
      <c r="X556" s="31"/>
      <c r="Y556" s="31"/>
      <c r="Z556" s="7"/>
      <c r="AA556" s="7"/>
      <c r="AB556" s="7"/>
      <c r="AC556" s="7"/>
      <c r="AD556" s="7"/>
      <c r="AE556" s="7"/>
      <c r="AF556" s="7"/>
      <c r="AG556" s="7"/>
      <c r="AH556" s="7"/>
      <c r="AI556" s="7"/>
      <c r="AJ556" s="7"/>
      <c r="AK556" s="7"/>
      <c r="AL556" s="7"/>
      <c r="AM556" s="7"/>
      <c r="AN556" s="7"/>
      <c r="AO556" s="7"/>
      <c r="AP556" s="7"/>
    </row>
    <row r="557" spans="1:44">
      <c r="A557" s="305" t="s">
        <v>378</v>
      </c>
      <c r="B557" s="305"/>
      <c r="C557" s="61">
        <v>0</v>
      </c>
      <c r="D557" s="237">
        <f>D543</f>
        <v>119.88</v>
      </c>
      <c r="E557" s="490"/>
      <c r="F557" s="490">
        <f>-ROUND(D557*$C557/100,0)</f>
        <v>0</v>
      </c>
      <c r="G557" s="237">
        <f>G543</f>
        <v>119.88</v>
      </c>
      <c r="H557" s="490"/>
      <c r="I557" s="490">
        <f>-ROUND(G557*$C557/100,0)</f>
        <v>0</v>
      </c>
      <c r="J557" s="490"/>
      <c r="K557" s="237" t="e">
        <f>K543</f>
        <v>#REF!</v>
      </c>
      <c r="L557" s="490"/>
      <c r="M557" s="490" t="e">
        <f>-ROUND(K557*$C557/100,0)</f>
        <v>#REF!</v>
      </c>
      <c r="N557" s="490"/>
      <c r="O557" s="237" t="e">
        <f>O543</f>
        <v>#REF!</v>
      </c>
      <c r="P557" s="490"/>
      <c r="Q557" s="490" t="e">
        <f>-ROUND(O557*$C557/100,0)</f>
        <v>#REF!</v>
      </c>
      <c r="R557" s="490"/>
      <c r="S557" s="237" t="e">
        <f>S543</f>
        <v>#REF!</v>
      </c>
      <c r="T557" s="490"/>
      <c r="U557" s="490" t="e">
        <f>-ROUND(S557*$C557/100,0)</f>
        <v>#REF!</v>
      </c>
      <c r="V557" s="7"/>
      <c r="W557" s="31"/>
      <c r="X557" s="31"/>
      <c r="Y557" s="31"/>
      <c r="Z557" s="7"/>
      <c r="AA557" s="7"/>
      <c r="AB557" s="7"/>
      <c r="AC557" s="7"/>
      <c r="AD557" s="7"/>
      <c r="AE557" s="7"/>
      <c r="AF557" s="7"/>
      <c r="AG557" s="7"/>
      <c r="AH557" s="7"/>
      <c r="AI557" s="7"/>
      <c r="AJ557" s="7"/>
      <c r="AK557" s="7"/>
      <c r="AL557" s="7"/>
      <c r="AM557" s="7"/>
      <c r="AN557" s="7"/>
      <c r="AO557" s="7"/>
      <c r="AP557" s="7"/>
    </row>
    <row r="558" spans="1:44">
      <c r="A558" s="305" t="s">
        <v>379</v>
      </c>
      <c r="B558" s="305"/>
      <c r="C558" s="61">
        <v>0</v>
      </c>
      <c r="D558" s="237">
        <f t="shared" ref="D558:D559" si="131">D544</f>
        <v>178.68</v>
      </c>
      <c r="E558" s="490"/>
      <c r="F558" s="490">
        <f t="shared" ref="F558:F560" si="132">-ROUND(D558*$C558/100,0)</f>
        <v>0</v>
      </c>
      <c r="G558" s="237">
        <f>G544</f>
        <v>178.68</v>
      </c>
      <c r="H558" s="490"/>
      <c r="I558" s="490">
        <f>-ROUND(G558*$C558/100,0)</f>
        <v>0</v>
      </c>
      <c r="J558" s="490"/>
      <c r="K558" s="237" t="e">
        <f>K544</f>
        <v>#REF!</v>
      </c>
      <c r="L558" s="490"/>
      <c r="M558" s="490" t="e">
        <f>-ROUND(K558*$C558/100,0)</f>
        <v>#REF!</v>
      </c>
      <c r="N558" s="490"/>
      <c r="O558" s="237" t="e">
        <f>O544</f>
        <v>#REF!</v>
      </c>
      <c r="P558" s="490"/>
      <c r="Q558" s="490" t="e">
        <f>-ROUND(O558*$C558/100,0)</f>
        <v>#REF!</v>
      </c>
      <c r="R558" s="490"/>
      <c r="S558" s="237" t="e">
        <f>S544</f>
        <v>#REF!</v>
      </c>
      <c r="T558" s="490"/>
      <c r="U558" s="490" t="e">
        <f>-ROUND(S558*$C558/100,0)</f>
        <v>#REF!</v>
      </c>
      <c r="V558" s="7"/>
      <c r="W558" s="31"/>
      <c r="X558" s="31"/>
      <c r="Y558" s="31"/>
      <c r="Z558" s="7"/>
      <c r="AA558" s="7"/>
      <c r="AB558" s="7"/>
      <c r="AC558" s="7"/>
      <c r="AD558" s="7"/>
      <c r="AE558" s="7"/>
      <c r="AF558" s="7"/>
      <c r="AG558" s="7"/>
      <c r="AH558" s="7"/>
      <c r="AI558" s="7"/>
      <c r="AJ558" s="7"/>
      <c r="AK558" s="7"/>
      <c r="AL558" s="7"/>
      <c r="AM558" s="7"/>
      <c r="AN558" s="7"/>
      <c r="AO558" s="7"/>
      <c r="AP558" s="7"/>
    </row>
    <row r="559" spans="1:44">
      <c r="A559" s="305" t="s">
        <v>390</v>
      </c>
      <c r="B559" s="305"/>
      <c r="C559" s="61">
        <v>0</v>
      </c>
      <c r="D559" s="237">
        <f t="shared" si="131"/>
        <v>12.48</v>
      </c>
      <c r="E559" s="490"/>
      <c r="F559" s="490">
        <f t="shared" si="132"/>
        <v>0</v>
      </c>
      <c r="G559" s="237">
        <f>G545</f>
        <v>12.48</v>
      </c>
      <c r="H559" s="490"/>
      <c r="I559" s="490">
        <f>-ROUND(G559*$C559/100,0)</f>
        <v>0</v>
      </c>
      <c r="J559" s="490"/>
      <c r="K559" s="237" t="e">
        <f>K545</f>
        <v>#REF!</v>
      </c>
      <c r="L559" s="490"/>
      <c r="M559" s="490" t="e">
        <f>-ROUND(K559*$C559/100,0)</f>
        <v>#REF!</v>
      </c>
      <c r="N559" s="490"/>
      <c r="O559" s="237" t="e">
        <f>O545</f>
        <v>#REF!</v>
      </c>
      <c r="P559" s="490"/>
      <c r="Q559" s="490" t="e">
        <f>-ROUND(O559*$C559/100,0)</f>
        <v>#REF!</v>
      </c>
      <c r="R559" s="490"/>
      <c r="S559" s="237" t="e">
        <f>S545</f>
        <v>#REF!</v>
      </c>
      <c r="T559" s="490"/>
      <c r="U559" s="490" t="e">
        <f>-ROUND(S559*$C559/100,0)</f>
        <v>#REF!</v>
      </c>
      <c r="V559" s="7"/>
      <c r="W559" s="31"/>
      <c r="X559" s="31"/>
      <c r="Y559" s="31"/>
      <c r="Z559" s="7"/>
      <c r="AA559" s="7"/>
      <c r="AB559" s="7"/>
      <c r="AC559" s="7"/>
      <c r="AD559" s="7"/>
      <c r="AE559" s="7"/>
      <c r="AF559" s="7"/>
      <c r="AG559" s="7"/>
      <c r="AH559" s="7"/>
      <c r="AI559" s="7"/>
      <c r="AJ559" s="7"/>
      <c r="AK559" s="7"/>
      <c r="AL559" s="7"/>
      <c r="AM559" s="7"/>
      <c r="AN559" s="7"/>
      <c r="AO559" s="7"/>
      <c r="AP559" s="7"/>
    </row>
    <row r="560" spans="1:44">
      <c r="A560" s="305" t="s">
        <v>391</v>
      </c>
      <c r="B560" s="305"/>
      <c r="C560" s="61">
        <v>0</v>
      </c>
      <c r="D560" s="237">
        <f>D548</f>
        <v>3.8</v>
      </c>
      <c r="E560" s="305"/>
      <c r="F560" s="490">
        <f t="shared" si="132"/>
        <v>0</v>
      </c>
      <c r="G560" s="237">
        <f>G548</f>
        <v>3.8099999999999996</v>
      </c>
      <c r="H560" s="305"/>
      <c r="I560" s="490">
        <f>-ROUND(G560*$C560/100,0)</f>
        <v>0</v>
      </c>
      <c r="J560" s="490"/>
      <c r="K560" s="237" t="e">
        <f>K548</f>
        <v>#REF!</v>
      </c>
      <c r="L560" s="305"/>
      <c r="M560" s="490" t="e">
        <f>-ROUND(K560*$C560/100,0)</f>
        <v>#REF!</v>
      </c>
      <c r="N560" s="490"/>
      <c r="O560" s="237" t="e">
        <f>O548</f>
        <v>#REF!</v>
      </c>
      <c r="P560" s="305"/>
      <c r="Q560" s="490" t="e">
        <f>-ROUND(O560*$C560/100,0)</f>
        <v>#REF!</v>
      </c>
      <c r="R560" s="490"/>
      <c r="S560" s="237" t="e">
        <f>S548</f>
        <v>#REF!</v>
      </c>
      <c r="T560" s="305"/>
      <c r="U560" s="490" t="e">
        <f>-ROUND(S560*$C560/100,0)</f>
        <v>#REF!</v>
      </c>
      <c r="V560" s="7"/>
      <c r="W560" s="31"/>
      <c r="X560" s="31"/>
      <c r="Y560" s="31"/>
      <c r="Z560" s="7"/>
      <c r="AA560" s="7"/>
      <c r="AB560" s="7"/>
      <c r="AC560" s="7"/>
      <c r="AD560" s="7"/>
      <c r="AE560" s="7"/>
      <c r="AF560" s="7"/>
      <c r="AG560" s="7"/>
      <c r="AH560" s="7"/>
      <c r="AI560" s="7"/>
      <c r="AJ560" s="7"/>
      <c r="AK560" s="7"/>
      <c r="AL560" s="7"/>
      <c r="AM560" s="7"/>
      <c r="AN560" s="7"/>
      <c r="AO560" s="7"/>
      <c r="AP560" s="7"/>
    </row>
    <row r="561" spans="1:44">
      <c r="A561" s="305" t="s">
        <v>393</v>
      </c>
      <c r="B561" s="305"/>
      <c r="C561" s="61">
        <v>0</v>
      </c>
      <c r="D561" s="1025">
        <f>D549</f>
        <v>10.878</v>
      </c>
      <c r="E561" s="305" t="s">
        <v>362</v>
      </c>
      <c r="F561" s="490">
        <f>ROUND(D561*$C561/100*D556,0)</f>
        <v>0</v>
      </c>
      <c r="G561" s="1025">
        <f>G549</f>
        <v>10.879</v>
      </c>
      <c r="H561" s="305" t="s">
        <v>362</v>
      </c>
      <c r="I561" s="490">
        <f>ROUND(G561*$C561/100*G556,0)</f>
        <v>0</v>
      </c>
      <c r="J561" s="490"/>
      <c r="K561" s="1025" t="e">
        <f>K549</f>
        <v>#REF!</v>
      </c>
      <c r="L561" s="305" t="s">
        <v>362</v>
      </c>
      <c r="M561" s="490" t="e">
        <f>ROUND(K561*$C561/100*K556,0)</f>
        <v>#REF!</v>
      </c>
      <c r="N561" s="490"/>
      <c r="O561" s="1025" t="e">
        <f>O549</f>
        <v>#REF!</v>
      </c>
      <c r="P561" s="305" t="s">
        <v>362</v>
      </c>
      <c r="Q561" s="490" t="e">
        <f>ROUND(O561*$C561/100*O556,0)</f>
        <v>#REF!</v>
      </c>
      <c r="R561" s="490"/>
      <c r="S561" s="1025" t="e">
        <f>S549</f>
        <v>#REF!</v>
      </c>
      <c r="T561" s="305" t="s">
        <v>362</v>
      </c>
      <c r="U561" s="490" t="e">
        <f>ROUND(S561*$C561/100*S556,0)</f>
        <v>#REF!</v>
      </c>
      <c r="V561" s="7"/>
      <c r="W561" s="31"/>
      <c r="X561" s="31"/>
      <c r="Y561" s="31"/>
      <c r="Z561" s="7"/>
      <c r="AA561" s="7"/>
      <c r="AB561" s="7"/>
      <c r="AC561" s="7"/>
      <c r="AD561" s="7"/>
      <c r="AE561" s="7"/>
      <c r="AF561" s="7"/>
      <c r="AG561" s="7"/>
      <c r="AH561" s="7"/>
      <c r="AI561" s="7"/>
      <c r="AJ561" s="7"/>
      <c r="AK561" s="7"/>
      <c r="AL561" s="7"/>
      <c r="AM561" s="7"/>
      <c r="AN561" s="7"/>
      <c r="AO561" s="7"/>
      <c r="AP561" s="7"/>
    </row>
    <row r="562" spans="1:44">
      <c r="A562" s="305" t="s">
        <v>386</v>
      </c>
      <c r="B562" s="305"/>
      <c r="C562" s="61">
        <v>0</v>
      </c>
      <c r="D562" s="1025">
        <f t="shared" ref="D562:D563" si="133">D550</f>
        <v>7.5140000000000002</v>
      </c>
      <c r="E562" s="305" t="s">
        <v>362</v>
      </c>
      <c r="F562" s="490">
        <f>ROUND(D562*$C562/100*D556,0)</f>
        <v>0</v>
      </c>
      <c r="G562" s="1025">
        <f>G550</f>
        <v>7.5140000000000002</v>
      </c>
      <c r="H562" s="305" t="s">
        <v>362</v>
      </c>
      <c r="I562" s="490">
        <f>ROUND(G562*$C562/100*G556,0)</f>
        <v>0</v>
      </c>
      <c r="J562" s="490"/>
      <c r="K562" s="1025" t="e">
        <f>K550</f>
        <v>#REF!</v>
      </c>
      <c r="L562" s="305" t="s">
        <v>362</v>
      </c>
      <c r="M562" s="490" t="e">
        <f>ROUND(K562*$C562/100*K556,0)</f>
        <v>#REF!</v>
      </c>
      <c r="N562" s="490"/>
      <c r="O562" s="1025" t="e">
        <f>O550</f>
        <v>#REF!</v>
      </c>
      <c r="P562" s="305" t="s">
        <v>362</v>
      </c>
      <c r="Q562" s="490" t="e">
        <f>ROUND(O562*$C562/100*O556,0)</f>
        <v>#REF!</v>
      </c>
      <c r="R562" s="490"/>
      <c r="S562" s="1025" t="e">
        <f>S550</f>
        <v>#REF!</v>
      </c>
      <c r="T562" s="305" t="s">
        <v>362</v>
      </c>
      <c r="U562" s="490" t="e">
        <f>ROUND(S562*$C562/100*S556,0)</f>
        <v>#REF!</v>
      </c>
      <c r="V562" s="7"/>
      <c r="W562" s="31"/>
      <c r="X562" s="31"/>
      <c r="Y562" s="31"/>
      <c r="Z562" s="7"/>
      <c r="AA562" s="7"/>
      <c r="AB562" s="7"/>
      <c r="AC562" s="7"/>
      <c r="AD562" s="7"/>
      <c r="AE562" s="7"/>
      <c r="AF562" s="7"/>
      <c r="AG562" s="7"/>
      <c r="AH562" s="7"/>
      <c r="AI562" s="7"/>
      <c r="AJ562" s="7"/>
      <c r="AK562" s="7"/>
      <c r="AL562" s="7"/>
      <c r="AM562" s="7"/>
      <c r="AN562" s="7"/>
      <c r="AO562" s="7"/>
      <c r="AP562" s="7"/>
    </row>
    <row r="563" spans="1:44">
      <c r="A563" s="305" t="s">
        <v>387</v>
      </c>
      <c r="B563" s="305"/>
      <c r="C563" s="61">
        <v>0</v>
      </c>
      <c r="D563" s="1025">
        <f t="shared" si="133"/>
        <v>6.4720000000000004</v>
      </c>
      <c r="E563" s="305" t="s">
        <v>362</v>
      </c>
      <c r="F563" s="490">
        <f>ROUND(D563*$C563/100*D556,0)</f>
        <v>0</v>
      </c>
      <c r="G563" s="1025">
        <f>G551</f>
        <v>6.4720000000000004</v>
      </c>
      <c r="H563" s="305" t="s">
        <v>362</v>
      </c>
      <c r="I563" s="490">
        <f>ROUND(G563*$C563/100*G556,0)</f>
        <v>0</v>
      </c>
      <c r="J563" s="490"/>
      <c r="K563" s="1025" t="e">
        <f>K551</f>
        <v>#REF!</v>
      </c>
      <c r="L563" s="305" t="s">
        <v>362</v>
      </c>
      <c r="M563" s="490" t="e">
        <f>ROUND(K563*$C563/100*K556,0)</f>
        <v>#REF!</v>
      </c>
      <c r="N563" s="490"/>
      <c r="O563" s="1025" t="e">
        <f>O551</f>
        <v>#REF!</v>
      </c>
      <c r="P563" s="305" t="s">
        <v>362</v>
      </c>
      <c r="Q563" s="490" t="e">
        <f>ROUND(O563*$C563/100*O556,0)</f>
        <v>#REF!</v>
      </c>
      <c r="R563" s="490"/>
      <c r="S563" s="1025" t="e">
        <f>S551</f>
        <v>#REF!</v>
      </c>
      <c r="T563" s="305" t="s">
        <v>362</v>
      </c>
      <c r="U563" s="490" t="e">
        <f>ROUND(S563*$C563/100*S556,0)</f>
        <v>#REF!</v>
      </c>
      <c r="V563" s="7"/>
      <c r="W563" s="31"/>
      <c r="X563" s="31"/>
      <c r="Y563" s="31"/>
      <c r="Z563" s="7"/>
      <c r="AA563" s="7"/>
      <c r="AB563" s="7"/>
      <c r="AC563" s="7"/>
      <c r="AD563" s="7"/>
      <c r="AE563" s="7"/>
      <c r="AF563" s="7"/>
      <c r="AG563" s="7"/>
      <c r="AH563" s="7"/>
      <c r="AI563" s="7"/>
      <c r="AJ563" s="7"/>
      <c r="AK563" s="7"/>
      <c r="AL563" s="7"/>
      <c r="AM563" s="7"/>
      <c r="AN563" s="7"/>
      <c r="AO563" s="7"/>
      <c r="AP563" s="7"/>
    </row>
    <row r="564" spans="1:44">
      <c r="A564" s="305" t="s">
        <v>388</v>
      </c>
      <c r="B564" s="305"/>
      <c r="C564" s="61">
        <v>0</v>
      </c>
      <c r="D564" s="1026">
        <f>D552</f>
        <v>58</v>
      </c>
      <c r="E564" s="305" t="s">
        <v>362</v>
      </c>
      <c r="F564" s="490">
        <f>ROUND(D564*$C564/100*D556,0)</f>
        <v>0</v>
      </c>
      <c r="G564" s="1026">
        <f>G552</f>
        <v>58</v>
      </c>
      <c r="H564" s="305" t="s">
        <v>362</v>
      </c>
      <c r="I564" s="490">
        <f>ROUND(G564*$C564/100*G556,0)</f>
        <v>0</v>
      </c>
      <c r="J564" s="490"/>
      <c r="K564" s="1026" t="e">
        <f>K552</f>
        <v>#REF!</v>
      </c>
      <c r="L564" s="305" t="s">
        <v>362</v>
      </c>
      <c r="M564" s="490" t="e">
        <f>ROUND(K564*$C564/100*K556,0)</f>
        <v>#REF!</v>
      </c>
      <c r="N564" s="490"/>
      <c r="O564" s="1026" t="e">
        <f>O552</f>
        <v>#REF!</v>
      </c>
      <c r="P564" s="305" t="s">
        <v>362</v>
      </c>
      <c r="Q564" s="490" t="e">
        <f>ROUND(O564*$C564/100*O556,0)</f>
        <v>#REF!</v>
      </c>
      <c r="R564" s="490"/>
      <c r="S564" s="1026" t="e">
        <f>S552</f>
        <v>#REF!</v>
      </c>
      <c r="T564" s="305" t="s">
        <v>362</v>
      </c>
      <c r="U564" s="490" t="e">
        <f>ROUND(S564*$C564/100*S556,0)</f>
        <v>#REF!</v>
      </c>
      <c r="V564" s="7"/>
      <c r="W564" s="31"/>
      <c r="X564" s="31"/>
      <c r="Y564" s="31"/>
      <c r="Z564" s="7"/>
      <c r="AA564" s="7"/>
      <c r="AB564" s="7"/>
      <c r="AC564" s="7"/>
      <c r="AD564" s="7"/>
      <c r="AE564" s="7"/>
      <c r="AF564" s="7"/>
      <c r="AG564" s="7"/>
      <c r="AH564" s="7"/>
      <c r="AI564" s="7"/>
      <c r="AJ564" s="7"/>
      <c r="AK564" s="7"/>
      <c r="AL564" s="7"/>
      <c r="AM564" s="7"/>
      <c r="AN564" s="7"/>
      <c r="AO564" s="7"/>
      <c r="AP564" s="7"/>
    </row>
    <row r="565" spans="1:44">
      <c r="A565" s="305" t="s">
        <v>395</v>
      </c>
      <c r="B565" s="305"/>
      <c r="C565" s="61">
        <v>0</v>
      </c>
      <c r="D565" s="237">
        <v>60</v>
      </c>
      <c r="E565" s="305"/>
      <c r="F565" s="490">
        <f>ROUND(D565*C565,0)</f>
        <v>0</v>
      </c>
      <c r="G565" s="237">
        <f>$G$214</f>
        <v>60</v>
      </c>
      <c r="H565" s="305"/>
      <c r="I565" s="490">
        <f>ROUND(G565*$C565,0)</f>
        <v>0</v>
      </c>
      <c r="J565" s="490"/>
      <c r="K565" s="237" t="str">
        <f>$K$214</f>
        <v xml:space="preserve"> </v>
      </c>
      <c r="L565" s="305"/>
      <c r="M565" s="490">
        <f>ROUND(K565*$C565,0)</f>
        <v>0</v>
      </c>
      <c r="N565" s="490"/>
      <c r="O565" s="237" t="e">
        <f>$O$214</f>
        <v>#REF!</v>
      </c>
      <c r="P565" s="305"/>
      <c r="Q565" s="490" t="e">
        <f>ROUND(O565*$C565,0)</f>
        <v>#REF!</v>
      </c>
      <c r="R565" s="490"/>
      <c r="S565" s="237" t="e">
        <f>$S$214</f>
        <v>#REF!</v>
      </c>
      <c r="T565" s="305"/>
      <c r="U565" s="490" t="e">
        <f>ROUND(S565*$C565,0)</f>
        <v>#REF!</v>
      </c>
      <c r="V565" s="7"/>
      <c r="W565" s="31"/>
      <c r="X565" s="31"/>
      <c r="Y565" s="31"/>
      <c r="Z565" s="7"/>
      <c r="AA565" s="7"/>
      <c r="AB565" s="7"/>
      <c r="AC565" s="7"/>
      <c r="AD565" s="7"/>
      <c r="AE565" s="7"/>
      <c r="AF565" s="7"/>
      <c r="AG565" s="7"/>
      <c r="AH565" s="7"/>
      <c r="AI565" s="7"/>
      <c r="AJ565" s="7"/>
      <c r="AK565" s="7"/>
      <c r="AL565" s="7"/>
      <c r="AM565" s="7"/>
      <c r="AN565" s="7"/>
      <c r="AO565" s="7"/>
      <c r="AP565" s="7"/>
    </row>
    <row r="566" spans="1:44">
      <c r="A566" s="305" t="s">
        <v>396</v>
      </c>
      <c r="B566" s="305"/>
      <c r="C566" s="61">
        <v>0</v>
      </c>
      <c r="D566" s="1027">
        <v>-30</v>
      </c>
      <c r="E566" s="305" t="s">
        <v>362</v>
      </c>
      <c r="F566" s="490">
        <f>ROUND(D566*C566/100,0)</f>
        <v>0</v>
      </c>
      <c r="G566" s="1027">
        <f>$G$215</f>
        <v>-30</v>
      </c>
      <c r="H566" s="305" t="s">
        <v>362</v>
      </c>
      <c r="I566" s="490">
        <f>ROUND(G566*$C566/100,0)</f>
        <v>0</v>
      </c>
      <c r="J566" s="490"/>
      <c r="K566" s="1027" t="e">
        <f>$K$215</f>
        <v>#REF!</v>
      </c>
      <c r="L566" s="305" t="s">
        <v>362</v>
      </c>
      <c r="M566" s="490" t="e">
        <f>ROUND(K566*$C566/100,0)</f>
        <v>#REF!</v>
      </c>
      <c r="N566" s="490"/>
      <c r="O566" s="1027" t="str">
        <f>$O$215</f>
        <v xml:space="preserve"> </v>
      </c>
      <c r="P566" s="305" t="s">
        <v>362</v>
      </c>
      <c r="Q566" s="490">
        <f>ROUND(O566*$C566/100,0)</f>
        <v>0</v>
      </c>
      <c r="R566" s="490"/>
      <c r="S566" s="1027" t="str">
        <f>$S$215</f>
        <v xml:space="preserve"> </v>
      </c>
      <c r="T566" s="305" t="s">
        <v>362</v>
      </c>
      <c r="U566" s="490">
        <f>ROUND(S566*$C566/100,0)</f>
        <v>0</v>
      </c>
      <c r="V566" s="7"/>
      <c r="W566" s="31"/>
      <c r="X566" s="31"/>
      <c r="Y566" s="31"/>
      <c r="Z566" s="7"/>
      <c r="AA566" s="7"/>
      <c r="AB566" s="7"/>
      <c r="AC566" s="7"/>
      <c r="AD566" s="7"/>
      <c r="AE566" s="7"/>
      <c r="AF566" s="7"/>
      <c r="AG566" s="7"/>
      <c r="AH566" s="7"/>
      <c r="AI566" s="7"/>
      <c r="AJ566" s="7"/>
      <c r="AK566" s="7"/>
      <c r="AL566" s="7"/>
      <c r="AM566" s="7"/>
      <c r="AN566" s="7"/>
      <c r="AO566" s="7"/>
      <c r="AP566" s="7"/>
    </row>
    <row r="567" spans="1:44" s="588" customFormat="1" hidden="1">
      <c r="A567" s="588" t="s">
        <v>771</v>
      </c>
      <c r="C567" s="631">
        <f>C561</f>
        <v>0</v>
      </c>
      <c r="D567" s="990">
        <v>0</v>
      </c>
      <c r="E567" s="635"/>
      <c r="F567" s="616"/>
      <c r="G567" s="987">
        <f>G199</f>
        <v>0</v>
      </c>
      <c r="H567" s="592" t="s">
        <v>362</v>
      </c>
      <c r="I567" s="490">
        <f>ROUND(G567*$C567/100*G556,0)</f>
        <v>0</v>
      </c>
      <c r="J567" s="490"/>
      <c r="K567" s="987" t="e">
        <f>K199</f>
        <v>#REF!</v>
      </c>
      <c r="L567" s="592" t="s">
        <v>362</v>
      </c>
      <c r="M567" s="490" t="e">
        <f>ROUND(K567*$C567/100*K556,0)</f>
        <v>#REF!</v>
      </c>
      <c r="N567" s="490"/>
      <c r="O567" s="987" t="e">
        <f>O199</f>
        <v>#REF!</v>
      </c>
      <c r="P567" s="592" t="s">
        <v>362</v>
      </c>
      <c r="Q567" s="490" t="e">
        <f>ROUND(O567*$C567/100*O556,0)</f>
        <v>#REF!</v>
      </c>
      <c r="R567" s="490"/>
      <c r="S567" s="987" t="e">
        <f>S199</f>
        <v>#REF!</v>
      </c>
      <c r="T567" s="592" t="s">
        <v>362</v>
      </c>
      <c r="U567" s="490" t="e">
        <f>ROUND(S567*$C567/100*S556,0)</f>
        <v>#REF!</v>
      </c>
      <c r="W567" s="450"/>
      <c r="Z567" s="989"/>
      <c r="AA567" s="989"/>
      <c r="AF567" s="635"/>
      <c r="AG567" s="635"/>
      <c r="AH567" s="635"/>
      <c r="AI567" s="635"/>
      <c r="AJ567" s="635"/>
      <c r="AK567" s="635"/>
      <c r="AL567" s="635"/>
      <c r="AM567" s="635"/>
      <c r="AN567" s="635"/>
      <c r="AO567" s="635"/>
      <c r="AP567" s="635"/>
      <c r="AR567" s="988"/>
    </row>
    <row r="568" spans="1:44" s="588" customFormat="1" hidden="1">
      <c r="A568" s="588" t="s">
        <v>772</v>
      </c>
      <c r="C568" s="631">
        <f>C562</f>
        <v>0</v>
      </c>
      <c r="D568" s="990">
        <v>0</v>
      </c>
      <c r="E568" s="635"/>
      <c r="F568" s="616"/>
      <c r="G568" s="987">
        <f>G200</f>
        <v>0</v>
      </c>
      <c r="H568" s="592" t="s">
        <v>362</v>
      </c>
      <c r="I568" s="490">
        <f>ROUND(G568*$C568/100*G556,0)</f>
        <v>0</v>
      </c>
      <c r="J568" s="490"/>
      <c r="K568" s="987" t="e">
        <f>K200</f>
        <v>#REF!</v>
      </c>
      <c r="L568" s="592" t="s">
        <v>362</v>
      </c>
      <c r="M568" s="490" t="e">
        <f>ROUND(K568*$C568/100*K556,0)</f>
        <v>#REF!</v>
      </c>
      <c r="N568" s="490"/>
      <c r="O568" s="987" t="e">
        <f>O200</f>
        <v>#REF!</v>
      </c>
      <c r="P568" s="592" t="s">
        <v>362</v>
      </c>
      <c r="Q568" s="490" t="e">
        <f>ROUND(O568*$C568/100*O556,0)</f>
        <v>#REF!</v>
      </c>
      <c r="R568" s="490"/>
      <c r="S568" s="987" t="e">
        <f>S200</f>
        <v>#REF!</v>
      </c>
      <c r="T568" s="592" t="s">
        <v>362</v>
      </c>
      <c r="U568" s="490" t="e">
        <f>ROUND(S568*$C568/100*S556,0)</f>
        <v>#REF!</v>
      </c>
      <c r="W568" s="450"/>
      <c r="Z568" s="989"/>
      <c r="AA568" s="989"/>
      <c r="AF568" s="635"/>
      <c r="AG568" s="635"/>
      <c r="AH568" s="635"/>
      <c r="AI568" s="635"/>
      <c r="AJ568" s="635"/>
      <c r="AK568" s="635"/>
      <c r="AL568" s="635"/>
      <c r="AM568" s="635"/>
      <c r="AN568" s="635"/>
      <c r="AO568" s="635"/>
      <c r="AP568" s="635"/>
      <c r="AR568" s="988"/>
    </row>
    <row r="569" spans="1:44" s="588" customFormat="1" hidden="1">
      <c r="A569" s="588" t="s">
        <v>773</v>
      </c>
      <c r="C569" s="631">
        <f>C563</f>
        <v>0</v>
      </c>
      <c r="D569" s="990">
        <v>0</v>
      </c>
      <c r="E569" s="635"/>
      <c r="F569" s="616"/>
      <c r="G569" s="987">
        <f>G201</f>
        <v>0</v>
      </c>
      <c r="H569" s="592" t="s">
        <v>362</v>
      </c>
      <c r="I569" s="490">
        <f>ROUND(G569*$C569/100*G556,0)</f>
        <v>0</v>
      </c>
      <c r="J569" s="490"/>
      <c r="K569" s="987" t="e">
        <f>K201</f>
        <v>#REF!</v>
      </c>
      <c r="L569" s="592" t="s">
        <v>362</v>
      </c>
      <c r="M569" s="490" t="e">
        <f>ROUND(K569*$C569/100*K556,0)</f>
        <v>#REF!</v>
      </c>
      <c r="N569" s="490"/>
      <c r="O569" s="987" t="e">
        <f>O201</f>
        <v>#REF!</v>
      </c>
      <c r="P569" s="592" t="s">
        <v>362</v>
      </c>
      <c r="Q569" s="490" t="e">
        <f>ROUND(O569*$C569/100*O556,0)</f>
        <v>#REF!</v>
      </c>
      <c r="R569" s="490"/>
      <c r="S569" s="987" t="e">
        <f>S201</f>
        <v>#REF!</v>
      </c>
      <c r="T569" s="592" t="s">
        <v>362</v>
      </c>
      <c r="U569" s="490" t="e">
        <f>ROUND(S569*$C569/100*S556,0)</f>
        <v>#REF!</v>
      </c>
      <c r="W569" s="450"/>
      <c r="Z569" s="989"/>
      <c r="AA569" s="989"/>
      <c r="AF569" s="635"/>
      <c r="AG569" s="635"/>
      <c r="AH569" s="635"/>
      <c r="AI569" s="635"/>
      <c r="AJ569" s="635"/>
      <c r="AK569" s="635"/>
      <c r="AL569" s="635"/>
      <c r="AM569" s="635"/>
      <c r="AN569" s="635"/>
      <c r="AO569" s="635"/>
      <c r="AP569" s="635"/>
      <c r="AR569" s="988"/>
    </row>
    <row r="570" spans="1:44">
      <c r="A570" s="305" t="s">
        <v>369</v>
      </c>
      <c r="B570" s="305"/>
      <c r="C570" s="61">
        <f>SUM(C549:C551)</f>
        <v>4397</v>
      </c>
      <c r="D570" s="1021"/>
      <c r="E570" s="305"/>
      <c r="F570" s="490">
        <f>SUM(F543:F566)</f>
        <v>1479</v>
      </c>
      <c r="G570" s="1021"/>
      <c r="H570" s="305"/>
      <c r="I570" s="490">
        <f>SUM(I543:I569)</f>
        <v>1479</v>
      </c>
      <c r="J570" s="490"/>
      <c r="K570" s="1021"/>
      <c r="L570" s="305"/>
      <c r="M570" s="490" t="e">
        <f>SUM(M543:M569)</f>
        <v>#REF!</v>
      </c>
      <c r="N570" s="490"/>
      <c r="O570" s="1021"/>
      <c r="P570" s="305"/>
      <c r="Q570" s="490" t="e">
        <f>SUM(Q543:Q569)</f>
        <v>#REF!</v>
      </c>
      <c r="R570" s="490"/>
      <c r="S570" s="1021"/>
      <c r="T570" s="305"/>
      <c r="U570" s="490" t="e">
        <f>SUM(U543:U569)</f>
        <v>#REF!</v>
      </c>
      <c r="V570" s="7"/>
      <c r="W570" s="31"/>
      <c r="X570" s="31"/>
      <c r="Y570" s="31"/>
      <c r="Z570" s="7"/>
      <c r="AA570" s="7"/>
      <c r="AB570" s="7"/>
      <c r="AC570" s="7"/>
      <c r="AD570" s="7"/>
      <c r="AE570" s="7"/>
      <c r="AF570" s="7"/>
      <c r="AG570" s="7"/>
      <c r="AH570" s="7"/>
      <c r="AI570" s="7"/>
      <c r="AJ570" s="7"/>
      <c r="AK570" s="7"/>
      <c r="AL570" s="7"/>
      <c r="AM570" s="7"/>
      <c r="AN570" s="7"/>
      <c r="AO570" s="7"/>
      <c r="AP570" s="7"/>
    </row>
    <row r="571" spans="1:44">
      <c r="A571" s="305" t="s">
        <v>351</v>
      </c>
      <c r="B571" s="305"/>
      <c r="C571" s="1017">
        <f ca="1">'Table 2'!H74</f>
        <v>82.35314115363434</v>
      </c>
      <c r="D571" s="305"/>
      <c r="E571" s="305"/>
      <c r="F571" s="993">
        <f ca="1">'Table 3'!E74</f>
        <v>8.8155467505343523</v>
      </c>
      <c r="G571" s="305"/>
      <c r="H571" s="305"/>
      <c r="I571" s="993">
        <f ca="1">F571</f>
        <v>8.8155467505343523</v>
      </c>
      <c r="J571" s="723"/>
      <c r="K571" s="305"/>
      <c r="L571" s="305"/>
      <c r="M571" s="993" t="e">
        <f ca="1">M220/I220*I571</f>
        <v>#DIV/0!</v>
      </c>
      <c r="N571" s="723"/>
      <c r="O571" s="305"/>
      <c r="P571" s="305"/>
      <c r="Q571" s="993" t="e">
        <f ca="1">Q220/I220*I571</f>
        <v>#DIV/0!</v>
      </c>
      <c r="R571" s="723"/>
      <c r="S571" s="305"/>
      <c r="T571" s="305"/>
      <c r="U571" s="993" t="e">
        <f ca="1">U220/I220*I571</f>
        <v>#DIV/0!</v>
      </c>
      <c r="V571" s="714"/>
      <c r="W571" s="171"/>
      <c r="X571" s="31"/>
      <c r="Y571" s="31"/>
      <c r="Z571" s="7"/>
      <c r="AA571" s="7"/>
      <c r="AB571" s="7"/>
      <c r="AC571" s="7"/>
      <c r="AD571" s="7"/>
      <c r="AE571" s="7"/>
      <c r="AF571" s="7"/>
      <c r="AG571" s="7"/>
      <c r="AH571" s="7"/>
      <c r="AI571" s="7"/>
      <c r="AJ571" s="7"/>
      <c r="AK571" s="7"/>
      <c r="AL571" s="7"/>
      <c r="AM571" s="7"/>
      <c r="AN571" s="7"/>
      <c r="AO571" s="7"/>
      <c r="AP571" s="7"/>
    </row>
    <row r="572" spans="1:44" ht="16.5" thickBot="1">
      <c r="A572" s="305" t="s">
        <v>370</v>
      </c>
      <c r="B572" s="305"/>
      <c r="C572" s="1012">
        <f ca="1">SUM(C570:C571)</f>
        <v>4479.3531411536342</v>
      </c>
      <c r="D572" s="1036"/>
      <c r="E572" s="1030"/>
      <c r="F572" s="995">
        <f ca="1">F570+F571</f>
        <v>1487.8155467505344</v>
      </c>
      <c r="G572" s="1036"/>
      <c r="H572" s="1030"/>
      <c r="I572" s="995">
        <f ca="1">I570+I571</f>
        <v>1487.8155467505344</v>
      </c>
      <c r="J572" s="723"/>
      <c r="K572" s="1036"/>
      <c r="L572" s="1030"/>
      <c r="M572" s="995" t="e">
        <f ca="1">M570+M571</f>
        <v>#REF!</v>
      </c>
      <c r="N572" s="995"/>
      <c r="O572" s="1036"/>
      <c r="P572" s="1030"/>
      <c r="Q572" s="995" t="e">
        <f ca="1">Q570+Q571</f>
        <v>#REF!</v>
      </c>
      <c r="R572" s="995"/>
      <c r="S572" s="1036"/>
      <c r="T572" s="1030"/>
      <c r="U572" s="995" t="e">
        <f ca="1">U570+U571</f>
        <v>#REF!</v>
      </c>
      <c r="V572" s="295"/>
      <c r="W572" s="354"/>
      <c r="X572" s="31"/>
      <c r="Y572" s="31"/>
      <c r="Z572" s="7"/>
      <c r="AA572" s="7"/>
      <c r="AB572" s="7"/>
      <c r="AC572" s="7"/>
      <c r="AD572" s="7"/>
      <c r="AE572" s="7"/>
      <c r="AF572" s="7"/>
      <c r="AG572" s="7"/>
      <c r="AH572" s="7"/>
      <c r="AI572" s="7"/>
      <c r="AJ572" s="7"/>
      <c r="AK572" s="7"/>
      <c r="AL572" s="7"/>
      <c r="AM572" s="7"/>
      <c r="AN572" s="7"/>
      <c r="AO572" s="7"/>
      <c r="AP572" s="7"/>
    </row>
    <row r="573" spans="1:44" ht="16.5" thickTop="1">
      <c r="A573" s="305"/>
      <c r="B573" s="305"/>
      <c r="C573" s="61"/>
      <c r="D573" s="237" t="s">
        <v>31</v>
      </c>
      <c r="E573" s="305"/>
      <c r="F573" s="490"/>
      <c r="G573" s="237" t="s">
        <v>31</v>
      </c>
      <c r="H573" s="305"/>
      <c r="I573" s="490" t="s">
        <v>31</v>
      </c>
      <c r="J573" s="490"/>
      <c r="K573" s="237" t="s">
        <v>31</v>
      </c>
      <c r="L573" s="305"/>
      <c r="M573" s="490" t="s">
        <v>31</v>
      </c>
      <c r="N573" s="490"/>
      <c r="O573" s="237" t="s">
        <v>31</v>
      </c>
      <c r="P573" s="305"/>
      <c r="Q573" s="490" t="s">
        <v>31</v>
      </c>
      <c r="R573" s="490"/>
      <c r="S573" s="237" t="s">
        <v>31</v>
      </c>
      <c r="T573" s="305"/>
      <c r="U573" s="490" t="s">
        <v>31</v>
      </c>
      <c r="V573" s="7"/>
      <c r="W573" s="31"/>
      <c r="X573" s="31"/>
      <c r="Y573" s="31"/>
      <c r="Z573" s="7"/>
      <c r="AA573" s="7"/>
      <c r="AB573" s="7"/>
      <c r="AC573" s="7"/>
      <c r="AD573" s="7"/>
      <c r="AE573" s="7"/>
      <c r="AF573" s="7"/>
      <c r="AG573" s="7"/>
      <c r="AH573" s="7"/>
      <c r="AI573" s="7"/>
      <c r="AJ573" s="7"/>
      <c r="AK573" s="7"/>
      <c r="AL573" s="7"/>
      <c r="AM573" s="7"/>
      <c r="AN573" s="7"/>
      <c r="AO573" s="7"/>
      <c r="AP573" s="7"/>
    </row>
    <row r="574" spans="1:44">
      <c r="A574" s="305" t="s">
        <v>408</v>
      </c>
      <c r="B574" s="305"/>
      <c r="C574" s="61"/>
      <c r="D574" s="490"/>
      <c r="E574" s="305"/>
      <c r="F574" s="305"/>
      <c r="G574" s="490"/>
      <c r="H574" s="305"/>
      <c r="I574" s="490" t="s">
        <v>31</v>
      </c>
      <c r="J574" s="490"/>
      <c r="K574" s="490"/>
      <c r="L574" s="305"/>
      <c r="M574" s="490" t="s">
        <v>31</v>
      </c>
      <c r="N574" s="490"/>
      <c r="O574" s="490"/>
      <c r="P574" s="305"/>
      <c r="Q574" s="490" t="s">
        <v>31</v>
      </c>
      <c r="R574" s="490"/>
      <c r="S574" s="490"/>
      <c r="T574" s="305"/>
      <c r="U574" s="490" t="s">
        <v>31</v>
      </c>
      <c r="V574" s="7"/>
      <c r="W574" s="31"/>
      <c r="X574" s="31"/>
      <c r="Y574" s="31"/>
      <c r="Z574" s="7"/>
      <c r="AA574" s="7"/>
      <c r="AB574" s="7"/>
      <c r="AC574" s="7"/>
      <c r="AD574" s="7"/>
      <c r="AE574" s="7"/>
      <c r="AF574" s="7"/>
      <c r="AG574" s="7"/>
      <c r="AH574" s="7"/>
      <c r="AI574" s="7"/>
      <c r="AJ574" s="7"/>
      <c r="AK574" s="7"/>
      <c r="AL574" s="7"/>
      <c r="AM574" s="7"/>
      <c r="AN574" s="7"/>
      <c r="AO574" s="7"/>
      <c r="AP574" s="7"/>
    </row>
    <row r="575" spans="1:44">
      <c r="A575" s="305" t="s">
        <v>323</v>
      </c>
      <c r="B575" s="305"/>
      <c r="C575" s="305" t="s">
        <v>31</v>
      </c>
      <c r="D575" s="490"/>
      <c r="E575" s="305"/>
      <c r="F575" s="305"/>
      <c r="G575" s="490"/>
      <c r="H575" s="305"/>
      <c r="I575" s="305"/>
      <c r="J575" s="305"/>
      <c r="K575" s="490"/>
      <c r="L575" s="305"/>
      <c r="M575" s="305"/>
      <c r="N575" s="305"/>
      <c r="O575" s="490"/>
      <c r="P575" s="305"/>
      <c r="Q575" s="305"/>
      <c r="R575" s="305"/>
      <c r="S575" s="490"/>
      <c r="T575" s="305"/>
      <c r="U575" s="305"/>
      <c r="V575" s="7"/>
      <c r="W575" s="31"/>
      <c r="X575" s="31"/>
      <c r="Y575" s="31"/>
      <c r="Z575" s="7"/>
      <c r="AA575" s="7"/>
      <c r="AB575" s="7"/>
      <c r="AC575" s="7"/>
      <c r="AD575" s="7"/>
      <c r="AE575" s="7"/>
      <c r="AF575" s="7"/>
      <c r="AG575" s="7"/>
      <c r="AH575" s="7"/>
      <c r="AI575" s="7"/>
      <c r="AJ575" s="7"/>
      <c r="AK575" s="7"/>
      <c r="AL575" s="7"/>
      <c r="AM575" s="7"/>
      <c r="AN575" s="7"/>
      <c r="AO575" s="7"/>
      <c r="AP575" s="7"/>
    </row>
    <row r="576" spans="1:44">
      <c r="A576" s="305"/>
      <c r="B576" s="305"/>
      <c r="C576" s="305"/>
      <c r="D576" s="490"/>
      <c r="E576" s="305"/>
      <c r="F576" s="305"/>
      <c r="G576" s="490"/>
      <c r="H576" s="305"/>
      <c r="I576" s="305"/>
      <c r="J576" s="305"/>
      <c r="K576" s="490"/>
      <c r="L576" s="305"/>
      <c r="M576" s="305"/>
      <c r="N576" s="305"/>
      <c r="O576" s="490"/>
      <c r="P576" s="305"/>
      <c r="Q576" s="305"/>
      <c r="R576" s="305"/>
      <c r="S576" s="490"/>
      <c r="T576" s="305"/>
      <c r="U576" s="305"/>
      <c r="V576" s="7"/>
      <c r="W576" s="31"/>
      <c r="X576" s="31"/>
      <c r="Y576" s="31"/>
      <c r="Z576" s="7"/>
      <c r="AA576" s="7"/>
      <c r="AB576" s="7"/>
      <c r="AC576" s="7"/>
      <c r="AD576" s="7"/>
      <c r="AE576" s="7"/>
      <c r="AF576" s="7"/>
      <c r="AG576" s="7"/>
      <c r="AH576" s="7"/>
      <c r="AI576" s="7"/>
      <c r="AJ576" s="7"/>
      <c r="AK576" s="7"/>
      <c r="AL576" s="7"/>
      <c r="AM576" s="7"/>
      <c r="AN576" s="7"/>
      <c r="AO576" s="7"/>
      <c r="AP576" s="7"/>
    </row>
    <row r="577" spans="1:44">
      <c r="A577" s="305" t="s">
        <v>381</v>
      </c>
      <c r="B577" s="305"/>
      <c r="C577" s="61"/>
      <c r="D577" s="490"/>
      <c r="E577" s="305"/>
      <c r="F577" s="305"/>
      <c r="G577" s="490"/>
      <c r="H577" s="305"/>
      <c r="I577" s="305"/>
      <c r="J577" s="305"/>
      <c r="K577" s="490"/>
      <c r="L577" s="305"/>
      <c r="M577" s="305"/>
      <c r="N577" s="305"/>
      <c r="O577" s="490"/>
      <c r="P577" s="305"/>
      <c r="Q577" s="305"/>
      <c r="R577" s="305"/>
      <c r="S577" s="490"/>
      <c r="T577" s="305"/>
      <c r="U577" s="305"/>
      <c r="V577" s="7"/>
      <c r="W577" s="31"/>
      <c r="X577" s="31"/>
      <c r="Y577" s="31"/>
      <c r="Z577" s="7"/>
      <c r="AA577" s="7"/>
      <c r="AB577" s="7"/>
      <c r="AC577" s="7"/>
      <c r="AD577" s="7"/>
      <c r="AE577" s="7"/>
      <c r="AF577" s="7"/>
      <c r="AG577" s="7"/>
      <c r="AH577" s="7"/>
      <c r="AI577" s="7"/>
      <c r="AJ577" s="7"/>
      <c r="AK577" s="7"/>
      <c r="AL577" s="7"/>
      <c r="AM577" s="7"/>
      <c r="AN577" s="7"/>
      <c r="AO577" s="7"/>
      <c r="AP577" s="7"/>
    </row>
    <row r="578" spans="1:44">
      <c r="A578" s="305" t="s">
        <v>409</v>
      </c>
      <c r="B578" s="305"/>
      <c r="C578" s="61">
        <v>0</v>
      </c>
      <c r="D578" s="448">
        <f>D619</f>
        <v>268</v>
      </c>
      <c r="E578" s="305"/>
      <c r="F578" s="490">
        <f>ROUND(D578*$C578,0)</f>
        <v>0</v>
      </c>
      <c r="G578" s="448">
        <f>G619</f>
        <v>264</v>
      </c>
      <c r="H578" s="305"/>
      <c r="I578" s="490">
        <f>ROUND(G578*$C578,0)</f>
        <v>0</v>
      </c>
      <c r="J578" s="490"/>
      <c r="K578" s="448" t="e">
        <f>#REF!</f>
        <v>#REF!</v>
      </c>
      <c r="L578" s="305"/>
      <c r="M578" s="490" t="e">
        <f>#REF!</f>
        <v>#REF!</v>
      </c>
      <c r="N578" s="490"/>
      <c r="O578" s="448" t="e">
        <f>#REF!</f>
        <v>#REF!</v>
      </c>
      <c r="P578" s="305"/>
      <c r="Q578" s="490" t="e">
        <f>#REF!</f>
        <v>#REF!</v>
      </c>
      <c r="R578" s="490"/>
      <c r="S578" s="448" t="e">
        <f>#REF!</f>
        <v>#REF!</v>
      </c>
      <c r="T578" s="305"/>
      <c r="U578" s="490" t="e">
        <f>#REF!</f>
        <v>#REF!</v>
      </c>
      <c r="V578" s="7"/>
      <c r="W578" s="31"/>
      <c r="X578" s="31"/>
      <c r="Y578" s="31"/>
      <c r="Z578" s="7"/>
      <c r="AA578" s="7"/>
      <c r="AB578" s="7"/>
      <c r="AC578" s="7"/>
      <c r="AD578" s="7"/>
      <c r="AE578" s="7"/>
      <c r="AF578" s="7"/>
      <c r="AG578" s="7"/>
      <c r="AH578" s="7"/>
      <c r="AI578" s="7"/>
      <c r="AJ578" s="7"/>
      <c r="AK578" s="7"/>
      <c r="AL578" s="7"/>
      <c r="AM578" s="7"/>
      <c r="AN578" s="7"/>
      <c r="AO578" s="7"/>
      <c r="AP578" s="7"/>
    </row>
    <row r="579" spans="1:44">
      <c r="A579" s="305" t="s">
        <v>410</v>
      </c>
      <c r="B579" s="305"/>
      <c r="C579" s="61">
        <v>0</v>
      </c>
      <c r="D579" s="448">
        <f t="shared" ref="D579:D580" si="134">D620</f>
        <v>100</v>
      </c>
      <c r="E579" s="305"/>
      <c r="F579" s="490">
        <f>ROUND(D579*$C579,0)</f>
        <v>0</v>
      </c>
      <c r="G579" s="448">
        <f t="shared" ref="G579:G583" si="135">G620</f>
        <v>100</v>
      </c>
      <c r="H579" s="305"/>
      <c r="I579" s="490">
        <f>ROUND(G579*$C579,0)</f>
        <v>0</v>
      </c>
      <c r="J579" s="490"/>
      <c r="K579" s="448" t="e">
        <f>#REF!</f>
        <v>#REF!</v>
      </c>
      <c r="L579" s="305"/>
      <c r="M579" s="490" t="e">
        <f>#REF!</f>
        <v>#REF!</v>
      </c>
      <c r="N579" s="490"/>
      <c r="O579" s="448" t="e">
        <f>#REF!</f>
        <v>#REF!</v>
      </c>
      <c r="P579" s="305"/>
      <c r="Q579" s="490" t="e">
        <f>#REF!</f>
        <v>#REF!</v>
      </c>
      <c r="R579" s="490"/>
      <c r="S579" s="448" t="e">
        <f>#REF!</f>
        <v>#REF!</v>
      </c>
      <c r="T579" s="305"/>
      <c r="U579" s="490" t="e">
        <f>#REF!</f>
        <v>#REF!</v>
      </c>
      <c r="V579" s="7"/>
      <c r="W579" s="31"/>
      <c r="X579" s="31"/>
      <c r="Y579" s="31"/>
      <c r="Z579" s="7"/>
      <c r="AA579" s="7"/>
      <c r="AB579" s="7"/>
      <c r="AC579" s="7"/>
      <c r="AD579" s="7"/>
      <c r="AE579" s="7"/>
      <c r="AF579" s="7"/>
      <c r="AG579" s="7"/>
      <c r="AH579" s="7"/>
      <c r="AI579" s="7"/>
      <c r="AJ579" s="7"/>
      <c r="AK579" s="7"/>
      <c r="AL579" s="7"/>
      <c r="AM579" s="7"/>
      <c r="AN579" s="7"/>
      <c r="AO579" s="7"/>
      <c r="AP579" s="7"/>
    </row>
    <row r="580" spans="1:44">
      <c r="A580" s="305" t="s">
        <v>411</v>
      </c>
      <c r="B580" s="305"/>
      <c r="C580" s="61">
        <v>0</v>
      </c>
      <c r="D580" s="448">
        <f t="shared" si="134"/>
        <v>200</v>
      </c>
      <c r="E580" s="1004"/>
      <c r="F580" s="490">
        <f>ROUND(D580*$C580,0)</f>
        <v>0</v>
      </c>
      <c r="G580" s="448">
        <f t="shared" si="135"/>
        <v>200</v>
      </c>
      <c r="H580" s="1004"/>
      <c r="I580" s="490">
        <f>ROUND(G580*$C580,0)</f>
        <v>0</v>
      </c>
      <c r="J580" s="490"/>
      <c r="K580" s="448" t="e">
        <f>#REF!</f>
        <v>#REF!</v>
      </c>
      <c r="L580" s="1004"/>
      <c r="M580" s="490" t="e">
        <f>#REF!</f>
        <v>#REF!</v>
      </c>
      <c r="N580" s="490"/>
      <c r="O580" s="448" t="e">
        <f>#REF!</f>
        <v>#REF!</v>
      </c>
      <c r="P580" s="1004"/>
      <c r="Q580" s="490" t="e">
        <f>#REF!</f>
        <v>#REF!</v>
      </c>
      <c r="R580" s="490"/>
      <c r="S580" s="448" t="e">
        <f>#REF!</f>
        <v>#REF!</v>
      </c>
      <c r="T580" s="1004"/>
      <c r="U580" s="490" t="e">
        <f>#REF!</f>
        <v>#REF!</v>
      </c>
      <c r="V580" s="7"/>
      <c r="W580" s="31"/>
      <c r="X580" s="31"/>
      <c r="Y580" s="31"/>
      <c r="Z580" s="7"/>
      <c r="AA580" s="7"/>
      <c r="AB580" s="7"/>
      <c r="AC580" s="7"/>
      <c r="AD580" s="7"/>
      <c r="AE580" s="7"/>
      <c r="AF580" s="7"/>
      <c r="AG580" s="7"/>
      <c r="AH580" s="7"/>
      <c r="AI580" s="7"/>
      <c r="AJ580" s="7"/>
      <c r="AK580" s="7"/>
      <c r="AL580" s="7"/>
      <c r="AM580" s="7"/>
      <c r="AN580" s="7"/>
      <c r="AO580" s="7"/>
      <c r="AP580" s="7"/>
    </row>
    <row r="581" spans="1:44">
      <c r="A581" s="305" t="s">
        <v>382</v>
      </c>
      <c r="B581" s="305"/>
      <c r="C581" s="61">
        <f>SUM(C578:C580)</f>
        <v>0</v>
      </c>
      <c r="D581" s="448"/>
      <c r="E581" s="305"/>
      <c r="F581" s="490"/>
      <c r="G581" s="448"/>
      <c r="H581" s="305"/>
      <c r="I581" s="490"/>
      <c r="J581" s="490"/>
      <c r="K581" s="448"/>
      <c r="L581" s="305"/>
      <c r="M581" s="490"/>
      <c r="N581" s="490"/>
      <c r="O581" s="448"/>
      <c r="P581" s="305"/>
      <c r="Q581" s="490"/>
      <c r="R581" s="490"/>
      <c r="S581" s="448"/>
      <c r="T581" s="305"/>
      <c r="U581" s="490"/>
      <c r="V581" s="7"/>
      <c r="W581" s="31"/>
      <c r="X581" s="31"/>
      <c r="Y581" s="31"/>
      <c r="Z581" s="7"/>
      <c r="AA581" s="7"/>
      <c r="AB581" s="7"/>
      <c r="AC581" s="7"/>
      <c r="AD581" s="7"/>
      <c r="AE581" s="7"/>
      <c r="AF581" s="7"/>
      <c r="AG581" s="7"/>
      <c r="AH581" s="7"/>
      <c r="AI581" s="7"/>
      <c r="AJ581" s="7"/>
      <c r="AK581" s="7"/>
      <c r="AL581" s="7"/>
      <c r="AM581" s="7"/>
      <c r="AN581" s="7"/>
      <c r="AO581" s="7"/>
      <c r="AP581" s="7"/>
    </row>
    <row r="582" spans="1:44">
      <c r="A582" s="305" t="s">
        <v>410</v>
      </c>
      <c r="B582" s="305"/>
      <c r="C582" s="61">
        <v>0</v>
      </c>
      <c r="D582" s="448">
        <f>D623</f>
        <v>1.83</v>
      </c>
      <c r="E582" s="305" t="s">
        <v>31</v>
      </c>
      <c r="F582" s="490">
        <f>ROUND(D582*$C582,0)</f>
        <v>0</v>
      </c>
      <c r="G582" s="448">
        <f t="shared" si="135"/>
        <v>1.83</v>
      </c>
      <c r="H582" s="305" t="s">
        <v>31</v>
      </c>
      <c r="I582" s="490">
        <f>ROUND(G582*$C582,0)</f>
        <v>0</v>
      </c>
      <c r="J582" s="490"/>
      <c r="K582" s="448" t="e">
        <f>#REF!</f>
        <v>#REF!</v>
      </c>
      <c r="L582" s="305" t="s">
        <v>31</v>
      </c>
      <c r="M582" s="490" t="e">
        <f>#REF!</f>
        <v>#REF!</v>
      </c>
      <c r="N582" s="490"/>
      <c r="O582" s="448" t="e">
        <f>#REF!</f>
        <v>#REF!</v>
      </c>
      <c r="P582" s="305" t="s">
        <v>31</v>
      </c>
      <c r="Q582" s="490" t="e">
        <f>#REF!</f>
        <v>#REF!</v>
      </c>
      <c r="R582" s="490"/>
      <c r="S582" s="448" t="e">
        <f>#REF!</f>
        <v>#REF!</v>
      </c>
      <c r="T582" s="305" t="s">
        <v>31</v>
      </c>
      <c r="U582" s="490" t="e">
        <f>#REF!</f>
        <v>#REF!</v>
      </c>
      <c r="V582" s="7"/>
      <c r="W582" s="31"/>
      <c r="X582" s="31"/>
      <c r="Y582" s="31"/>
      <c r="Z582" s="7"/>
      <c r="AA582" s="7"/>
      <c r="AB582" s="7"/>
      <c r="AC582" s="7"/>
      <c r="AD582" s="7"/>
      <c r="AE582" s="7"/>
      <c r="AF582" s="7"/>
      <c r="AG582" s="7"/>
      <c r="AH582" s="7"/>
      <c r="AI582" s="7"/>
      <c r="AJ582" s="7"/>
      <c r="AK582" s="7"/>
      <c r="AL582" s="7"/>
      <c r="AM582" s="7"/>
      <c r="AN582" s="7"/>
      <c r="AO582" s="7"/>
      <c r="AP582" s="7"/>
    </row>
    <row r="583" spans="1:44">
      <c r="A583" s="305" t="s">
        <v>411</v>
      </c>
      <c r="B583" s="305"/>
      <c r="C583" s="61">
        <v>0</v>
      </c>
      <c r="D583" s="448">
        <f>D624</f>
        <v>1.5</v>
      </c>
      <c r="E583" s="305" t="s">
        <v>31</v>
      </c>
      <c r="F583" s="490">
        <f>ROUND(D583*$C583,0)</f>
        <v>0</v>
      </c>
      <c r="G583" s="448">
        <f t="shared" si="135"/>
        <v>1.5</v>
      </c>
      <c r="H583" s="305" t="s">
        <v>31</v>
      </c>
      <c r="I583" s="490">
        <f>ROUND(G583*$C583,0)</f>
        <v>0</v>
      </c>
      <c r="J583" s="490"/>
      <c r="K583" s="448" t="e">
        <f>#REF!</f>
        <v>#REF!</v>
      </c>
      <c r="L583" s="305" t="s">
        <v>31</v>
      </c>
      <c r="M583" s="490" t="e">
        <f>#REF!</f>
        <v>#REF!</v>
      </c>
      <c r="N583" s="490"/>
      <c r="O583" s="448" t="e">
        <f>#REF!</f>
        <v>#REF!</v>
      </c>
      <c r="P583" s="305" t="s">
        <v>31</v>
      </c>
      <c r="Q583" s="490" t="e">
        <f>#REF!</f>
        <v>#REF!</v>
      </c>
      <c r="R583" s="490"/>
      <c r="S583" s="448" t="e">
        <f>#REF!</f>
        <v>#REF!</v>
      </c>
      <c r="T583" s="305" t="s">
        <v>31</v>
      </c>
      <c r="U583" s="490" t="e">
        <f>#REF!</f>
        <v>#REF!</v>
      </c>
      <c r="V583" s="7"/>
      <c r="W583" s="31"/>
      <c r="X583" s="31"/>
      <c r="Y583" s="31"/>
      <c r="Z583" s="7"/>
      <c r="AA583" s="7"/>
      <c r="AB583" s="7"/>
      <c r="AC583" s="7"/>
      <c r="AD583" s="7"/>
      <c r="AE583" s="7"/>
      <c r="AF583" s="7"/>
      <c r="AG583" s="7"/>
      <c r="AH583" s="7"/>
      <c r="AI583" s="7"/>
      <c r="AJ583" s="7"/>
      <c r="AK583" s="7"/>
      <c r="AL583" s="7"/>
      <c r="AM583" s="7"/>
      <c r="AN583" s="7"/>
      <c r="AO583" s="7"/>
      <c r="AP583" s="7"/>
    </row>
    <row r="584" spans="1:44">
      <c r="A584" s="305" t="s">
        <v>412</v>
      </c>
      <c r="B584" s="305"/>
      <c r="C584" s="61"/>
      <c r="D584" s="448"/>
      <c r="E584" s="305"/>
      <c r="F584" s="490"/>
      <c r="G584" s="448"/>
      <c r="H584" s="305"/>
      <c r="I584" s="490"/>
      <c r="J584" s="490"/>
      <c r="K584" s="448"/>
      <c r="L584" s="305"/>
      <c r="M584" s="490"/>
      <c r="N584" s="490"/>
      <c r="O584" s="448"/>
      <c r="P584" s="305"/>
      <c r="Q584" s="490"/>
      <c r="R584" s="490"/>
      <c r="S584" s="448"/>
      <c r="T584" s="305"/>
      <c r="U584" s="490"/>
      <c r="V584" s="7"/>
      <c r="W584" s="31"/>
      <c r="X584" s="31"/>
      <c r="Y584" s="31"/>
      <c r="Z584" s="7"/>
      <c r="AA584" s="7"/>
      <c r="AB584" s="7"/>
      <c r="AC584" s="7"/>
      <c r="AD584" s="7"/>
      <c r="AE584" s="7"/>
      <c r="AF584" s="7"/>
      <c r="AG584" s="7"/>
      <c r="AH584" s="7"/>
      <c r="AI584" s="7"/>
      <c r="AJ584" s="7"/>
      <c r="AK584" s="7"/>
      <c r="AL584" s="7"/>
      <c r="AM584" s="7"/>
      <c r="AN584" s="7"/>
      <c r="AO584" s="7"/>
      <c r="AP584" s="7"/>
    </row>
    <row r="585" spans="1:44">
      <c r="A585" s="305" t="s">
        <v>413</v>
      </c>
      <c r="B585" s="305"/>
      <c r="C585" s="61">
        <v>0</v>
      </c>
      <c r="D585" s="448">
        <f>D626</f>
        <v>5.6</v>
      </c>
      <c r="E585" s="305"/>
      <c r="F585" s="490">
        <f>ROUND(D585*$C585,0)</f>
        <v>0</v>
      </c>
      <c r="G585" s="448">
        <f>G626</f>
        <v>5.6</v>
      </c>
      <c r="H585" s="305"/>
      <c r="I585" s="490">
        <f>ROUND(G585*$C585,0)</f>
        <v>0</v>
      </c>
      <c r="J585" s="490"/>
      <c r="K585" s="448" t="e">
        <f>#REF!</f>
        <v>#REF!</v>
      </c>
      <c r="L585" s="305"/>
      <c r="M585" s="490" t="e">
        <f>#REF!</f>
        <v>#REF!</v>
      </c>
      <c r="N585" s="490"/>
      <c r="O585" s="448" t="e">
        <f>#REF!</f>
        <v>#REF!</v>
      </c>
      <c r="P585" s="305"/>
      <c r="Q585" s="490" t="e">
        <f>#REF!</f>
        <v>#REF!</v>
      </c>
      <c r="R585" s="490"/>
      <c r="S585" s="448" t="e">
        <f>#REF!</f>
        <v>#REF!</v>
      </c>
      <c r="T585" s="305"/>
      <c r="U585" s="490" t="e">
        <f>#REF!</f>
        <v>#REF!</v>
      </c>
      <c r="V585" s="7"/>
      <c r="W585" s="31"/>
      <c r="X585" s="31"/>
      <c r="Y585" s="31"/>
      <c r="Z585" s="7"/>
      <c r="AA585" s="7"/>
      <c r="AB585" s="7"/>
      <c r="AC585" s="7"/>
      <c r="AD585" s="7"/>
      <c r="AE585" s="7"/>
      <c r="AF585" s="7"/>
      <c r="AG585" s="7"/>
      <c r="AH585" s="7"/>
      <c r="AI585" s="7"/>
      <c r="AJ585" s="7"/>
      <c r="AK585" s="7"/>
      <c r="AL585" s="7"/>
      <c r="AM585" s="7"/>
      <c r="AN585" s="7"/>
      <c r="AO585" s="7"/>
      <c r="AP585" s="7"/>
    </row>
    <row r="586" spans="1:44">
      <c r="A586" s="305" t="s">
        <v>414</v>
      </c>
      <c r="B586" s="305"/>
      <c r="C586" s="61"/>
      <c r="D586" s="237"/>
      <c r="E586" s="490"/>
      <c r="F586" s="490"/>
      <c r="G586" s="237"/>
      <c r="H586" s="490"/>
      <c r="I586" s="490"/>
      <c r="J586" s="490"/>
      <c r="K586" s="237"/>
      <c r="L586" s="490"/>
      <c r="M586" s="490"/>
      <c r="N586" s="490"/>
      <c r="O586" s="237"/>
      <c r="P586" s="490"/>
      <c r="Q586" s="490"/>
      <c r="R586" s="490"/>
      <c r="S586" s="237"/>
      <c r="T586" s="490"/>
      <c r="U586" s="490"/>
      <c r="V586" s="7"/>
      <c r="W586" s="31"/>
      <c r="X586" s="31"/>
      <c r="Y586" s="31"/>
      <c r="Z586" s="7"/>
      <c r="AA586" s="7"/>
      <c r="AB586" s="7"/>
      <c r="AC586" s="7"/>
      <c r="AD586" s="7"/>
      <c r="AE586" s="7"/>
      <c r="AF586" s="7"/>
      <c r="AG586" s="7"/>
      <c r="AH586" s="7"/>
      <c r="AI586" s="7"/>
      <c r="AJ586" s="7"/>
      <c r="AK586" s="7"/>
      <c r="AL586" s="7"/>
      <c r="AM586" s="7"/>
      <c r="AN586" s="7"/>
      <c r="AO586" s="7"/>
      <c r="AP586" s="7"/>
    </row>
    <row r="587" spans="1:44">
      <c r="A587" s="305" t="s">
        <v>415</v>
      </c>
      <c r="B587" s="305"/>
      <c r="C587" s="61">
        <v>0</v>
      </c>
      <c r="D587" s="1025">
        <f>D629</f>
        <v>5.9119999999999999</v>
      </c>
      <c r="E587" s="490" t="s">
        <v>362</v>
      </c>
      <c r="F587" s="490">
        <f>ROUND($C587*D587/100,0)</f>
        <v>0</v>
      </c>
      <c r="G587" s="1025">
        <f ca="1">G629</f>
        <v>5.907</v>
      </c>
      <c r="H587" s="490" t="s">
        <v>362</v>
      </c>
      <c r="I587" s="490">
        <f ca="1">ROUND($C587*G587/100,0)</f>
        <v>0</v>
      </c>
      <c r="J587" s="490"/>
      <c r="K587" s="1025" t="e">
        <f>#REF!</f>
        <v>#REF!</v>
      </c>
      <c r="L587" s="490" t="s">
        <v>362</v>
      </c>
      <c r="M587" s="490" t="e">
        <f>#REF!</f>
        <v>#REF!</v>
      </c>
      <c r="N587" s="490"/>
      <c r="O587" s="1025" t="e">
        <f>#REF!</f>
        <v>#REF!</v>
      </c>
      <c r="P587" s="490" t="s">
        <v>362</v>
      </c>
      <c r="Q587" s="490" t="e">
        <f>#REF!</f>
        <v>#REF!</v>
      </c>
      <c r="R587" s="490"/>
      <c r="S587" s="1025" t="e">
        <f>#REF!</f>
        <v>#REF!</v>
      </c>
      <c r="T587" s="490" t="s">
        <v>362</v>
      </c>
      <c r="U587" s="490" t="e">
        <f>#REF!</f>
        <v>#REF!</v>
      </c>
      <c r="V587" s="7"/>
      <c r="W587" s="31"/>
      <c r="X587" s="31"/>
      <c r="Y587" s="31"/>
      <c r="Z587" s="7"/>
      <c r="AA587" s="7"/>
      <c r="AB587" s="7"/>
      <c r="AC587" s="7"/>
      <c r="AD587" s="7"/>
      <c r="AE587" s="7"/>
      <c r="AF587" s="7"/>
      <c r="AG587" s="7"/>
      <c r="AH587" s="7"/>
      <c r="AI587" s="7"/>
      <c r="AJ587" s="7"/>
      <c r="AK587" s="7"/>
      <c r="AL587" s="7"/>
      <c r="AM587" s="7"/>
      <c r="AN587" s="7"/>
      <c r="AO587" s="7"/>
      <c r="AP587" s="7"/>
    </row>
    <row r="588" spans="1:44">
      <c r="A588" s="305" t="s">
        <v>387</v>
      </c>
      <c r="B588" s="305"/>
      <c r="C588" s="61">
        <v>0</v>
      </c>
      <c r="D588" s="1025">
        <f>D630</f>
        <v>5.41</v>
      </c>
      <c r="E588" s="490" t="s">
        <v>362</v>
      </c>
      <c r="F588" s="490">
        <f>ROUND($C588*D588/100,0)</f>
        <v>0</v>
      </c>
      <c r="G588" s="1025">
        <f ca="1">G630</f>
        <v>5.4030000000000005</v>
      </c>
      <c r="H588" s="490" t="s">
        <v>362</v>
      </c>
      <c r="I588" s="490">
        <f ca="1">ROUND($C588*G588/100,0)</f>
        <v>0</v>
      </c>
      <c r="J588" s="490"/>
      <c r="K588" s="1025" t="e">
        <f>#REF!</f>
        <v>#REF!</v>
      </c>
      <c r="L588" s="490" t="s">
        <v>362</v>
      </c>
      <c r="M588" s="490" t="e">
        <f>#REF!</f>
        <v>#REF!</v>
      </c>
      <c r="N588" s="490"/>
      <c r="O588" s="1025" t="e">
        <f>#REF!</f>
        <v>#REF!</v>
      </c>
      <c r="P588" s="490" t="s">
        <v>362</v>
      </c>
      <c r="Q588" s="490" t="e">
        <f>#REF!</f>
        <v>#REF!</v>
      </c>
      <c r="R588" s="490"/>
      <c r="S588" s="1025" t="e">
        <f>#REF!</f>
        <v>#REF!</v>
      </c>
      <c r="T588" s="490" t="s">
        <v>362</v>
      </c>
      <c r="U588" s="490" t="e">
        <f>#REF!</f>
        <v>#REF!</v>
      </c>
      <c r="V588" s="7"/>
      <c r="W588" s="31"/>
      <c r="X588" s="31"/>
      <c r="Y588" s="31"/>
      <c r="Z588" s="7"/>
      <c r="AA588" s="7"/>
      <c r="AB588" s="7"/>
      <c r="AC588" s="7"/>
      <c r="AD588" s="7"/>
      <c r="AE588" s="7"/>
      <c r="AF588" s="7"/>
      <c r="AG588" s="7"/>
      <c r="AH588" s="7"/>
      <c r="AI588" s="7"/>
      <c r="AJ588" s="7"/>
      <c r="AK588" s="7"/>
      <c r="AL588" s="7"/>
      <c r="AM588" s="7"/>
      <c r="AN588" s="7"/>
      <c r="AO588" s="7"/>
      <c r="AP588" s="7"/>
    </row>
    <row r="589" spans="1:44">
      <c r="A589" s="305" t="s">
        <v>388</v>
      </c>
      <c r="B589" s="305"/>
      <c r="C589" s="61">
        <v>0</v>
      </c>
      <c r="D589" s="1038">
        <f>D631</f>
        <v>58</v>
      </c>
      <c r="E589" s="490" t="s">
        <v>362</v>
      </c>
      <c r="F589" s="490">
        <f>ROUND(D589*$C589/100,0)</f>
        <v>0</v>
      </c>
      <c r="G589" s="1038">
        <f>G631</f>
        <v>58</v>
      </c>
      <c r="H589" s="490" t="s">
        <v>362</v>
      </c>
      <c r="I589" s="490">
        <f>ROUND(G589*$C589,0)</f>
        <v>0</v>
      </c>
      <c r="J589" s="490"/>
      <c r="K589" s="1038" t="e">
        <f>#REF!</f>
        <v>#REF!</v>
      </c>
      <c r="L589" s="490" t="s">
        <v>362</v>
      </c>
      <c r="M589" s="490" t="e">
        <f>#REF!</f>
        <v>#REF!</v>
      </c>
      <c r="N589" s="490"/>
      <c r="O589" s="1038" t="e">
        <f>#REF!</f>
        <v>#REF!</v>
      </c>
      <c r="P589" s="490" t="s">
        <v>362</v>
      </c>
      <c r="Q589" s="490" t="e">
        <f>#REF!</f>
        <v>#REF!</v>
      </c>
      <c r="R589" s="490"/>
      <c r="S589" s="1038" t="e">
        <f>#REF!</f>
        <v>#REF!</v>
      </c>
      <c r="T589" s="490" t="s">
        <v>362</v>
      </c>
      <c r="U589" s="490" t="e">
        <f>#REF!</f>
        <v>#REF!</v>
      </c>
      <c r="V589" s="7"/>
      <c r="W589" s="31"/>
      <c r="X589" s="31"/>
      <c r="Y589" s="31"/>
      <c r="Z589" s="7"/>
      <c r="AA589" s="7"/>
      <c r="AB589" s="7"/>
      <c r="AC589" s="7"/>
      <c r="AD589" s="7"/>
      <c r="AE589" s="7"/>
      <c r="AF589" s="7"/>
      <c r="AG589" s="7"/>
      <c r="AH589" s="7"/>
      <c r="AI589" s="7"/>
      <c r="AJ589" s="7"/>
      <c r="AK589" s="7"/>
      <c r="AL589" s="7"/>
      <c r="AM589" s="7"/>
      <c r="AN589" s="7"/>
      <c r="AO589" s="7"/>
      <c r="AP589" s="7"/>
    </row>
    <row r="590" spans="1:44">
      <c r="A590" s="305" t="s">
        <v>416</v>
      </c>
      <c r="B590" s="305"/>
      <c r="C590" s="61">
        <v>0</v>
      </c>
      <c r="D590" s="1039">
        <v>0.06</v>
      </c>
      <c r="E590" s="490" t="s">
        <v>362</v>
      </c>
      <c r="F590" s="490">
        <f>ROUND($C590*D590/100,0)</f>
        <v>0</v>
      </c>
      <c r="G590" s="1026">
        <v>0.06</v>
      </c>
      <c r="H590" s="490" t="s">
        <v>362</v>
      </c>
      <c r="I590" s="490">
        <f>ROUND($C590*G590/100,0)</f>
        <v>0</v>
      </c>
      <c r="J590" s="490"/>
      <c r="K590" s="1026" t="e">
        <f>#REF!</f>
        <v>#REF!</v>
      </c>
      <c r="L590" s="490" t="s">
        <v>362</v>
      </c>
      <c r="M590" s="490" t="e">
        <f>#REF!</f>
        <v>#REF!</v>
      </c>
      <c r="N590" s="490"/>
      <c r="O590" s="1026" t="e">
        <f>#REF!</f>
        <v>#REF!</v>
      </c>
      <c r="P590" s="490" t="s">
        <v>362</v>
      </c>
      <c r="Q590" s="490" t="e">
        <f>#REF!</f>
        <v>#REF!</v>
      </c>
      <c r="R590" s="490"/>
      <c r="S590" s="1026" t="e">
        <f>#REF!</f>
        <v>#REF!</v>
      </c>
      <c r="T590" s="490" t="s">
        <v>362</v>
      </c>
      <c r="U590" s="490" t="e">
        <f>#REF!</f>
        <v>#REF!</v>
      </c>
      <c r="V590" s="7"/>
      <c r="W590" s="31"/>
      <c r="X590" s="31"/>
      <c r="Y590" s="31"/>
      <c r="Z590" s="7"/>
      <c r="AA590" s="7"/>
      <c r="AB590" s="7"/>
      <c r="AC590" s="7"/>
      <c r="AD590" s="7"/>
      <c r="AE590" s="7"/>
      <c r="AF590" s="7"/>
      <c r="AG590" s="7"/>
      <c r="AH590" s="7"/>
      <c r="AI590" s="7"/>
      <c r="AJ590" s="7"/>
      <c r="AK590" s="7"/>
      <c r="AL590" s="7"/>
      <c r="AM590" s="7"/>
      <c r="AN590" s="7"/>
      <c r="AO590" s="7"/>
      <c r="AP590" s="7"/>
    </row>
    <row r="591" spans="1:44" s="588" customFormat="1" hidden="1">
      <c r="A591" s="588" t="s">
        <v>766</v>
      </c>
      <c r="C591" s="631">
        <f>C587+C588</f>
        <v>0</v>
      </c>
      <c r="D591" s="990">
        <v>0</v>
      </c>
      <c r="E591" s="635"/>
      <c r="F591" s="616"/>
      <c r="G591" s="1025">
        <f>G632</f>
        <v>0</v>
      </c>
      <c r="H591" s="616" t="s">
        <v>362</v>
      </c>
      <c r="I591" s="616">
        <f t="shared" ref="I591:I592" si="136">ROUND($C591*G591/100,0)</f>
        <v>0</v>
      </c>
      <c r="J591" s="616"/>
      <c r="K591" s="1025" t="e">
        <f>#REF!</f>
        <v>#REF!</v>
      </c>
      <c r="L591" s="616" t="s">
        <v>362</v>
      </c>
      <c r="M591" s="490" t="e">
        <f>#REF!</f>
        <v>#REF!</v>
      </c>
      <c r="N591" s="616"/>
      <c r="O591" s="1025" t="e">
        <f>#REF!</f>
        <v>#REF!</v>
      </c>
      <c r="P591" s="616" t="s">
        <v>362</v>
      </c>
      <c r="Q591" s="490" t="e">
        <f>#REF!</f>
        <v>#REF!</v>
      </c>
      <c r="R591" s="616"/>
      <c r="S591" s="1025" t="e">
        <f>#REF!</f>
        <v>#REF!</v>
      </c>
      <c r="T591" s="616" t="s">
        <v>362</v>
      </c>
      <c r="U591" s="490" t="e">
        <f>#REF!</f>
        <v>#REF!</v>
      </c>
      <c r="W591" s="450"/>
      <c r="Z591" s="989"/>
      <c r="AA591" s="989"/>
      <c r="AF591" s="635"/>
      <c r="AG591" s="635"/>
      <c r="AH591" s="635"/>
      <c r="AI591" s="635"/>
      <c r="AJ591" s="635"/>
      <c r="AK591" s="635"/>
      <c r="AL591" s="635"/>
      <c r="AM591" s="635"/>
      <c r="AN591" s="635"/>
      <c r="AO591" s="635"/>
      <c r="AP591" s="635"/>
      <c r="AR591" s="988"/>
    </row>
    <row r="592" spans="1:44" s="588" customFormat="1" hidden="1">
      <c r="A592" s="588" t="s">
        <v>767</v>
      </c>
      <c r="C592" s="631">
        <f>C588+C589</f>
        <v>0</v>
      </c>
      <c r="D592" s="990">
        <v>0</v>
      </c>
      <c r="E592" s="635"/>
      <c r="F592" s="616"/>
      <c r="G592" s="1025">
        <f>G633</f>
        <v>0</v>
      </c>
      <c r="H592" s="635"/>
      <c r="I592" s="616">
        <f t="shared" si="136"/>
        <v>0</v>
      </c>
      <c r="J592" s="616"/>
      <c r="K592" s="1025" t="e">
        <f>#REF!</f>
        <v>#REF!</v>
      </c>
      <c r="L592" s="635"/>
      <c r="M592" s="490" t="e">
        <f>#REF!</f>
        <v>#REF!</v>
      </c>
      <c r="N592" s="616"/>
      <c r="O592" s="1025" t="e">
        <f>#REF!</f>
        <v>#REF!</v>
      </c>
      <c r="P592" s="635"/>
      <c r="Q592" s="490" t="e">
        <f>#REF!</f>
        <v>#REF!</v>
      </c>
      <c r="R592" s="616"/>
      <c r="S592" s="1025" t="e">
        <f>#REF!</f>
        <v>#REF!</v>
      </c>
      <c r="T592" s="635"/>
      <c r="U592" s="490" t="e">
        <f>#REF!</f>
        <v>#REF!</v>
      </c>
      <c r="W592" s="450"/>
      <c r="Z592" s="989"/>
      <c r="AA592" s="989"/>
      <c r="AF592" s="635"/>
      <c r="AG592" s="635"/>
      <c r="AH592" s="635"/>
      <c r="AI592" s="635"/>
      <c r="AJ592" s="635"/>
      <c r="AK592" s="635"/>
      <c r="AL592" s="635"/>
      <c r="AM592" s="635"/>
      <c r="AN592" s="635"/>
      <c r="AO592" s="635"/>
      <c r="AP592" s="635"/>
      <c r="AR592" s="988"/>
    </row>
    <row r="593" spans="1:42">
      <c r="A593" s="244" t="s">
        <v>389</v>
      </c>
      <c r="B593" s="305" t="s">
        <v>31</v>
      </c>
      <c r="C593" s="61"/>
      <c r="D593" s="1023">
        <v>-0.01</v>
      </c>
      <c r="E593" s="490"/>
      <c r="F593" s="490"/>
      <c r="G593" s="1023">
        <v>-0.01</v>
      </c>
      <c r="H593" s="490"/>
      <c r="I593" s="490"/>
      <c r="J593" s="490"/>
      <c r="K593" s="1023">
        <v>-0.01</v>
      </c>
      <c r="L593" s="490"/>
      <c r="M593" s="490"/>
      <c r="N593" s="490"/>
      <c r="O593" s="1023">
        <v>-0.01</v>
      </c>
      <c r="P593" s="490"/>
      <c r="Q593" s="490"/>
      <c r="R593" s="490"/>
      <c r="S593" s="1023">
        <v>-0.01</v>
      </c>
      <c r="T593" s="490"/>
      <c r="U593" s="490"/>
      <c r="V593" s="7"/>
      <c r="W593" s="31"/>
      <c r="X593" s="31"/>
      <c r="Y593" s="31"/>
      <c r="Z593" s="7"/>
      <c r="AA593" s="7"/>
      <c r="AB593" s="7"/>
      <c r="AC593" s="7"/>
      <c r="AD593" s="7"/>
      <c r="AE593" s="7"/>
      <c r="AF593" s="7"/>
      <c r="AG593" s="7"/>
      <c r="AH593" s="7"/>
      <c r="AI593" s="7"/>
      <c r="AJ593" s="7"/>
      <c r="AK593" s="7"/>
      <c r="AL593" s="7"/>
      <c r="AM593" s="7"/>
      <c r="AN593" s="7"/>
      <c r="AO593" s="7"/>
      <c r="AP593" s="7"/>
    </row>
    <row r="594" spans="1:42">
      <c r="A594" s="305" t="s">
        <v>409</v>
      </c>
      <c r="B594" s="305"/>
      <c r="C594" s="61">
        <v>0</v>
      </c>
      <c r="D594" s="448">
        <f>D578</f>
        <v>268</v>
      </c>
      <c r="E594" s="305"/>
      <c r="F594" s="490">
        <f t="shared" ref="F594:F599" si="137">ROUND(D594*$C594*$D$593,0)</f>
        <v>0</v>
      </c>
      <c r="G594" s="448">
        <f>G578</f>
        <v>264</v>
      </c>
      <c r="H594" s="305"/>
      <c r="I594" s="490">
        <f t="shared" ref="I594:I599" si="138">ROUND(G594*$C594*$G$593,0)</f>
        <v>0</v>
      </c>
      <c r="J594" s="490"/>
      <c r="K594" s="448" t="e">
        <f>K578</f>
        <v>#REF!</v>
      </c>
      <c r="L594" s="305"/>
      <c r="M594" s="490" t="e">
        <f>#REF!</f>
        <v>#REF!</v>
      </c>
      <c r="N594" s="490"/>
      <c r="O594" s="448" t="e">
        <f>O578</f>
        <v>#REF!</v>
      </c>
      <c r="P594" s="305"/>
      <c r="Q594" s="490" t="e">
        <f>#REF!</f>
        <v>#REF!</v>
      </c>
      <c r="R594" s="490"/>
      <c r="S594" s="448" t="e">
        <f>S578</f>
        <v>#REF!</v>
      </c>
      <c r="T594" s="305"/>
      <c r="U594" s="490" t="e">
        <f>#REF!</f>
        <v>#REF!</v>
      </c>
      <c r="V594" s="7"/>
      <c r="W594" s="31"/>
      <c r="X594" s="31"/>
      <c r="Y594" s="31"/>
      <c r="Z594" s="7"/>
      <c r="AA594" s="7"/>
      <c r="AB594" s="7"/>
      <c r="AC594" s="7"/>
      <c r="AD594" s="7"/>
      <c r="AE594" s="7"/>
      <c r="AF594" s="7"/>
      <c r="AG594" s="7"/>
      <c r="AH594" s="7"/>
      <c r="AI594" s="7"/>
      <c r="AJ594" s="7"/>
      <c r="AK594" s="7"/>
      <c r="AL594" s="7"/>
      <c r="AM594" s="7"/>
      <c r="AN594" s="7"/>
      <c r="AO594" s="7"/>
      <c r="AP594" s="7"/>
    </row>
    <row r="595" spans="1:42">
      <c r="A595" s="305" t="s">
        <v>410</v>
      </c>
      <c r="B595" s="305"/>
      <c r="C595" s="61">
        <v>0</v>
      </c>
      <c r="D595" s="448">
        <f t="shared" ref="D595:D596" si="139">D579</f>
        <v>100</v>
      </c>
      <c r="E595" s="305"/>
      <c r="F595" s="490">
        <f t="shared" si="137"/>
        <v>0</v>
      </c>
      <c r="G595" s="448">
        <f>G579</f>
        <v>100</v>
      </c>
      <c r="H595" s="305"/>
      <c r="I595" s="490">
        <f t="shared" si="138"/>
        <v>0</v>
      </c>
      <c r="J595" s="490"/>
      <c r="K595" s="448" t="e">
        <f>K579</f>
        <v>#REF!</v>
      </c>
      <c r="L595" s="305"/>
      <c r="M595" s="490" t="e">
        <f>#REF!</f>
        <v>#REF!</v>
      </c>
      <c r="N595" s="490"/>
      <c r="O595" s="448" t="e">
        <f>O579</f>
        <v>#REF!</v>
      </c>
      <c r="P595" s="305"/>
      <c r="Q595" s="490" t="e">
        <f>#REF!</f>
        <v>#REF!</v>
      </c>
      <c r="R595" s="490"/>
      <c r="S595" s="448" t="e">
        <f>S579</f>
        <v>#REF!</v>
      </c>
      <c r="T595" s="305"/>
      <c r="U595" s="490" t="e">
        <f>#REF!</f>
        <v>#REF!</v>
      </c>
      <c r="V595" s="7"/>
      <c r="W595" s="31"/>
      <c r="X595" s="31"/>
      <c r="Y595" s="31"/>
      <c r="Z595" s="7"/>
      <c r="AA595" s="7"/>
      <c r="AB595" s="7"/>
      <c r="AC595" s="7"/>
      <c r="AD595" s="7"/>
      <c r="AE595" s="7"/>
      <c r="AF595" s="7"/>
      <c r="AG595" s="7"/>
      <c r="AH595" s="7"/>
      <c r="AI595" s="7"/>
      <c r="AJ595" s="7"/>
      <c r="AK595" s="7"/>
      <c r="AL595" s="7"/>
      <c r="AM595" s="7"/>
      <c r="AN595" s="7"/>
      <c r="AO595" s="7"/>
      <c r="AP595" s="7"/>
    </row>
    <row r="596" spans="1:42">
      <c r="A596" s="305" t="s">
        <v>411</v>
      </c>
      <c r="B596" s="305"/>
      <c r="C596" s="61">
        <v>0</v>
      </c>
      <c r="D596" s="448">
        <f t="shared" si="139"/>
        <v>200</v>
      </c>
      <c r="E596" s="1004"/>
      <c r="F596" s="490">
        <f t="shared" si="137"/>
        <v>0</v>
      </c>
      <c r="G596" s="448">
        <f>G580</f>
        <v>200</v>
      </c>
      <c r="H596" s="1004"/>
      <c r="I596" s="490">
        <f t="shared" si="138"/>
        <v>0</v>
      </c>
      <c r="J596" s="490"/>
      <c r="K596" s="448" t="e">
        <f>K580</f>
        <v>#REF!</v>
      </c>
      <c r="L596" s="1004"/>
      <c r="M596" s="490" t="e">
        <f>#REF!</f>
        <v>#REF!</v>
      </c>
      <c r="N596" s="490"/>
      <c r="O596" s="448" t="e">
        <f>O580</f>
        <v>#REF!</v>
      </c>
      <c r="P596" s="1004"/>
      <c r="Q596" s="490" t="e">
        <f>#REF!</f>
        <v>#REF!</v>
      </c>
      <c r="R596" s="490"/>
      <c r="S596" s="448" t="e">
        <f>S580</f>
        <v>#REF!</v>
      </c>
      <c r="T596" s="1004"/>
      <c r="U596" s="490" t="e">
        <f>#REF!</f>
        <v>#REF!</v>
      </c>
      <c r="V596" s="7"/>
      <c r="W596" s="31"/>
      <c r="X596" s="31"/>
      <c r="Y596" s="31"/>
      <c r="Z596" s="7"/>
      <c r="AA596" s="7"/>
      <c r="AB596" s="7"/>
      <c r="AC596" s="7"/>
      <c r="AD596" s="7"/>
      <c r="AE596" s="7"/>
      <c r="AF596" s="7"/>
      <c r="AG596" s="7"/>
      <c r="AH596" s="7"/>
      <c r="AI596" s="7"/>
      <c r="AJ596" s="7"/>
      <c r="AK596" s="7"/>
      <c r="AL596" s="7"/>
      <c r="AM596" s="7"/>
      <c r="AN596" s="7"/>
      <c r="AO596" s="7"/>
      <c r="AP596" s="7"/>
    </row>
    <row r="597" spans="1:42">
      <c r="A597" s="305" t="s">
        <v>410</v>
      </c>
      <c r="B597" s="305"/>
      <c r="C597" s="61">
        <v>0</v>
      </c>
      <c r="D597" s="448">
        <f>D582</f>
        <v>1.83</v>
      </c>
      <c r="E597" s="305" t="s">
        <v>31</v>
      </c>
      <c r="F597" s="490">
        <f t="shared" si="137"/>
        <v>0</v>
      </c>
      <c r="G597" s="448">
        <f>G582</f>
        <v>1.83</v>
      </c>
      <c r="H597" s="305" t="s">
        <v>31</v>
      </c>
      <c r="I597" s="490">
        <f t="shared" si="138"/>
        <v>0</v>
      </c>
      <c r="J597" s="490"/>
      <c r="K597" s="448" t="e">
        <f>K582</f>
        <v>#REF!</v>
      </c>
      <c r="L597" s="305" t="s">
        <v>31</v>
      </c>
      <c r="M597" s="490" t="e">
        <f>#REF!</f>
        <v>#REF!</v>
      </c>
      <c r="N597" s="490"/>
      <c r="O597" s="448" t="e">
        <f>O582</f>
        <v>#REF!</v>
      </c>
      <c r="P597" s="305" t="s">
        <v>31</v>
      </c>
      <c r="Q597" s="490" t="e">
        <f>#REF!</f>
        <v>#REF!</v>
      </c>
      <c r="R597" s="490"/>
      <c r="S597" s="448" t="e">
        <f>S582</f>
        <v>#REF!</v>
      </c>
      <c r="T597" s="305" t="s">
        <v>31</v>
      </c>
      <c r="U597" s="490" t="e">
        <f>#REF!</f>
        <v>#REF!</v>
      </c>
      <c r="V597" s="7"/>
      <c r="W597" s="31"/>
      <c r="X597" s="31"/>
      <c r="Y597" s="31"/>
      <c r="Z597" s="7"/>
      <c r="AA597" s="7"/>
      <c r="AB597" s="7"/>
      <c r="AC597" s="7"/>
      <c r="AD597" s="7"/>
      <c r="AE597" s="7"/>
      <c r="AF597" s="7"/>
      <c r="AG597" s="7"/>
      <c r="AH597" s="7"/>
      <c r="AI597" s="7"/>
      <c r="AJ597" s="7"/>
      <c r="AK597" s="7"/>
      <c r="AL597" s="7"/>
      <c r="AM597" s="7"/>
      <c r="AN597" s="7"/>
      <c r="AO597" s="7"/>
      <c r="AP597" s="7"/>
    </row>
    <row r="598" spans="1:42">
      <c r="A598" s="305" t="s">
        <v>411</v>
      </c>
      <c r="B598" s="305"/>
      <c r="C598" s="61">
        <v>0</v>
      </c>
      <c r="D598" s="448">
        <f>D583</f>
        <v>1.5</v>
      </c>
      <c r="E598" s="305" t="s">
        <v>31</v>
      </c>
      <c r="F598" s="490">
        <f t="shared" si="137"/>
        <v>0</v>
      </c>
      <c r="G598" s="448">
        <f>G583</f>
        <v>1.5</v>
      </c>
      <c r="H598" s="305" t="s">
        <v>31</v>
      </c>
      <c r="I598" s="490">
        <f t="shared" si="138"/>
        <v>0</v>
      </c>
      <c r="J598" s="490"/>
      <c r="K598" s="448" t="e">
        <f>K583</f>
        <v>#REF!</v>
      </c>
      <c r="L598" s="305" t="s">
        <v>31</v>
      </c>
      <c r="M598" s="490" t="e">
        <f>#REF!</f>
        <v>#REF!</v>
      </c>
      <c r="N598" s="490"/>
      <c r="O598" s="448" t="e">
        <f>O583</f>
        <v>#REF!</v>
      </c>
      <c r="P598" s="305" t="s">
        <v>31</v>
      </c>
      <c r="Q598" s="490" t="e">
        <f>#REF!</f>
        <v>#REF!</v>
      </c>
      <c r="R598" s="490"/>
      <c r="S598" s="448" t="e">
        <f>S583</f>
        <v>#REF!</v>
      </c>
      <c r="T598" s="305" t="s">
        <v>31</v>
      </c>
      <c r="U598" s="490" t="e">
        <f>#REF!</f>
        <v>#REF!</v>
      </c>
      <c r="V598" s="7"/>
      <c r="W598" s="31"/>
      <c r="X598" s="31"/>
      <c r="Y598" s="31"/>
      <c r="Z598" s="7"/>
      <c r="AA598" s="7"/>
      <c r="AB598" s="7"/>
      <c r="AC598" s="7"/>
      <c r="AD598" s="7"/>
      <c r="AE598" s="7"/>
      <c r="AF598" s="7"/>
      <c r="AG598" s="7"/>
      <c r="AH598" s="7"/>
      <c r="AI598" s="7"/>
      <c r="AJ598" s="7"/>
      <c r="AK598" s="7"/>
      <c r="AL598" s="7"/>
      <c r="AM598" s="7"/>
      <c r="AN598" s="7"/>
      <c r="AO598" s="7"/>
      <c r="AP598" s="7"/>
    </row>
    <row r="599" spans="1:42">
      <c r="A599" s="305" t="s">
        <v>413</v>
      </c>
      <c r="B599" s="305"/>
      <c r="C599" s="61">
        <v>0</v>
      </c>
      <c r="D599" s="448">
        <f>D585</f>
        <v>5.6</v>
      </c>
      <c r="E599" s="305"/>
      <c r="F599" s="490">
        <f t="shared" si="137"/>
        <v>0</v>
      </c>
      <c r="G599" s="448">
        <f>G585</f>
        <v>5.6</v>
      </c>
      <c r="H599" s="305"/>
      <c r="I599" s="490">
        <f t="shared" si="138"/>
        <v>0</v>
      </c>
      <c r="J599" s="490"/>
      <c r="K599" s="448" t="e">
        <f>K585</f>
        <v>#REF!</v>
      </c>
      <c r="L599" s="305"/>
      <c r="M599" s="490" t="e">
        <f>#REF!</f>
        <v>#REF!</v>
      </c>
      <c r="N599" s="490"/>
      <c r="O599" s="448" t="e">
        <f>O585</f>
        <v>#REF!</v>
      </c>
      <c r="P599" s="305"/>
      <c r="Q599" s="490" t="e">
        <f>#REF!</f>
        <v>#REF!</v>
      </c>
      <c r="R599" s="490"/>
      <c r="S599" s="448" t="e">
        <f>S585</f>
        <v>#REF!</v>
      </c>
      <c r="T599" s="305"/>
      <c r="U599" s="490" t="e">
        <f>#REF!</f>
        <v>#REF!</v>
      </c>
      <c r="V599" s="7"/>
      <c r="W599" s="31"/>
      <c r="X599" s="31"/>
      <c r="Y599" s="31"/>
      <c r="Z599" s="7"/>
      <c r="AA599" s="7"/>
      <c r="AB599" s="7"/>
      <c r="AC599" s="7"/>
      <c r="AD599" s="7"/>
      <c r="AE599" s="7"/>
      <c r="AF599" s="7"/>
      <c r="AG599" s="7"/>
      <c r="AH599" s="7"/>
      <c r="AI599" s="7"/>
      <c r="AJ599" s="7"/>
      <c r="AK599" s="7"/>
      <c r="AL599" s="7"/>
      <c r="AM599" s="7"/>
      <c r="AN599" s="7"/>
      <c r="AO599" s="7"/>
      <c r="AP599" s="7"/>
    </row>
    <row r="600" spans="1:42">
      <c r="A600" s="305" t="s">
        <v>415</v>
      </c>
      <c r="B600" s="305"/>
      <c r="C600" s="61">
        <v>0</v>
      </c>
      <c r="D600" s="237">
        <f>D587</f>
        <v>5.9119999999999999</v>
      </c>
      <c r="E600" s="490" t="s">
        <v>362</v>
      </c>
      <c r="F600" s="490">
        <f>ROUND(D600/100*$C600*D593,0)</f>
        <v>0</v>
      </c>
      <c r="G600" s="448">
        <f>G586</f>
        <v>0</v>
      </c>
      <c r="H600" s="490" t="s">
        <v>362</v>
      </c>
      <c r="I600" s="490">
        <f>ROUND(G600/100*$C600*G593,0)</f>
        <v>0</v>
      </c>
      <c r="J600" s="490"/>
      <c r="K600" s="448">
        <f>K586</f>
        <v>0</v>
      </c>
      <c r="L600" s="490" t="s">
        <v>362</v>
      </c>
      <c r="M600" s="490" t="e">
        <f>#REF!</f>
        <v>#REF!</v>
      </c>
      <c r="N600" s="490"/>
      <c r="O600" s="448">
        <f>O586</f>
        <v>0</v>
      </c>
      <c r="P600" s="490" t="s">
        <v>362</v>
      </c>
      <c r="Q600" s="490" t="e">
        <f>#REF!</f>
        <v>#REF!</v>
      </c>
      <c r="R600" s="490"/>
      <c r="S600" s="448">
        <f>S586</f>
        <v>0</v>
      </c>
      <c r="T600" s="490" t="s">
        <v>362</v>
      </c>
      <c r="U600" s="490" t="e">
        <f>#REF!</f>
        <v>#REF!</v>
      </c>
      <c r="V600" s="7"/>
      <c r="W600" s="31"/>
      <c r="X600" s="31"/>
      <c r="Y600" s="31"/>
      <c r="Z600" s="7"/>
      <c r="AA600" s="7"/>
      <c r="AB600" s="7"/>
      <c r="AC600" s="7"/>
      <c r="AD600" s="7"/>
      <c r="AE600" s="7"/>
      <c r="AF600" s="7"/>
      <c r="AG600" s="7"/>
      <c r="AH600" s="7"/>
      <c r="AI600" s="7"/>
      <c r="AJ600" s="7"/>
      <c r="AK600" s="7"/>
      <c r="AL600" s="7"/>
      <c r="AM600" s="7"/>
      <c r="AN600" s="7"/>
      <c r="AO600" s="7"/>
      <c r="AP600" s="7"/>
    </row>
    <row r="601" spans="1:42">
      <c r="A601" s="305" t="s">
        <v>387</v>
      </c>
      <c r="B601" s="305"/>
      <c r="C601" s="61">
        <v>0</v>
      </c>
      <c r="D601" s="237">
        <f>D588</f>
        <v>5.41</v>
      </c>
      <c r="E601" s="490" t="s">
        <v>362</v>
      </c>
      <c r="F601" s="490">
        <f>ROUND(D601/100*$C601*D593,0)</f>
        <v>0</v>
      </c>
      <c r="G601" s="1006">
        <f ca="1">G588</f>
        <v>5.4030000000000005</v>
      </c>
      <c r="H601" s="490" t="s">
        <v>362</v>
      </c>
      <c r="I601" s="490">
        <f ca="1">ROUND(G601/100*$C601*G593,0)</f>
        <v>0</v>
      </c>
      <c r="J601" s="490"/>
      <c r="K601" s="1006" t="e">
        <f>K588</f>
        <v>#REF!</v>
      </c>
      <c r="L601" s="490" t="s">
        <v>362</v>
      </c>
      <c r="M601" s="490" t="e">
        <f>#REF!</f>
        <v>#REF!</v>
      </c>
      <c r="N601" s="490"/>
      <c r="O601" s="1006" t="e">
        <f>O588</f>
        <v>#REF!</v>
      </c>
      <c r="P601" s="490" t="s">
        <v>362</v>
      </c>
      <c r="Q601" s="490" t="e">
        <f>#REF!</f>
        <v>#REF!</v>
      </c>
      <c r="R601" s="490"/>
      <c r="S601" s="1006" t="e">
        <f>S588</f>
        <v>#REF!</v>
      </c>
      <c r="T601" s="490" t="s">
        <v>362</v>
      </c>
      <c r="U601" s="490" t="e">
        <f>#REF!</f>
        <v>#REF!</v>
      </c>
      <c r="V601" s="7"/>
      <c r="W601" s="31"/>
      <c r="X601" s="31"/>
      <c r="Y601" s="31"/>
      <c r="Z601" s="7"/>
      <c r="AA601" s="7"/>
      <c r="AB601" s="7"/>
      <c r="AC601" s="7"/>
      <c r="AD601" s="7"/>
      <c r="AE601" s="7"/>
      <c r="AF601" s="7"/>
      <c r="AG601" s="7"/>
      <c r="AH601" s="7"/>
      <c r="AI601" s="7"/>
      <c r="AJ601" s="7"/>
      <c r="AK601" s="7"/>
      <c r="AL601" s="7"/>
      <c r="AM601" s="7"/>
      <c r="AN601" s="7"/>
      <c r="AO601" s="7"/>
      <c r="AP601" s="7"/>
    </row>
    <row r="602" spans="1:42">
      <c r="A602" s="305" t="s">
        <v>417</v>
      </c>
      <c r="B602" s="305"/>
      <c r="C602" s="61">
        <v>0</v>
      </c>
      <c r="D602" s="1040">
        <f>D589</f>
        <v>58</v>
      </c>
      <c r="E602" s="490" t="s">
        <v>362</v>
      </c>
      <c r="F602" s="490">
        <f>ROUND(D602*$C602*$D$593,0)</f>
        <v>0</v>
      </c>
      <c r="G602" s="1021">
        <f>G589</f>
        <v>58</v>
      </c>
      <c r="H602" s="490" t="s">
        <v>362</v>
      </c>
      <c r="I602" s="490">
        <f>ROUND(G602*$C602*$G$593,0)</f>
        <v>0</v>
      </c>
      <c r="J602" s="490"/>
      <c r="K602" s="1021" t="e">
        <f>K589</f>
        <v>#REF!</v>
      </c>
      <c r="L602" s="490" t="s">
        <v>362</v>
      </c>
      <c r="M602" s="490" t="e">
        <f>#REF!</f>
        <v>#REF!</v>
      </c>
      <c r="N602" s="490"/>
      <c r="O602" s="1021" t="e">
        <f>O589</f>
        <v>#REF!</v>
      </c>
      <c r="P602" s="490" t="s">
        <v>362</v>
      </c>
      <c r="Q602" s="490" t="e">
        <f>#REF!</f>
        <v>#REF!</v>
      </c>
      <c r="R602" s="490"/>
      <c r="S602" s="1021" t="e">
        <f>S589</f>
        <v>#REF!</v>
      </c>
      <c r="T602" s="490" t="s">
        <v>362</v>
      </c>
      <c r="U602" s="490" t="e">
        <f>#REF!</f>
        <v>#REF!</v>
      </c>
      <c r="V602" s="7"/>
      <c r="W602" s="31"/>
      <c r="X602" s="31"/>
      <c r="Y602" s="31"/>
      <c r="Z602" s="7"/>
      <c r="AA602" s="7"/>
      <c r="AB602" s="7"/>
      <c r="AC602" s="7"/>
      <c r="AD602" s="7"/>
      <c r="AE602" s="7"/>
      <c r="AF602" s="7"/>
      <c r="AG602" s="7"/>
      <c r="AH602" s="7"/>
      <c r="AI602" s="7"/>
      <c r="AJ602" s="7"/>
      <c r="AK602" s="7"/>
      <c r="AL602" s="7"/>
      <c r="AM602" s="7"/>
      <c r="AN602" s="7"/>
      <c r="AO602" s="7"/>
      <c r="AP602" s="7"/>
    </row>
    <row r="603" spans="1:42">
      <c r="A603" s="305" t="s">
        <v>418</v>
      </c>
      <c r="B603" s="305"/>
      <c r="C603" s="61">
        <v>0</v>
      </c>
      <c r="D603" s="646">
        <f>D590</f>
        <v>0.06</v>
      </c>
      <c r="E603" s="490" t="s">
        <v>362</v>
      </c>
      <c r="F603" s="490">
        <f>ROUND(D603/100*$C603*D593,0)</f>
        <v>0</v>
      </c>
      <c r="G603" s="1039">
        <f>G590</f>
        <v>0.06</v>
      </c>
      <c r="H603" s="490" t="s">
        <v>362</v>
      </c>
      <c r="I603" s="490">
        <f>ROUND(G603/100*$C603*G593,0)</f>
        <v>0</v>
      </c>
      <c r="J603" s="490"/>
      <c r="K603" s="1039" t="e">
        <f>K590</f>
        <v>#REF!</v>
      </c>
      <c r="L603" s="490" t="s">
        <v>362</v>
      </c>
      <c r="M603" s="490" t="e">
        <f>#REF!</f>
        <v>#REF!</v>
      </c>
      <c r="N603" s="490"/>
      <c r="O603" s="1039" t="e">
        <f>O590</f>
        <v>#REF!</v>
      </c>
      <c r="P603" s="490" t="s">
        <v>362</v>
      </c>
      <c r="Q603" s="490" t="e">
        <f>#REF!</f>
        <v>#REF!</v>
      </c>
      <c r="R603" s="490"/>
      <c r="S603" s="1039" t="e">
        <f>S590</f>
        <v>#REF!</v>
      </c>
      <c r="T603" s="490" t="s">
        <v>362</v>
      </c>
      <c r="U603" s="490" t="e">
        <f>#REF!</f>
        <v>#REF!</v>
      </c>
      <c r="V603" s="7"/>
      <c r="W603" s="31"/>
      <c r="X603" s="31"/>
      <c r="Y603" s="31"/>
      <c r="Z603" s="7"/>
      <c r="AA603" s="7"/>
      <c r="AB603" s="7"/>
      <c r="AC603" s="7"/>
      <c r="AD603" s="7"/>
      <c r="AE603" s="7"/>
      <c r="AF603" s="7"/>
      <c r="AG603" s="7"/>
      <c r="AH603" s="7"/>
      <c r="AI603" s="7"/>
      <c r="AJ603" s="7"/>
      <c r="AK603" s="7"/>
      <c r="AL603" s="7"/>
      <c r="AM603" s="7"/>
      <c r="AN603" s="7"/>
      <c r="AO603" s="7"/>
      <c r="AP603" s="7"/>
    </row>
    <row r="604" spans="1:42">
      <c r="A604" s="305" t="s">
        <v>419</v>
      </c>
      <c r="B604" s="305"/>
      <c r="C604" s="61">
        <v>0</v>
      </c>
      <c r="D604" s="237">
        <v>60</v>
      </c>
      <c r="E604" s="490" t="s">
        <v>31</v>
      </c>
      <c r="F604" s="490">
        <f>ROUND(D604*$C604,0)</f>
        <v>0</v>
      </c>
      <c r="G604" s="237">
        <v>60</v>
      </c>
      <c r="H604" s="490" t="s">
        <v>31</v>
      </c>
      <c r="I604" s="490">
        <f>ROUND(G604*$C604,0)</f>
        <v>0</v>
      </c>
      <c r="J604" s="490"/>
      <c r="K604" s="237">
        <v>60</v>
      </c>
      <c r="L604" s="490" t="s">
        <v>31</v>
      </c>
      <c r="M604" s="490" t="e">
        <f>#REF!</f>
        <v>#REF!</v>
      </c>
      <c r="N604" s="490"/>
      <c r="O604" s="237">
        <v>60</v>
      </c>
      <c r="P604" s="490" t="s">
        <v>31</v>
      </c>
      <c r="Q604" s="490" t="e">
        <f>#REF!</f>
        <v>#REF!</v>
      </c>
      <c r="R604" s="490"/>
      <c r="S604" s="237">
        <v>60</v>
      </c>
      <c r="T604" s="490" t="s">
        <v>31</v>
      </c>
      <c r="U604" s="490" t="e">
        <f>#REF!</f>
        <v>#REF!</v>
      </c>
      <c r="V604" s="7"/>
      <c r="W604" s="31"/>
      <c r="X604" s="31"/>
      <c r="Y604" s="31"/>
      <c r="Z604" s="7"/>
      <c r="AA604" s="7"/>
      <c r="AB604" s="7"/>
      <c r="AC604" s="7"/>
      <c r="AD604" s="7"/>
      <c r="AE604" s="7"/>
      <c r="AF604" s="7"/>
      <c r="AG604" s="7"/>
      <c r="AH604" s="7"/>
      <c r="AI604" s="7"/>
      <c r="AJ604" s="7"/>
      <c r="AK604" s="7"/>
      <c r="AL604" s="7"/>
      <c r="AM604" s="7"/>
      <c r="AN604" s="7"/>
      <c r="AO604" s="7"/>
      <c r="AP604" s="7"/>
    </row>
    <row r="605" spans="1:42">
      <c r="A605" s="305" t="s">
        <v>420</v>
      </c>
      <c r="B605" s="305"/>
      <c r="C605" s="61">
        <v>0</v>
      </c>
      <c r="D605" s="1026">
        <v>-30</v>
      </c>
      <c r="E605" s="490" t="s">
        <v>362</v>
      </c>
      <c r="F605" s="490">
        <f>ROUND(D605*$C605*$D$593,0)</f>
        <v>0</v>
      </c>
      <c r="G605" s="1026">
        <v>-30</v>
      </c>
      <c r="H605" s="490" t="s">
        <v>362</v>
      </c>
      <c r="I605" s="490">
        <f>ROUND(G605*$C605*$G$593,0)</f>
        <v>0</v>
      </c>
      <c r="J605" s="490"/>
      <c r="K605" s="1026">
        <v>-30</v>
      </c>
      <c r="L605" s="490" t="s">
        <v>362</v>
      </c>
      <c r="M605" s="490" t="e">
        <f>#REF!</f>
        <v>#REF!</v>
      </c>
      <c r="N605" s="490"/>
      <c r="O605" s="1026">
        <v>-30</v>
      </c>
      <c r="P605" s="490" t="s">
        <v>362</v>
      </c>
      <c r="Q605" s="490" t="e">
        <f>#REF!</f>
        <v>#REF!</v>
      </c>
      <c r="R605" s="490"/>
      <c r="S605" s="1026">
        <v>-30</v>
      </c>
      <c r="T605" s="490" t="s">
        <v>362</v>
      </c>
      <c r="U605" s="490" t="e">
        <f>#REF!</f>
        <v>#REF!</v>
      </c>
      <c r="V605" s="7"/>
      <c r="W605" s="31"/>
      <c r="X605" s="31"/>
      <c r="Y605" s="31" t="s">
        <v>31</v>
      </c>
      <c r="Z605" s="7"/>
      <c r="AA605" s="7"/>
      <c r="AB605" s="7"/>
      <c r="AC605" s="7"/>
      <c r="AD605" s="7"/>
      <c r="AE605" s="7"/>
      <c r="AF605" s="7"/>
      <c r="AG605" s="7"/>
      <c r="AH605" s="7"/>
      <c r="AI605" s="7"/>
      <c r="AJ605" s="7"/>
      <c r="AK605" s="7"/>
      <c r="AL605" s="7"/>
      <c r="AM605" s="7"/>
      <c r="AN605" s="7"/>
      <c r="AO605" s="7"/>
      <c r="AP605" s="7"/>
    </row>
    <row r="606" spans="1:42">
      <c r="A606" s="305" t="s">
        <v>421</v>
      </c>
      <c r="B606" s="305"/>
      <c r="C606" s="61">
        <v>0</v>
      </c>
      <c r="D606" s="237">
        <f>D585/2</f>
        <v>2.8</v>
      </c>
      <c r="E606" s="490"/>
      <c r="F606" s="490">
        <f>ROUND(D606*$C606*$D$593,0)</f>
        <v>0</v>
      </c>
      <c r="G606" s="448">
        <f>G599/2</f>
        <v>2.8</v>
      </c>
      <c r="H606" s="490"/>
      <c r="I606" s="490">
        <f>ROUND($C606*G606,0)</f>
        <v>0</v>
      </c>
      <c r="J606" s="490"/>
      <c r="K606" s="448" t="e">
        <f>K599/2</f>
        <v>#REF!</v>
      </c>
      <c r="L606" s="490"/>
      <c r="M606" s="490" t="e">
        <f>#REF!</f>
        <v>#REF!</v>
      </c>
      <c r="N606" s="490"/>
      <c r="O606" s="448" t="e">
        <f>O599/2</f>
        <v>#REF!</v>
      </c>
      <c r="P606" s="490"/>
      <c r="Q606" s="490" t="e">
        <f>#REF!</f>
        <v>#REF!</v>
      </c>
      <c r="R606" s="490"/>
      <c r="S606" s="448" t="e">
        <f>S599/2</f>
        <v>#REF!</v>
      </c>
      <c r="T606" s="490"/>
      <c r="U606" s="490" t="e">
        <f>#REF!</f>
        <v>#REF!</v>
      </c>
      <c r="V606" s="7"/>
      <c r="W606" s="31"/>
      <c r="X606" s="31"/>
      <c r="Y606" s="31"/>
      <c r="Z606" s="7"/>
      <c r="AA606" s="7"/>
      <c r="AB606" s="7"/>
      <c r="AC606" s="7"/>
      <c r="AD606" s="7"/>
      <c r="AE606" s="7"/>
      <c r="AF606" s="7"/>
      <c r="AG606" s="7"/>
      <c r="AH606" s="7"/>
      <c r="AI606" s="7"/>
      <c r="AJ606" s="7"/>
      <c r="AK606" s="7"/>
      <c r="AL606" s="7"/>
      <c r="AM606" s="7"/>
      <c r="AN606" s="7"/>
      <c r="AO606" s="7"/>
      <c r="AP606" s="7"/>
    </row>
    <row r="607" spans="1:42">
      <c r="A607" s="305" t="s">
        <v>422</v>
      </c>
      <c r="B607" s="305"/>
      <c r="C607" s="61">
        <v>0</v>
      </c>
      <c r="D607" s="237">
        <f>D585*4</f>
        <v>22.4</v>
      </c>
      <c r="E607" s="490"/>
      <c r="F607" s="490">
        <f>ROUND($C607*D607/100,0)</f>
        <v>0</v>
      </c>
      <c r="G607" s="448">
        <f>G599*4</f>
        <v>22.4</v>
      </c>
      <c r="H607" s="490"/>
      <c r="I607" s="490">
        <f>ROUND($C607*G607,0)</f>
        <v>0</v>
      </c>
      <c r="J607" s="490"/>
      <c r="K607" s="448" t="e">
        <f>K599*4</f>
        <v>#REF!</v>
      </c>
      <c r="L607" s="490"/>
      <c r="M607" s="490" t="e">
        <f>#REF!</f>
        <v>#REF!</v>
      </c>
      <c r="N607" s="490"/>
      <c r="O607" s="448" t="e">
        <f>O599*4</f>
        <v>#REF!</v>
      </c>
      <c r="P607" s="490"/>
      <c r="Q607" s="490" t="e">
        <f>#REF!</f>
        <v>#REF!</v>
      </c>
      <c r="R607" s="490"/>
      <c r="S607" s="448" t="e">
        <f>S599*4</f>
        <v>#REF!</v>
      </c>
      <c r="T607" s="490"/>
      <c r="U607" s="490" t="e">
        <f>#REF!</f>
        <v>#REF!</v>
      </c>
      <c r="V607" s="7"/>
      <c r="W607" s="31"/>
      <c r="X607" s="31"/>
      <c r="Y607" s="31"/>
      <c r="Z607" s="7"/>
      <c r="AA607" s="7"/>
      <c r="AB607" s="7"/>
      <c r="AC607" s="7"/>
      <c r="AD607" s="7"/>
      <c r="AE607" s="7"/>
      <c r="AF607" s="7"/>
      <c r="AG607" s="7"/>
      <c r="AH607" s="7"/>
      <c r="AI607" s="7"/>
      <c r="AJ607" s="7"/>
      <c r="AK607" s="7"/>
      <c r="AL607" s="7"/>
      <c r="AM607" s="7"/>
      <c r="AN607" s="7"/>
      <c r="AO607" s="7"/>
      <c r="AP607" s="7"/>
    </row>
    <row r="608" spans="1:42">
      <c r="A608" s="4" t="s">
        <v>423</v>
      </c>
      <c r="C608" s="61">
        <v>0</v>
      </c>
      <c r="D608" s="1025">
        <f>D587*4</f>
        <v>23.648</v>
      </c>
      <c r="E608" s="490" t="s">
        <v>362</v>
      </c>
      <c r="F608" s="490">
        <f>ROUND($C608*D608/100,0)</f>
        <v>0</v>
      </c>
      <c r="G608" s="1025">
        <f ca="1">(G588)*4</f>
        <v>21.612000000000002</v>
      </c>
      <c r="H608" s="490" t="s">
        <v>362</v>
      </c>
      <c r="I608" s="490">
        <f ca="1">ROUND($C608*G608/100,0)</f>
        <v>0</v>
      </c>
      <c r="J608" s="490"/>
      <c r="K608" s="1025" t="e">
        <f>(K588)*4</f>
        <v>#REF!</v>
      </c>
      <c r="L608" s="490" t="s">
        <v>362</v>
      </c>
      <c r="M608" s="490" t="e">
        <f>#REF!</f>
        <v>#REF!</v>
      </c>
      <c r="N608" s="490"/>
      <c r="O608" s="1025" t="e">
        <f>(O588)*4</f>
        <v>#REF!</v>
      </c>
      <c r="P608" s="490" t="s">
        <v>362</v>
      </c>
      <c r="Q608" s="490" t="e">
        <f>#REF!</f>
        <v>#REF!</v>
      </c>
      <c r="R608" s="490"/>
      <c r="S608" s="1025" t="e">
        <f>(S588)*4</f>
        <v>#REF!</v>
      </c>
      <c r="T608" s="490" t="s">
        <v>362</v>
      </c>
      <c r="U608" s="490" t="e">
        <f>#REF!</f>
        <v>#REF!</v>
      </c>
      <c r="V608" s="7" t="s">
        <v>74</v>
      </c>
      <c r="W608" s="31"/>
      <c r="X608" s="31"/>
      <c r="Y608" s="31"/>
      <c r="Z608" s="7"/>
      <c r="AA608" s="7"/>
      <c r="AB608" s="7"/>
      <c r="AC608" s="7"/>
      <c r="AD608" s="7"/>
      <c r="AE608" s="7"/>
      <c r="AF608" s="7"/>
      <c r="AG608" s="7"/>
      <c r="AH608" s="7"/>
      <c r="AI608" s="7"/>
      <c r="AJ608" s="7"/>
      <c r="AK608" s="7"/>
      <c r="AL608" s="7"/>
      <c r="AM608" s="7"/>
      <c r="AN608" s="7"/>
      <c r="AO608" s="7"/>
      <c r="AP608" s="7"/>
    </row>
    <row r="609" spans="1:44" s="588" customFormat="1" hidden="1">
      <c r="A609" s="588" t="s">
        <v>766</v>
      </c>
      <c r="C609" s="631">
        <f>C600+C601</f>
        <v>0</v>
      </c>
      <c r="D609" s="990">
        <v>0</v>
      </c>
      <c r="E609" s="635"/>
      <c r="F609" s="616"/>
      <c r="G609" s="987">
        <f>G632</f>
        <v>0</v>
      </c>
      <c r="H609" s="592" t="s">
        <v>362</v>
      </c>
      <c r="I609" s="616">
        <f t="shared" ref="I609:I610" si="140">ROUND($C609*G609/100,0)</f>
        <v>0</v>
      </c>
      <c r="J609" s="616"/>
      <c r="K609" s="987" t="e">
        <f>K632</f>
        <v>#REF!</v>
      </c>
      <c r="L609" s="592" t="s">
        <v>362</v>
      </c>
      <c r="M609" s="490" t="e">
        <f>#REF!</f>
        <v>#REF!</v>
      </c>
      <c r="N609" s="616"/>
      <c r="O609" s="987" t="e">
        <f>O632</f>
        <v>#REF!</v>
      </c>
      <c r="P609" s="592" t="s">
        <v>362</v>
      </c>
      <c r="Q609" s="490" t="e">
        <f>#REF!</f>
        <v>#REF!</v>
      </c>
      <c r="R609" s="616"/>
      <c r="S609" s="987" t="e">
        <f>S632</f>
        <v>#REF!</v>
      </c>
      <c r="T609" s="592" t="s">
        <v>362</v>
      </c>
      <c r="U609" s="490" t="e">
        <f>#REF!</f>
        <v>#REF!</v>
      </c>
      <c r="W609" s="450"/>
      <c r="Z609" s="989"/>
      <c r="AA609" s="989"/>
      <c r="AF609" s="635"/>
      <c r="AG609" s="635"/>
      <c r="AH609" s="635"/>
      <c r="AI609" s="635"/>
      <c r="AJ609" s="635"/>
      <c r="AK609" s="635"/>
      <c r="AL609" s="635"/>
      <c r="AM609" s="635"/>
      <c r="AN609" s="635"/>
      <c r="AO609" s="635"/>
      <c r="AP609" s="635"/>
      <c r="AR609" s="988"/>
    </row>
    <row r="610" spans="1:44" s="588" customFormat="1" hidden="1">
      <c r="A610" s="588" t="s">
        <v>767</v>
      </c>
      <c r="C610" s="631">
        <f>C601+C602</f>
        <v>0</v>
      </c>
      <c r="D610" s="990">
        <v>0</v>
      </c>
      <c r="E610" s="635"/>
      <c r="F610" s="616"/>
      <c r="G610" s="987">
        <f>G633</f>
        <v>0</v>
      </c>
      <c r="H610" s="592" t="s">
        <v>362</v>
      </c>
      <c r="I610" s="616">
        <f t="shared" si="140"/>
        <v>0</v>
      </c>
      <c r="J610" s="616"/>
      <c r="K610" s="987" t="e">
        <f>K633</f>
        <v>#REF!</v>
      </c>
      <c r="L610" s="592" t="s">
        <v>362</v>
      </c>
      <c r="M610" s="490" t="e">
        <f>#REF!</f>
        <v>#REF!</v>
      </c>
      <c r="N610" s="616"/>
      <c r="O610" s="987" t="e">
        <f>O633</f>
        <v>#REF!</v>
      </c>
      <c r="P610" s="592" t="s">
        <v>362</v>
      </c>
      <c r="Q610" s="490" t="e">
        <f>#REF!</f>
        <v>#REF!</v>
      </c>
      <c r="R610" s="616"/>
      <c r="S610" s="987" t="e">
        <f>S633</f>
        <v>#REF!</v>
      </c>
      <c r="T610" s="592" t="s">
        <v>362</v>
      </c>
      <c r="U610" s="490" t="e">
        <f>#REF!</f>
        <v>#REF!</v>
      </c>
      <c r="W610" s="450"/>
      <c r="Z610" s="989"/>
      <c r="AA610" s="989"/>
      <c r="AF610" s="635"/>
      <c r="AG610" s="635"/>
      <c r="AH610" s="635"/>
      <c r="AI610" s="635"/>
      <c r="AJ610" s="635"/>
      <c r="AK610" s="635"/>
      <c r="AL610" s="635"/>
      <c r="AM610" s="635"/>
      <c r="AN610" s="635"/>
      <c r="AO610" s="635"/>
      <c r="AP610" s="635"/>
      <c r="AR610" s="988"/>
    </row>
    <row r="611" spans="1:44">
      <c r="A611" s="305" t="s">
        <v>369</v>
      </c>
      <c r="B611" s="305"/>
      <c r="C611" s="61">
        <f>SUM(C587:C588)</f>
        <v>0</v>
      </c>
      <c r="D611" s="1021"/>
      <c r="E611" s="305"/>
      <c r="F611" s="490">
        <f>SUM(F578:F608)</f>
        <v>0</v>
      </c>
      <c r="G611" s="1021"/>
      <c r="H611" s="305"/>
      <c r="I611" s="490">
        <f ca="1">SUM(I578:I610)</f>
        <v>0</v>
      </c>
      <c r="J611" s="490"/>
      <c r="K611" s="1021"/>
      <c r="L611" s="305"/>
      <c r="M611" s="490" t="e">
        <f>SUM(M578:M610)</f>
        <v>#REF!</v>
      </c>
      <c r="N611" s="490"/>
      <c r="O611" s="1021"/>
      <c r="P611" s="305"/>
      <c r="Q611" s="490" t="e">
        <f>SUM(Q578:Q610)</f>
        <v>#REF!</v>
      </c>
      <c r="R611" s="490"/>
      <c r="S611" s="1021"/>
      <c r="T611" s="305"/>
      <c r="U611" s="490" t="e">
        <f>SUM(U578:U610)</f>
        <v>#REF!</v>
      </c>
      <c r="V611" s="7"/>
      <c r="W611" s="31"/>
      <c r="X611" s="31"/>
      <c r="Y611" s="31"/>
      <c r="Z611" s="7"/>
      <c r="AA611" s="7"/>
      <c r="AB611" s="7"/>
      <c r="AC611" s="7"/>
      <c r="AD611" s="7"/>
      <c r="AE611" s="7"/>
      <c r="AF611" s="7"/>
      <c r="AG611" s="7"/>
      <c r="AH611" s="7"/>
      <c r="AI611" s="7"/>
      <c r="AJ611" s="7"/>
      <c r="AK611" s="7"/>
      <c r="AL611" s="7"/>
      <c r="AM611" s="7"/>
      <c r="AN611" s="7"/>
      <c r="AO611" s="7"/>
      <c r="AP611" s="7"/>
    </row>
    <row r="612" spans="1:44">
      <c r="A612" s="305" t="s">
        <v>351</v>
      </c>
      <c r="B612" s="305"/>
      <c r="C612" s="1017">
        <v>0</v>
      </c>
      <c r="D612" s="305"/>
      <c r="E612" s="305"/>
      <c r="F612" s="993">
        <v>0</v>
      </c>
      <c r="G612" s="305"/>
      <c r="H612" s="305"/>
      <c r="I612" s="993">
        <v>0</v>
      </c>
      <c r="J612" s="723"/>
      <c r="K612" s="305"/>
      <c r="L612" s="305"/>
      <c r="M612" s="993">
        <v>0</v>
      </c>
      <c r="N612" s="723"/>
      <c r="O612" s="305"/>
      <c r="P612" s="305"/>
      <c r="Q612" s="993">
        <v>0</v>
      </c>
      <c r="R612" s="723"/>
      <c r="S612" s="305"/>
      <c r="T612" s="305"/>
      <c r="U612" s="993">
        <v>0</v>
      </c>
      <c r="V612" s="714"/>
      <c r="W612" s="171"/>
      <c r="X612" s="31"/>
      <c r="Y612" s="31"/>
      <c r="Z612" s="7"/>
      <c r="AA612" s="7"/>
      <c r="AB612" s="7"/>
      <c r="AC612" s="7"/>
      <c r="AD612" s="7"/>
      <c r="AE612" s="7"/>
      <c r="AF612" s="7"/>
      <c r="AG612" s="7"/>
      <c r="AH612" s="7"/>
      <c r="AI612" s="7"/>
      <c r="AJ612" s="7"/>
      <c r="AK612" s="7"/>
      <c r="AL612" s="7"/>
      <c r="AM612" s="7"/>
      <c r="AN612" s="7"/>
      <c r="AO612" s="7"/>
      <c r="AP612" s="7"/>
    </row>
    <row r="613" spans="1:44" ht="16.5" thickBot="1">
      <c r="A613" s="305" t="s">
        <v>370</v>
      </c>
      <c r="B613" s="305"/>
      <c r="C613" s="1012">
        <f>SUM(C611:C612)</f>
        <v>0</v>
      </c>
      <c r="D613" s="1036"/>
      <c r="E613" s="1030"/>
      <c r="F613" s="995">
        <f>SUM(F611:F612)</f>
        <v>0</v>
      </c>
      <c r="G613" s="1036"/>
      <c r="H613" s="1030"/>
      <c r="I613" s="995">
        <f ca="1">SUM(I611:I612)</f>
        <v>0</v>
      </c>
      <c r="J613" s="723"/>
      <c r="K613" s="1036"/>
      <c r="L613" s="1030"/>
      <c r="M613" s="995" t="e">
        <f>SUM(M611:M612)</f>
        <v>#REF!</v>
      </c>
      <c r="N613" s="995"/>
      <c r="O613" s="1036"/>
      <c r="P613" s="1030"/>
      <c r="Q613" s="995" t="e">
        <f>SUM(Q611:Q612)</f>
        <v>#REF!</v>
      </c>
      <c r="R613" s="995"/>
      <c r="S613" s="1036"/>
      <c r="T613" s="1030"/>
      <c r="U613" s="995" t="e">
        <f>SUM(U611:U612)</f>
        <v>#REF!</v>
      </c>
      <c r="V613" s="295"/>
      <c r="W613" s="354"/>
      <c r="X613" s="31"/>
      <c r="Y613" s="31"/>
      <c r="Z613" s="7"/>
      <c r="AA613" s="7"/>
      <c r="AB613" s="7"/>
      <c r="AC613" s="7"/>
      <c r="AD613" s="7"/>
      <c r="AE613" s="7"/>
      <c r="AF613" s="7"/>
      <c r="AG613" s="7"/>
      <c r="AH613" s="7"/>
      <c r="AI613" s="7"/>
      <c r="AJ613" s="7"/>
      <c r="AK613" s="7"/>
      <c r="AL613" s="7"/>
      <c r="AM613" s="7"/>
      <c r="AN613" s="7"/>
      <c r="AO613" s="7"/>
      <c r="AP613" s="7"/>
    </row>
    <row r="614" spans="1:44" ht="16.5" thickTop="1">
      <c r="A614" s="305"/>
      <c r="B614" s="1041"/>
      <c r="C614" s="61"/>
      <c r="D614" s="237"/>
      <c r="E614" s="305"/>
      <c r="F614" s="490"/>
      <c r="G614" s="237"/>
      <c r="H614" s="305"/>
      <c r="I614" s="490"/>
      <c r="J614" s="490"/>
      <c r="K614" s="237"/>
      <c r="L614" s="305"/>
      <c r="M614" s="490"/>
      <c r="N614" s="490"/>
      <c r="O614" s="237"/>
      <c r="P614" s="305"/>
      <c r="Q614" s="490"/>
      <c r="R614" s="490"/>
      <c r="S614" s="237"/>
      <c r="T614" s="305"/>
      <c r="U614" s="490"/>
      <c r="V614" s="7"/>
      <c r="W614" s="31"/>
      <c r="X614" s="31"/>
      <c r="Y614" s="31"/>
      <c r="Z614" s="7"/>
      <c r="AA614" s="7"/>
      <c r="AB614" s="7"/>
      <c r="AC614" s="7"/>
      <c r="AD614" s="7"/>
      <c r="AE614" s="7"/>
      <c r="AF614" s="7"/>
      <c r="AG614" s="7"/>
      <c r="AH614" s="7"/>
      <c r="AI614" s="7"/>
      <c r="AJ614" s="7"/>
      <c r="AK614" s="7"/>
      <c r="AL614" s="7"/>
      <c r="AM614" s="7"/>
      <c r="AN614" s="7"/>
      <c r="AO614" s="7"/>
      <c r="AP614" s="7"/>
    </row>
    <row r="615" spans="1:44">
      <c r="A615" s="305" t="s">
        <v>424</v>
      </c>
      <c r="B615" s="305"/>
      <c r="C615" s="305"/>
      <c r="D615" s="490"/>
      <c r="E615" s="305"/>
      <c r="F615" s="305"/>
      <c r="G615" s="490"/>
      <c r="H615" s="305"/>
      <c r="I615" s="305"/>
      <c r="J615" s="305"/>
      <c r="K615" s="490"/>
      <c r="L615" s="305"/>
      <c r="M615" s="305"/>
      <c r="N615" s="305"/>
      <c r="O615" s="490"/>
      <c r="P615" s="305"/>
      <c r="Q615" s="305"/>
      <c r="R615" s="305"/>
      <c r="S615" s="490"/>
      <c r="T615" s="305"/>
      <c r="U615" s="305"/>
      <c r="V615" s="7"/>
      <c r="W615" s="31"/>
      <c r="X615" s="31"/>
      <c r="Y615" s="31"/>
      <c r="Z615" s="7"/>
      <c r="AA615" s="7"/>
      <c r="AB615" s="7"/>
      <c r="AC615" s="7"/>
      <c r="AD615" s="7"/>
      <c r="AE615" s="7"/>
      <c r="AF615" s="7"/>
      <c r="AG615" s="7"/>
      <c r="AH615" s="7"/>
      <c r="AI615" s="7"/>
      <c r="AJ615" s="7"/>
      <c r="AK615" s="7"/>
      <c r="AL615" s="7"/>
      <c r="AM615" s="7"/>
      <c r="AN615" s="7"/>
      <c r="AO615" s="7"/>
      <c r="AP615" s="7"/>
    </row>
    <row r="616" spans="1:44">
      <c r="A616" s="305" t="s">
        <v>425</v>
      </c>
      <c r="B616" s="305"/>
      <c r="C616" s="305"/>
      <c r="D616" s="490"/>
      <c r="E616" s="305"/>
      <c r="F616" s="305"/>
      <c r="G616" s="490"/>
      <c r="H616" s="305"/>
      <c r="I616" s="305"/>
      <c r="J616" s="305"/>
      <c r="K616" s="490"/>
      <c r="L616" s="305"/>
      <c r="M616" s="305"/>
      <c r="N616" s="305"/>
      <c r="O616" s="490"/>
      <c r="P616" s="305"/>
      <c r="Q616" s="305"/>
      <c r="R616" s="305"/>
      <c r="S616" s="490"/>
      <c r="T616" s="305"/>
      <c r="U616" s="305"/>
      <c r="V616" s="7"/>
      <c r="W616" s="31"/>
      <c r="X616" s="31"/>
      <c r="Y616" s="31"/>
      <c r="Z616" s="7"/>
      <c r="AA616" s="7"/>
      <c r="AB616" s="7"/>
      <c r="AC616" s="7"/>
      <c r="AD616" s="7"/>
      <c r="AE616" s="7"/>
      <c r="AF616" s="7"/>
      <c r="AG616" s="7"/>
      <c r="AH616" s="7"/>
      <c r="AI616" s="7"/>
      <c r="AJ616" s="7"/>
      <c r="AK616" s="7"/>
      <c r="AL616" s="7"/>
      <c r="AM616" s="7"/>
      <c r="AN616" s="7"/>
      <c r="AO616" s="7"/>
      <c r="AP616" s="7"/>
    </row>
    <row r="617" spans="1:44">
      <c r="A617" s="305"/>
      <c r="B617" s="305"/>
      <c r="C617" s="305"/>
      <c r="D617" s="490"/>
      <c r="E617" s="305"/>
      <c r="F617" s="305"/>
      <c r="G617" s="490"/>
      <c r="H617" s="305"/>
      <c r="I617" s="305"/>
      <c r="J617" s="305"/>
      <c r="K617" s="490"/>
      <c r="L617" s="305"/>
      <c r="M617" s="305"/>
      <c r="N617" s="305"/>
      <c r="O617" s="490"/>
      <c r="P617" s="305"/>
      <c r="Q617" s="305"/>
      <c r="R617" s="305"/>
      <c r="S617" s="490"/>
      <c r="T617" s="305"/>
      <c r="U617" s="305"/>
      <c r="V617" s="7"/>
      <c r="X617" s="31"/>
      <c r="Y617" s="31"/>
      <c r="Z617" s="7"/>
      <c r="AA617" s="7"/>
      <c r="AB617" s="7"/>
      <c r="AC617" s="7"/>
      <c r="AD617" s="7"/>
      <c r="AE617" s="7"/>
      <c r="AF617" s="7"/>
      <c r="AG617" s="7"/>
      <c r="AH617" s="7"/>
      <c r="AI617" s="7"/>
      <c r="AJ617" s="7"/>
      <c r="AK617" s="7"/>
      <c r="AL617" s="7"/>
      <c r="AM617" s="7"/>
      <c r="AN617" s="7"/>
      <c r="AO617" s="7"/>
      <c r="AP617" s="7"/>
    </row>
    <row r="618" spans="1:44">
      <c r="A618" s="305" t="s">
        <v>381</v>
      </c>
      <c r="B618" s="305"/>
      <c r="C618" s="61"/>
      <c r="D618" s="490"/>
      <c r="E618" s="305"/>
      <c r="F618" s="305"/>
      <c r="G618" s="490"/>
      <c r="H618" s="305"/>
      <c r="I618" s="305"/>
      <c r="J618" s="305"/>
      <c r="K618" s="490"/>
      <c r="L618" s="305"/>
      <c r="M618" s="305"/>
      <c r="N618" s="305"/>
      <c r="O618" s="490"/>
      <c r="P618" s="305"/>
      <c r="Q618" s="305"/>
      <c r="R618" s="305"/>
      <c r="S618" s="490"/>
      <c r="T618" s="305"/>
      <c r="U618" s="305"/>
      <c r="V618" s="7"/>
      <c r="W618" s="31"/>
      <c r="X618" s="39" t="s">
        <v>245</v>
      </c>
      <c r="Y618" s="39"/>
      <c r="Z618" s="7"/>
      <c r="AA618" s="7"/>
      <c r="AB618" s="7"/>
      <c r="AC618" s="7"/>
      <c r="AD618" s="7"/>
      <c r="AE618" s="7"/>
      <c r="AF618" s="7"/>
      <c r="AH618" s="7"/>
      <c r="AI618" s="7"/>
      <c r="AJ618" s="7"/>
      <c r="AK618" s="7"/>
      <c r="AL618" s="7"/>
      <c r="AM618" s="7"/>
      <c r="AN618" s="7"/>
      <c r="AO618" s="7"/>
      <c r="AP618" s="7"/>
    </row>
    <row r="619" spans="1:44">
      <c r="A619" s="305" t="s">
        <v>409</v>
      </c>
      <c r="B619" s="305"/>
      <c r="C619" s="61">
        <f>C661+C699</f>
        <v>197.73333333333301</v>
      </c>
      <c r="D619" s="448">
        <v>268</v>
      </c>
      <c r="E619" s="305"/>
      <c r="F619" s="490">
        <f>F661+F699</f>
        <v>52992</v>
      </c>
      <c r="G619" s="448">
        <f>ROUND(D619*(1+$X$636),0)-4</f>
        <v>264</v>
      </c>
      <c r="H619" s="305"/>
      <c r="I619" s="490">
        <f>I661+I699</f>
        <v>52202</v>
      </c>
      <c r="J619" s="490"/>
      <c r="K619" s="448" t="e">
        <f>#REF!</f>
        <v>#REF!</v>
      </c>
      <c r="L619" s="305"/>
      <c r="M619" s="490" t="e">
        <f>#REF!</f>
        <v>#REF!</v>
      </c>
      <c r="N619" s="490"/>
      <c r="O619" s="448" t="e">
        <f>#REF!</f>
        <v>#REF!</v>
      </c>
      <c r="P619" s="305"/>
      <c r="Q619" s="490" t="e">
        <f>#REF!</f>
        <v>#REF!</v>
      </c>
      <c r="R619" s="490"/>
      <c r="S619" s="448" t="e">
        <f>#REF!</f>
        <v>#REF!</v>
      </c>
      <c r="T619" s="305"/>
      <c r="U619" s="490" t="e">
        <f>#REF!</f>
        <v>#REF!</v>
      </c>
      <c r="X619" s="54">
        <f>(G619-D619)/D619</f>
        <v>-1.4925373134328358E-2</v>
      </c>
      <c r="Y619" s="54"/>
      <c r="AG619" s="428"/>
      <c r="AH619" s="428"/>
      <c r="AK619" s="7"/>
      <c r="AL619" s="7"/>
      <c r="AM619" s="7"/>
      <c r="AN619" s="7"/>
      <c r="AO619" s="7"/>
      <c r="AP619" s="7"/>
    </row>
    <row r="620" spans="1:44">
      <c r="A620" s="305" t="s">
        <v>410</v>
      </c>
      <c r="B620" s="305"/>
      <c r="C620" s="61">
        <f>C662+C700</f>
        <v>8799.3000000000029</v>
      </c>
      <c r="D620" s="448">
        <v>100</v>
      </c>
      <c r="E620" s="305"/>
      <c r="F620" s="490">
        <f>F662+F700</f>
        <v>879930</v>
      </c>
      <c r="G620" s="448">
        <f>ROUND(D620*(1+$X$636),0)</f>
        <v>100</v>
      </c>
      <c r="H620" s="305"/>
      <c r="I620" s="490">
        <f>I662+I700</f>
        <v>879930</v>
      </c>
      <c r="J620" s="490"/>
      <c r="K620" s="448" t="e">
        <f>#REF!</f>
        <v>#REF!</v>
      </c>
      <c r="L620" s="305"/>
      <c r="M620" s="490" t="e">
        <f>#REF!</f>
        <v>#REF!</v>
      </c>
      <c r="N620" s="490"/>
      <c r="O620" s="448" t="e">
        <f>#REF!</f>
        <v>#REF!</v>
      </c>
      <c r="P620" s="305"/>
      <c r="Q620" s="490" t="e">
        <f>#REF!</f>
        <v>#REF!</v>
      </c>
      <c r="R620" s="490"/>
      <c r="S620" s="448" t="e">
        <f>#REF!</f>
        <v>#REF!</v>
      </c>
      <c r="T620" s="305"/>
      <c r="U620" s="490" t="e">
        <f>#REF!</f>
        <v>#REF!</v>
      </c>
      <c r="X620" s="54">
        <f>(G620-D620)/D620</f>
        <v>0</v>
      </c>
      <c r="Y620" s="54"/>
      <c r="AA620" s="496"/>
      <c r="AB620" s="1005"/>
      <c r="AC620" s="496"/>
      <c r="AD620" s="1005"/>
      <c r="AE620" s="496"/>
      <c r="AF620" s="496"/>
      <c r="AG620" s="1005"/>
      <c r="AH620" s="1005"/>
      <c r="AJ620" s="446"/>
      <c r="AK620" s="7"/>
      <c r="AL620" s="7"/>
      <c r="AM620" s="7"/>
      <c r="AN620" s="7"/>
      <c r="AO620" s="7"/>
      <c r="AP620" s="7"/>
    </row>
    <row r="621" spans="1:44">
      <c r="A621" s="305" t="s">
        <v>411</v>
      </c>
      <c r="B621" s="305"/>
      <c r="C621" s="61">
        <f>C663+C701</f>
        <v>3916.333333333333</v>
      </c>
      <c r="D621" s="448">
        <v>200</v>
      </c>
      <c r="E621" s="1004"/>
      <c r="F621" s="490">
        <f>F663+F701</f>
        <v>783267</v>
      </c>
      <c r="G621" s="448">
        <f>ROUND(D621*(1+$X$636),0)</f>
        <v>200</v>
      </c>
      <c r="H621" s="1004"/>
      <c r="I621" s="490">
        <f>I663+I701</f>
        <v>783267</v>
      </c>
      <c r="J621" s="490"/>
      <c r="K621" s="448" t="e">
        <f>#REF!</f>
        <v>#REF!</v>
      </c>
      <c r="L621" s="1004"/>
      <c r="M621" s="490" t="e">
        <f>#REF!</f>
        <v>#REF!</v>
      </c>
      <c r="N621" s="490"/>
      <c r="O621" s="448" t="e">
        <f>#REF!</f>
        <v>#REF!</v>
      </c>
      <c r="P621" s="1004"/>
      <c r="Q621" s="490" t="e">
        <f>#REF!</f>
        <v>#REF!</v>
      </c>
      <c r="R621" s="490"/>
      <c r="S621" s="448" t="e">
        <f>#REF!</f>
        <v>#REF!</v>
      </c>
      <c r="T621" s="305"/>
      <c r="U621" s="490" t="e">
        <f>#REF!</f>
        <v>#REF!</v>
      </c>
      <c r="X621" s="54">
        <f>(G621-D621)/D621</f>
        <v>0</v>
      </c>
      <c r="Y621" s="54"/>
      <c r="AA621" s="496"/>
      <c r="AB621" s="1005"/>
      <c r="AC621" s="496"/>
      <c r="AD621" s="1005"/>
      <c r="AE621" s="496"/>
      <c r="AF621" s="496"/>
      <c r="AG621" s="1005"/>
      <c r="AH621" s="1005"/>
      <c r="AJ621" s="446"/>
      <c r="AK621" s="7"/>
      <c r="AL621" s="7"/>
      <c r="AM621" s="7"/>
      <c r="AN621" s="7"/>
      <c r="AO621" s="7"/>
      <c r="AP621" s="7"/>
    </row>
    <row r="622" spans="1:44">
      <c r="A622" s="305" t="s">
        <v>382</v>
      </c>
      <c r="B622" s="305"/>
      <c r="C622" s="61">
        <f>SUM(C619:C621)</f>
        <v>12913.366666666669</v>
      </c>
      <c r="D622" s="448"/>
      <c r="E622" s="305"/>
      <c r="F622" s="490"/>
      <c r="G622" s="448"/>
      <c r="H622" s="305"/>
      <c r="I622" s="490"/>
      <c r="J622" s="490"/>
      <c r="K622" s="448"/>
      <c r="L622" s="305"/>
      <c r="M622" s="490"/>
      <c r="N622" s="490"/>
      <c r="O622" s="448"/>
      <c r="P622" s="305"/>
      <c r="Q622" s="490"/>
      <c r="R622" s="490"/>
      <c r="S622" s="448"/>
      <c r="T622" s="305"/>
      <c r="U622" s="490"/>
      <c r="AA622" s="496"/>
      <c r="AB622" s="1005"/>
      <c r="AC622" s="496"/>
      <c r="AD622" s="1005"/>
      <c r="AE622" s="496"/>
      <c r="AF622" s="496"/>
      <c r="AG622" s="1005"/>
      <c r="AH622" s="1005"/>
      <c r="AJ622" s="446"/>
      <c r="AK622" s="7"/>
      <c r="AL622" s="7"/>
      <c r="AM622" s="7"/>
      <c r="AN622" s="7"/>
      <c r="AO622" s="7"/>
      <c r="AP622" s="7"/>
    </row>
    <row r="623" spans="1:44">
      <c r="A623" s="305" t="s">
        <v>410</v>
      </c>
      <c r="B623" s="305"/>
      <c r="C623" s="61">
        <f>C665+C703</f>
        <v>1525091.6666666705</v>
      </c>
      <c r="D623" s="448">
        <v>1.83</v>
      </c>
      <c r="E623" s="305" t="s">
        <v>31</v>
      </c>
      <c r="F623" s="490">
        <f>F665+F703</f>
        <v>2790918</v>
      </c>
      <c r="G623" s="448">
        <f>ROUND(D623*(1+$X$636),2)</f>
        <v>1.83</v>
      </c>
      <c r="H623" s="305" t="s">
        <v>31</v>
      </c>
      <c r="I623" s="490">
        <f>I665+I703</f>
        <v>2790918</v>
      </c>
      <c r="J623" s="490"/>
      <c r="K623" s="448" t="e">
        <f>#REF!</f>
        <v>#REF!</v>
      </c>
      <c r="L623" s="305" t="s">
        <v>31</v>
      </c>
      <c r="M623" s="490" t="e">
        <f>#REF!</f>
        <v>#REF!</v>
      </c>
      <c r="N623" s="490"/>
      <c r="O623" s="448" t="e">
        <f>#REF!</f>
        <v>#REF!</v>
      </c>
      <c r="P623" s="305" t="s">
        <v>31</v>
      </c>
      <c r="Q623" s="490" t="e">
        <f>#REF!</f>
        <v>#REF!</v>
      </c>
      <c r="R623" s="490"/>
      <c r="S623" s="448" t="e">
        <f>#REF!</f>
        <v>#REF!</v>
      </c>
      <c r="T623" s="305"/>
      <c r="U623" s="490" t="e">
        <f>#REF!</f>
        <v>#REF!</v>
      </c>
      <c r="W623" s="85" t="s">
        <v>31</v>
      </c>
      <c r="X623" s="54">
        <f>(G623-D623)/D623</f>
        <v>0</v>
      </c>
      <c r="Y623" s="54"/>
      <c r="AA623" s="496"/>
      <c r="AB623" s="1019"/>
      <c r="AC623" s="496"/>
      <c r="AD623" s="1019"/>
      <c r="AE623" s="496"/>
      <c r="AF623" s="496"/>
      <c r="AG623" s="1019"/>
      <c r="AH623" s="1019"/>
      <c r="AJ623" s="7"/>
      <c r="AK623" s="7"/>
      <c r="AL623" s="7"/>
      <c r="AM623" s="7"/>
      <c r="AN623" s="7"/>
      <c r="AO623" s="7"/>
      <c r="AP623" s="7"/>
    </row>
    <row r="624" spans="1:44">
      <c r="A624" s="305" t="s">
        <v>411</v>
      </c>
      <c r="B624" s="305"/>
      <c r="C624" s="61">
        <f>C666+C704</f>
        <v>1976417.4</v>
      </c>
      <c r="D624" s="448">
        <v>1.5</v>
      </c>
      <c r="E624" s="305" t="s">
        <v>31</v>
      </c>
      <c r="F624" s="490">
        <f>F666+F704</f>
        <v>2964626</v>
      </c>
      <c r="G624" s="448">
        <f>ROUND(D624*(1+$X$636),2)</f>
        <v>1.5</v>
      </c>
      <c r="H624" s="305" t="s">
        <v>31</v>
      </c>
      <c r="I624" s="490">
        <f>I666+I704</f>
        <v>2964626</v>
      </c>
      <c r="J624" s="490"/>
      <c r="K624" s="448" t="e">
        <f>#REF!</f>
        <v>#REF!</v>
      </c>
      <c r="L624" s="305" t="s">
        <v>31</v>
      </c>
      <c r="M624" s="490" t="e">
        <f>#REF!</f>
        <v>#REF!</v>
      </c>
      <c r="N624" s="490"/>
      <c r="O624" s="448" t="e">
        <f>#REF!</f>
        <v>#REF!</v>
      </c>
      <c r="P624" s="305" t="s">
        <v>31</v>
      </c>
      <c r="Q624" s="490" t="e">
        <f>#REF!</f>
        <v>#REF!</v>
      </c>
      <c r="R624" s="490"/>
      <c r="S624" s="448" t="e">
        <f>#REF!</f>
        <v>#REF!</v>
      </c>
      <c r="T624" s="305"/>
      <c r="U624" s="490" t="e">
        <f>#REF!</f>
        <v>#REF!</v>
      </c>
      <c r="X624" s="54">
        <f>(G624-D624)/D624</f>
        <v>0</v>
      </c>
      <c r="Y624" s="54"/>
      <c r="AA624" s="496"/>
      <c r="AB624" s="496"/>
      <c r="AJ624" s="7"/>
      <c r="AK624" s="7"/>
      <c r="AL624" s="7"/>
      <c r="AM624" s="7"/>
      <c r="AN624" s="7"/>
      <c r="AO624" s="7"/>
      <c r="AP624" s="7"/>
    </row>
    <row r="625" spans="1:44">
      <c r="A625" s="305" t="s">
        <v>412</v>
      </c>
      <c r="B625" s="305"/>
      <c r="C625" s="61"/>
      <c r="D625" s="448"/>
      <c r="E625" s="305"/>
      <c r="F625" s="490"/>
      <c r="G625" s="448"/>
      <c r="H625" s="305"/>
      <c r="I625" s="490"/>
      <c r="J625" s="490"/>
      <c r="K625" s="448"/>
      <c r="L625" s="305"/>
      <c r="M625" s="490"/>
      <c r="N625" s="490"/>
      <c r="O625" s="448"/>
      <c r="P625" s="305"/>
      <c r="Q625" s="490"/>
      <c r="R625" s="490"/>
      <c r="S625" s="448"/>
      <c r="T625" s="305"/>
      <c r="U625" s="490"/>
      <c r="Z625" s="85"/>
      <c r="AJ625" s="7"/>
      <c r="AK625" s="7"/>
      <c r="AL625" s="7"/>
      <c r="AM625" s="7"/>
      <c r="AN625" s="7"/>
      <c r="AO625" s="7"/>
      <c r="AP625" s="7"/>
    </row>
    <row r="626" spans="1:44">
      <c r="A626" s="305" t="s">
        <v>413</v>
      </c>
      <c r="B626" s="305"/>
      <c r="C626" s="61">
        <f>C668+C706</f>
        <v>2609943.7999999998</v>
      </c>
      <c r="D626" s="448">
        <v>5.6</v>
      </c>
      <c r="E626" s="305"/>
      <c r="F626" s="490">
        <f>F668+F706</f>
        <v>14615686</v>
      </c>
      <c r="G626" s="448">
        <f>ROUND(D626*(1+$X$636),2)</f>
        <v>5.6</v>
      </c>
      <c r="H626" s="305"/>
      <c r="I626" s="490">
        <f>I668+I706</f>
        <v>14615686</v>
      </c>
      <c r="J626" s="490"/>
      <c r="K626" s="448" t="e">
        <f>#REF!</f>
        <v>#REF!</v>
      </c>
      <c r="L626" s="305"/>
      <c r="M626" s="490" t="e">
        <f>#REF!</f>
        <v>#REF!</v>
      </c>
      <c r="N626" s="490"/>
      <c r="O626" s="448" t="e">
        <f>#REF!</f>
        <v>#REF!</v>
      </c>
      <c r="P626" s="305"/>
      <c r="Q626" s="490" t="e">
        <f>#REF!</f>
        <v>#REF!</v>
      </c>
      <c r="R626" s="490"/>
      <c r="S626" s="448" t="e">
        <f>#REF!</f>
        <v>#REF!</v>
      </c>
      <c r="T626" s="305"/>
      <c r="U626" s="490" t="e">
        <f>#REF!</f>
        <v>#REF!</v>
      </c>
      <c r="X626" s="54">
        <f>(G626-D626)/D626</f>
        <v>0</v>
      </c>
      <c r="Y626" s="54"/>
      <c r="Z626" s="85"/>
      <c r="AJ626" s="7"/>
      <c r="AK626" s="7"/>
      <c r="AL626" s="7"/>
      <c r="AM626" s="7"/>
      <c r="AN626" s="7"/>
      <c r="AO626" s="7"/>
      <c r="AP626" s="7"/>
    </row>
    <row r="627" spans="1:44">
      <c r="A627" s="305" t="s">
        <v>429</v>
      </c>
      <c r="B627" s="305"/>
      <c r="C627" s="61">
        <f>C669+C707</f>
        <v>4788.8500000000004</v>
      </c>
      <c r="D627" s="448">
        <f>D626</f>
        <v>5.6</v>
      </c>
      <c r="E627" s="305"/>
      <c r="F627" s="490">
        <f>F669+F707</f>
        <v>26817</v>
      </c>
      <c r="G627" s="448">
        <f>G626</f>
        <v>5.6</v>
      </c>
      <c r="H627" s="305"/>
      <c r="I627" s="490">
        <f>I669+I707</f>
        <v>26817</v>
      </c>
      <c r="J627" s="490"/>
      <c r="K627" s="448" t="e">
        <f>K626</f>
        <v>#REF!</v>
      </c>
      <c r="L627" s="305"/>
      <c r="M627" s="490" t="e">
        <f>#REF!</f>
        <v>#REF!</v>
      </c>
      <c r="N627" s="490"/>
      <c r="O627" s="448" t="e">
        <f>O626</f>
        <v>#REF!</v>
      </c>
      <c r="P627" s="305"/>
      <c r="Q627" s="490" t="e">
        <f>#REF!</f>
        <v>#REF!</v>
      </c>
      <c r="R627" s="490"/>
      <c r="S627" s="448" t="e">
        <f>S626</f>
        <v>#REF!</v>
      </c>
      <c r="T627" s="305"/>
      <c r="U627" s="490" t="e">
        <f>#REF!</f>
        <v>#REF!</v>
      </c>
      <c r="X627" s="54">
        <f>(G627-D627)/D627</f>
        <v>0</v>
      </c>
      <c r="Y627" s="54"/>
      <c r="Z627" s="85"/>
      <c r="AJ627" s="7"/>
      <c r="AK627" s="7"/>
      <c r="AL627" s="7"/>
      <c r="AM627" s="7"/>
      <c r="AN627" s="7"/>
      <c r="AO627" s="7"/>
      <c r="AP627" s="7"/>
    </row>
    <row r="628" spans="1:44">
      <c r="A628" s="305" t="s">
        <v>414</v>
      </c>
      <c r="B628" s="305"/>
      <c r="C628" s="61"/>
      <c r="D628" s="448"/>
      <c r="E628" s="305"/>
      <c r="F628" s="490"/>
      <c r="G628" s="448"/>
      <c r="H628" s="305"/>
      <c r="I628" s="490"/>
      <c r="J628" s="490"/>
      <c r="K628" s="448"/>
      <c r="L628" s="305"/>
      <c r="M628" s="490"/>
      <c r="N628" s="490"/>
      <c r="O628" s="448"/>
      <c r="P628" s="305"/>
      <c r="Q628" s="490"/>
      <c r="R628" s="490"/>
      <c r="S628" s="448"/>
      <c r="T628" s="305"/>
      <c r="U628" s="490"/>
      <c r="Z628" s="85" t="s">
        <v>31</v>
      </c>
      <c r="AJ628" s="7"/>
      <c r="AK628" s="7"/>
      <c r="AL628" s="7"/>
      <c r="AM628" s="7"/>
      <c r="AN628" s="7"/>
      <c r="AO628" s="7"/>
      <c r="AP628" s="7"/>
    </row>
    <row r="629" spans="1:44">
      <c r="A629" s="305" t="s">
        <v>415</v>
      </c>
      <c r="B629" s="61"/>
      <c r="C629" s="61">
        <f>C671+C709</f>
        <v>409227417.07850456</v>
      </c>
      <c r="D629" s="1042">
        <v>5.9119999999999999</v>
      </c>
      <c r="E629" s="305" t="s">
        <v>362</v>
      </c>
      <c r="F629" s="490">
        <f>F671+F709</f>
        <v>24193525</v>
      </c>
      <c r="G629" s="1042">
        <f ca="1">ROUND(D629*(1+X653),3)</f>
        <v>5.91</v>
      </c>
      <c r="H629" s="305" t="s">
        <v>362</v>
      </c>
      <c r="I629" s="490">
        <f ca="1">I671+I709</f>
        <v>24173064</v>
      </c>
      <c r="J629" s="490"/>
      <c r="K629" s="1042" t="e">
        <f>#REF!</f>
        <v>#REF!</v>
      </c>
      <c r="L629" s="305" t="s">
        <v>31</v>
      </c>
      <c r="M629" s="490" t="e">
        <f>#REF!</f>
        <v>#REF!</v>
      </c>
      <c r="N629" s="490"/>
      <c r="O629" s="1042" t="e">
        <f>#REF!</f>
        <v>#REF!</v>
      </c>
      <c r="P629" s="305" t="s">
        <v>362</v>
      </c>
      <c r="Q629" s="490" t="e">
        <f>#REF!</f>
        <v>#REF!</v>
      </c>
      <c r="R629" s="490"/>
      <c r="S629" s="1042" t="e">
        <f>#REF!</f>
        <v>#REF!</v>
      </c>
      <c r="T629" s="305" t="s">
        <v>362</v>
      </c>
      <c r="U629" s="490" t="e">
        <f>#REF!</f>
        <v>#REF!</v>
      </c>
      <c r="X629" s="54">
        <f ca="1">((G629+G632)-D629)/D629</f>
        <v>-3.3829499323406286E-4</v>
      </c>
      <c r="Y629" s="54"/>
      <c r="Z629" s="85"/>
      <c r="AJ629" s="7"/>
      <c r="AK629" s="7"/>
      <c r="AL629" s="7"/>
      <c r="AM629" s="7"/>
      <c r="AN629" s="7"/>
      <c r="AO629" s="7"/>
      <c r="AP629" s="7"/>
    </row>
    <row r="630" spans="1:44">
      <c r="A630" s="305" t="s">
        <v>387</v>
      </c>
      <c r="B630" s="61"/>
      <c r="C630" s="61">
        <f>C672+C710</f>
        <v>531898152.96856904</v>
      </c>
      <c r="D630" s="1042">
        <v>5.41</v>
      </c>
      <c r="E630" s="305" t="s">
        <v>362</v>
      </c>
      <c r="F630" s="490">
        <f>F672+F710</f>
        <v>28775691</v>
      </c>
      <c r="G630" s="1042">
        <f ca="1">ROUND(G629/D629*D630,3)-0.002</f>
        <v>5.4060000000000006</v>
      </c>
      <c r="H630" s="305" t="s">
        <v>362</v>
      </c>
      <c r="I630" s="490">
        <f ca="1">I672+I710</f>
        <v>28738457</v>
      </c>
      <c r="J630" s="490"/>
      <c r="K630" s="1042" t="e">
        <f>#REF!</f>
        <v>#REF!</v>
      </c>
      <c r="L630" s="305" t="s">
        <v>31</v>
      </c>
      <c r="M630" s="490" t="e">
        <f>#REF!</f>
        <v>#REF!</v>
      </c>
      <c r="N630" s="490"/>
      <c r="O630" s="1042" t="e">
        <f>#REF!</f>
        <v>#REF!</v>
      </c>
      <c r="P630" s="305" t="s">
        <v>362</v>
      </c>
      <c r="Q630" s="490" t="e">
        <f>#REF!</f>
        <v>#REF!</v>
      </c>
      <c r="R630" s="490"/>
      <c r="S630" s="1042" t="e">
        <f>#REF!</f>
        <v>#REF!</v>
      </c>
      <c r="T630" s="305" t="s">
        <v>362</v>
      </c>
      <c r="U630" s="490" t="e">
        <f>#REF!</f>
        <v>#REF!</v>
      </c>
      <c r="X630" s="54">
        <f ca="1">((G630+G633)-D630)/D630</f>
        <v>-7.39371534195852E-4</v>
      </c>
      <c r="Y630" s="54"/>
      <c r="Z630" s="85"/>
      <c r="AK630" s="7"/>
      <c r="AL630" s="7"/>
      <c r="AM630" s="7"/>
      <c r="AN630" s="7"/>
      <c r="AO630" s="7"/>
      <c r="AP630" s="7"/>
    </row>
    <row r="631" spans="1:44">
      <c r="A631" s="305" t="s">
        <v>388</v>
      </c>
      <c r="B631" s="305"/>
      <c r="C631" s="61">
        <f>C673+C711</f>
        <v>440923.56666666706</v>
      </c>
      <c r="D631" s="1039">
        <v>58</v>
      </c>
      <c r="E631" s="305" t="s">
        <v>362</v>
      </c>
      <c r="F631" s="490">
        <f>F673+F711</f>
        <v>255735</v>
      </c>
      <c r="G631" s="1039">
        <f>ROUND(D631*(1+$X$636),0)</f>
        <v>58</v>
      </c>
      <c r="H631" s="305" t="s">
        <v>362</v>
      </c>
      <c r="I631" s="490">
        <f>I673+I711</f>
        <v>255735</v>
      </c>
      <c r="J631" s="490"/>
      <c r="K631" s="1039" t="e">
        <f>#REF!</f>
        <v>#REF!</v>
      </c>
      <c r="L631" s="305" t="s">
        <v>31</v>
      </c>
      <c r="M631" s="490" t="e">
        <f>#REF!</f>
        <v>#REF!</v>
      </c>
      <c r="N631" s="490"/>
      <c r="O631" s="1039" t="e">
        <f>#REF!</f>
        <v>#REF!</v>
      </c>
      <c r="P631" s="305" t="s">
        <v>362</v>
      </c>
      <c r="Q631" s="490" t="e">
        <f>#REF!</f>
        <v>#REF!</v>
      </c>
      <c r="R631" s="490"/>
      <c r="S631" s="1039" t="e">
        <f>#REF!</f>
        <v>#REF!</v>
      </c>
      <c r="T631" s="305" t="s">
        <v>362</v>
      </c>
      <c r="U631" s="490" t="e">
        <f>#REF!</f>
        <v>#REF!</v>
      </c>
      <c r="X631" s="54">
        <f>(G631-D631)/D631</f>
        <v>0</v>
      </c>
      <c r="Y631" s="54"/>
      <c r="Z631" s="85"/>
      <c r="AK631" s="7"/>
      <c r="AL631" s="7"/>
      <c r="AM631" s="7"/>
      <c r="AN631" s="7"/>
      <c r="AO631" s="7"/>
      <c r="AP631" s="7"/>
    </row>
    <row r="632" spans="1:44" s="588" customFormat="1" hidden="1">
      <c r="A632" s="588" t="s">
        <v>766</v>
      </c>
      <c r="C632" s="604">
        <f>C629</f>
        <v>409227417.07850456</v>
      </c>
      <c r="D632" s="990">
        <v>0</v>
      </c>
      <c r="E632" s="635"/>
      <c r="F632" s="616"/>
      <c r="G632" s="1042">
        <v>0</v>
      </c>
      <c r="H632" s="616" t="s">
        <v>362</v>
      </c>
      <c r="I632" s="616">
        <f>I674+I712</f>
        <v>0</v>
      </c>
      <c r="J632" s="616"/>
      <c r="K632" s="1042" t="e">
        <f>#REF!</f>
        <v>#REF!</v>
      </c>
      <c r="L632" s="616" t="s">
        <v>31</v>
      </c>
      <c r="M632" s="490" t="e">
        <f>#REF!</f>
        <v>#REF!</v>
      </c>
      <c r="N632" s="616"/>
      <c r="O632" s="1042" t="e">
        <f>#REF!</f>
        <v>#REF!</v>
      </c>
      <c r="P632" s="616" t="s">
        <v>31</v>
      </c>
      <c r="Q632" s="490" t="e">
        <f>#REF!</f>
        <v>#REF!</v>
      </c>
      <c r="R632" s="616"/>
      <c r="S632" s="1042" t="e">
        <f>#REF!</f>
        <v>#REF!</v>
      </c>
      <c r="T632" s="616" t="s">
        <v>362</v>
      </c>
      <c r="U632" s="490" t="e">
        <f>#REF!</f>
        <v>#REF!</v>
      </c>
      <c r="V632" s="988"/>
      <c r="W632" s="450"/>
      <c r="Z632" s="989"/>
      <c r="AA632" s="989"/>
      <c r="AF632" s="635"/>
      <c r="AG632" s="635"/>
      <c r="AH632" s="635"/>
      <c r="AI632" s="635"/>
      <c r="AJ632" s="635"/>
      <c r="AK632" s="635"/>
      <c r="AL632" s="635"/>
      <c r="AM632" s="635"/>
      <c r="AN632" s="635"/>
      <c r="AO632" s="635"/>
      <c r="AP632" s="635"/>
      <c r="AR632" s="988"/>
    </row>
    <row r="633" spans="1:44" s="588" customFormat="1" hidden="1">
      <c r="A633" s="588" t="s">
        <v>767</v>
      </c>
      <c r="C633" s="604">
        <f>C630</f>
        <v>531898152.96856904</v>
      </c>
      <c r="D633" s="990">
        <v>0</v>
      </c>
      <c r="E633" s="635"/>
      <c r="F633" s="616"/>
      <c r="G633" s="1042">
        <v>0</v>
      </c>
      <c r="H633" s="616" t="s">
        <v>362</v>
      </c>
      <c r="I633" s="616">
        <f>I675+I713</f>
        <v>0</v>
      </c>
      <c r="J633" s="616"/>
      <c r="K633" s="1042" t="e">
        <f>#REF!</f>
        <v>#REF!</v>
      </c>
      <c r="L633" s="616" t="s">
        <v>31</v>
      </c>
      <c r="M633" s="490" t="e">
        <f>#REF!</f>
        <v>#REF!</v>
      </c>
      <c r="N633" s="616"/>
      <c r="O633" s="1042" t="e">
        <f>#REF!</f>
        <v>#REF!</v>
      </c>
      <c r="P633" s="616" t="s">
        <v>31</v>
      </c>
      <c r="Q633" s="490" t="e">
        <f>#REF!</f>
        <v>#REF!</v>
      </c>
      <c r="R633" s="616"/>
      <c r="S633" s="1042" t="e">
        <f>#REF!</f>
        <v>#REF!</v>
      </c>
      <c r="T633" s="616" t="s">
        <v>362</v>
      </c>
      <c r="U633" s="490" t="e">
        <f>#REF!</f>
        <v>#REF!</v>
      </c>
      <c r="V633" s="588" t="s">
        <v>31</v>
      </c>
      <c r="W633" s="450"/>
      <c r="Z633" s="989"/>
      <c r="AA633" s="989"/>
      <c r="AF633" s="635"/>
      <c r="AG633" s="635"/>
      <c r="AH633" s="635"/>
      <c r="AI633" s="635"/>
      <c r="AJ633" s="635"/>
      <c r="AK633" s="635"/>
      <c r="AL633" s="635"/>
      <c r="AM633" s="635"/>
      <c r="AN633" s="635"/>
      <c r="AO633" s="635"/>
      <c r="AP633" s="635"/>
      <c r="AR633" s="988"/>
    </row>
    <row r="634" spans="1:44" s="588" customFormat="1" hidden="1">
      <c r="A634" s="588" t="s">
        <v>758</v>
      </c>
      <c r="C634" s="604"/>
      <c r="D634" s="1042">
        <f>D629</f>
        <v>5.9119999999999999</v>
      </c>
      <c r="E634" s="592" t="s">
        <v>362</v>
      </c>
      <c r="F634" s="616"/>
      <c r="G634" s="1042">
        <f ca="1">G629+G632</f>
        <v>5.91</v>
      </c>
      <c r="H634" s="592" t="s">
        <v>362</v>
      </c>
      <c r="I634" s="616"/>
      <c r="J634" s="616"/>
      <c r="K634" s="1042" t="e">
        <f>K629+K632</f>
        <v>#REF!</v>
      </c>
      <c r="L634" s="592" t="s">
        <v>31</v>
      </c>
      <c r="M634" s="616"/>
      <c r="N634" s="616"/>
      <c r="O634" s="1042" t="e">
        <f>O629+O632</f>
        <v>#REF!</v>
      </c>
      <c r="P634" s="592" t="s">
        <v>362</v>
      </c>
      <c r="Q634" s="616"/>
      <c r="R634" s="616"/>
      <c r="S634" s="1042" t="e">
        <f>S629+S632</f>
        <v>#REF!</v>
      </c>
      <c r="T634" s="592" t="s">
        <v>362</v>
      </c>
      <c r="U634" s="616"/>
      <c r="W634" s="450"/>
      <c r="X634" s="54">
        <f ca="1">(G634-D634)/D634</f>
        <v>-3.3829499323406286E-4</v>
      </c>
      <c r="Z634" s="989"/>
      <c r="AA634" s="989"/>
      <c r="AF634" s="635"/>
      <c r="AG634" s="635"/>
      <c r="AH634" s="635"/>
      <c r="AI634" s="635"/>
      <c r="AJ634" s="635"/>
      <c r="AK634" s="635"/>
      <c r="AL634" s="635"/>
      <c r="AM634" s="635"/>
      <c r="AN634" s="635"/>
      <c r="AO634" s="635"/>
      <c r="AP634" s="635"/>
      <c r="AR634" s="988"/>
    </row>
    <row r="635" spans="1:44" s="588" customFormat="1" hidden="1">
      <c r="A635" s="588" t="s">
        <v>759</v>
      </c>
      <c r="C635" s="604"/>
      <c r="D635" s="1042">
        <f>D630</f>
        <v>5.41</v>
      </c>
      <c r="E635" s="592" t="s">
        <v>362</v>
      </c>
      <c r="F635" s="616"/>
      <c r="G635" s="1042">
        <f ca="1">G630+G633</f>
        <v>5.4060000000000006</v>
      </c>
      <c r="H635" s="592" t="s">
        <v>362</v>
      </c>
      <c r="I635" s="616"/>
      <c r="J635" s="616"/>
      <c r="K635" s="1042" t="e">
        <f>K630+K633</f>
        <v>#REF!</v>
      </c>
      <c r="L635" s="592" t="s">
        <v>31</v>
      </c>
      <c r="M635" s="616"/>
      <c r="N635" s="616"/>
      <c r="O635" s="1042" t="e">
        <f>O630+O633</f>
        <v>#REF!</v>
      </c>
      <c r="P635" s="592" t="s">
        <v>362</v>
      </c>
      <c r="Q635" s="616"/>
      <c r="R635" s="616"/>
      <c r="S635" s="1042" t="e">
        <f>S630+S633</f>
        <v>#REF!</v>
      </c>
      <c r="T635" s="592" t="s">
        <v>362</v>
      </c>
      <c r="U635" s="616"/>
      <c r="W635" s="450"/>
      <c r="X635" s="54">
        <f ca="1">(G635-D635)/D635</f>
        <v>-7.39371534195852E-4</v>
      </c>
      <c r="Z635" s="989"/>
      <c r="AA635" s="989"/>
      <c r="AF635" s="635"/>
      <c r="AG635" s="635"/>
      <c r="AH635" s="635"/>
      <c r="AI635" s="635"/>
      <c r="AJ635" s="635"/>
      <c r="AK635" s="635"/>
      <c r="AL635" s="635"/>
      <c r="AM635" s="635"/>
      <c r="AN635" s="635"/>
      <c r="AO635" s="635"/>
      <c r="AP635" s="635"/>
      <c r="AR635" s="988"/>
    </row>
    <row r="636" spans="1:44">
      <c r="A636" s="244" t="s">
        <v>389</v>
      </c>
      <c r="B636" s="305"/>
      <c r="C636" s="61"/>
      <c r="D636" s="1023">
        <v>-0.01</v>
      </c>
      <c r="E636" s="305"/>
      <c r="F636" s="490"/>
      <c r="G636" s="1023">
        <v>-0.01</v>
      </c>
      <c r="H636" s="305"/>
      <c r="I636" s="490"/>
      <c r="J636" s="490"/>
      <c r="K636" s="1023">
        <v>-0.01</v>
      </c>
      <c r="L636" s="305"/>
      <c r="M636" s="490"/>
      <c r="N636" s="490"/>
      <c r="O636" s="1023">
        <v>-0.01</v>
      </c>
      <c r="P636" s="305"/>
      <c r="Q636" s="490"/>
      <c r="R636" s="490"/>
      <c r="S636" s="1023">
        <v>-0.01</v>
      </c>
      <c r="T636" s="305"/>
      <c r="U636" s="490"/>
      <c r="AK636" s="7"/>
      <c r="AL636" s="7"/>
      <c r="AM636" s="7"/>
      <c r="AN636" s="7"/>
      <c r="AO636" s="7"/>
      <c r="AP636" s="7"/>
    </row>
    <row r="637" spans="1:44">
      <c r="A637" s="305" t="s">
        <v>409</v>
      </c>
      <c r="B637" s="305"/>
      <c r="C637" s="61">
        <f t="shared" ref="C637:C650" si="141">C679+C717</f>
        <v>60</v>
      </c>
      <c r="D637" s="448">
        <f>D619</f>
        <v>268</v>
      </c>
      <c r="E637" s="305"/>
      <c r="F637" s="490">
        <f t="shared" ref="F637:F648" si="142">F677+F715</f>
        <v>0</v>
      </c>
      <c r="G637" s="448">
        <f>G619</f>
        <v>264</v>
      </c>
      <c r="H637" s="305"/>
      <c r="I637" s="490">
        <f t="shared" ref="I637:I651" si="143">I677+I715</f>
        <v>0</v>
      </c>
      <c r="J637" s="490"/>
      <c r="K637" s="448" t="e">
        <f>K619</f>
        <v>#REF!</v>
      </c>
      <c r="L637" s="305"/>
      <c r="M637" s="490" t="e">
        <f>#REF!</f>
        <v>#REF!</v>
      </c>
      <c r="N637" s="490"/>
      <c r="O637" s="448" t="e">
        <f>O619</f>
        <v>#REF!</v>
      </c>
      <c r="P637" s="305"/>
      <c r="Q637" s="490" t="e">
        <f>#REF!</f>
        <v>#REF!</v>
      </c>
      <c r="R637" s="490"/>
      <c r="S637" s="448" t="e">
        <f>S619</f>
        <v>#REF!</v>
      </c>
      <c r="T637" s="305"/>
      <c r="U637" s="490" t="e">
        <f>#REF!</f>
        <v>#REF!</v>
      </c>
      <c r="W637" s="85" t="s">
        <v>31</v>
      </c>
      <c r="AK637" s="7"/>
      <c r="AL637" s="7"/>
      <c r="AM637" s="7"/>
      <c r="AN637" s="7"/>
      <c r="AO637" s="7"/>
      <c r="AP637" s="7"/>
    </row>
    <row r="638" spans="1:44">
      <c r="A638" s="305" t="s">
        <v>410</v>
      </c>
      <c r="B638" s="305"/>
      <c r="C638" s="61">
        <f t="shared" si="141"/>
        <v>5896</v>
      </c>
      <c r="D638" s="448">
        <f t="shared" ref="D638:D639" si="144">D620</f>
        <v>100</v>
      </c>
      <c r="E638" s="305"/>
      <c r="F638" s="490">
        <f t="shared" si="142"/>
        <v>-51</v>
      </c>
      <c r="G638" s="448">
        <f>G620</f>
        <v>100</v>
      </c>
      <c r="H638" s="305"/>
      <c r="I638" s="490">
        <f t="shared" si="143"/>
        <v>-51</v>
      </c>
      <c r="J638" s="490"/>
      <c r="K638" s="448" t="e">
        <f>K620</f>
        <v>#REF!</v>
      </c>
      <c r="L638" s="305"/>
      <c r="M638" s="490" t="e">
        <f>#REF!</f>
        <v>#REF!</v>
      </c>
      <c r="N638" s="490"/>
      <c r="O638" s="448" t="e">
        <f>O620</f>
        <v>#REF!</v>
      </c>
      <c r="P638" s="305"/>
      <c r="Q638" s="490" t="e">
        <f>#REF!</f>
        <v>#REF!</v>
      </c>
      <c r="R638" s="490"/>
      <c r="S638" s="448" t="e">
        <f>S620</f>
        <v>#REF!</v>
      </c>
      <c r="T638" s="305"/>
      <c r="U638" s="490" t="e">
        <f>#REF!</f>
        <v>#REF!</v>
      </c>
      <c r="W638" s="712"/>
      <c r="AJ638" s="7"/>
      <c r="AK638" s="7"/>
      <c r="AL638" s="7"/>
      <c r="AM638" s="7"/>
      <c r="AN638" s="7"/>
      <c r="AO638" s="7"/>
      <c r="AP638" s="7"/>
    </row>
    <row r="639" spans="1:44">
      <c r="A639" s="305" t="s">
        <v>411</v>
      </c>
      <c r="B639" s="305"/>
      <c r="C639" s="61">
        <f t="shared" si="141"/>
        <v>39349</v>
      </c>
      <c r="D639" s="448">
        <f t="shared" si="144"/>
        <v>200</v>
      </c>
      <c r="E639" s="1004"/>
      <c r="F639" s="490">
        <f t="shared" si="142"/>
        <v>-120</v>
      </c>
      <c r="G639" s="448">
        <f>G621</f>
        <v>200</v>
      </c>
      <c r="H639" s="1004"/>
      <c r="I639" s="490">
        <f t="shared" si="143"/>
        <v>-120</v>
      </c>
      <c r="J639" s="490"/>
      <c r="K639" s="448" t="e">
        <f>K621</f>
        <v>#REF!</v>
      </c>
      <c r="L639" s="1004"/>
      <c r="M639" s="490" t="e">
        <f>#REF!</f>
        <v>#REF!</v>
      </c>
      <c r="N639" s="490"/>
      <c r="O639" s="448" t="e">
        <f>O621</f>
        <v>#REF!</v>
      </c>
      <c r="P639" s="1004"/>
      <c r="Q639" s="490" t="e">
        <f>#REF!</f>
        <v>#REF!</v>
      </c>
      <c r="R639" s="490"/>
      <c r="S639" s="448" t="e">
        <f>S621</f>
        <v>#REF!</v>
      </c>
      <c r="T639" s="1004"/>
      <c r="U639" s="490" t="e">
        <f>#REF!</f>
        <v>#REF!</v>
      </c>
      <c r="W639" s="712" t="s">
        <v>31</v>
      </c>
      <c r="AJ639" s="7"/>
      <c r="AK639" s="7"/>
      <c r="AL639" s="7"/>
      <c r="AM639" s="7"/>
      <c r="AN639" s="7"/>
      <c r="AO639" s="7"/>
      <c r="AP639" s="7"/>
    </row>
    <row r="640" spans="1:44">
      <c r="A640" s="305" t="s">
        <v>410</v>
      </c>
      <c r="B640" s="305"/>
      <c r="C640" s="61">
        <f t="shared" si="141"/>
        <v>27373</v>
      </c>
      <c r="D640" s="448">
        <f>D623</f>
        <v>1.83</v>
      </c>
      <c r="E640" s="305"/>
      <c r="F640" s="490">
        <f t="shared" si="142"/>
        <v>-108</v>
      </c>
      <c r="G640" s="448">
        <f>G623</f>
        <v>1.83</v>
      </c>
      <c r="H640" s="305"/>
      <c r="I640" s="490">
        <f t="shared" si="143"/>
        <v>-108</v>
      </c>
      <c r="J640" s="490"/>
      <c r="K640" s="448" t="e">
        <f>K623</f>
        <v>#REF!</v>
      </c>
      <c r="L640" s="305"/>
      <c r="M640" s="490" t="e">
        <f>#REF!</f>
        <v>#REF!</v>
      </c>
      <c r="N640" s="490"/>
      <c r="O640" s="448" t="e">
        <f>O623</f>
        <v>#REF!</v>
      </c>
      <c r="P640" s="305"/>
      <c r="Q640" s="490" t="e">
        <f>#REF!</f>
        <v>#REF!</v>
      </c>
      <c r="R640" s="490"/>
      <c r="S640" s="448" t="e">
        <f>S623</f>
        <v>#REF!</v>
      </c>
      <c r="T640" s="305"/>
      <c r="U640" s="490" t="e">
        <f>#REF!</f>
        <v>#REF!</v>
      </c>
      <c r="AJ640" s="7"/>
      <c r="AK640" s="7"/>
      <c r="AL640" s="7"/>
      <c r="AM640" s="7"/>
      <c r="AN640" s="7"/>
      <c r="AO640" s="7"/>
      <c r="AP640" s="7"/>
    </row>
    <row r="641" spans="1:44">
      <c r="A641" s="305" t="s">
        <v>411</v>
      </c>
      <c r="B641" s="305"/>
      <c r="C641" s="61">
        <f t="shared" si="141"/>
        <v>736.66666666666697</v>
      </c>
      <c r="D641" s="448">
        <f>D624</f>
        <v>1.5</v>
      </c>
      <c r="E641" s="305"/>
      <c r="F641" s="490">
        <f t="shared" si="142"/>
        <v>-590</v>
      </c>
      <c r="G641" s="448">
        <f>G624</f>
        <v>1.5</v>
      </c>
      <c r="H641" s="305"/>
      <c r="I641" s="490">
        <f t="shared" si="143"/>
        <v>-590</v>
      </c>
      <c r="J641" s="490"/>
      <c r="K641" s="448" t="e">
        <f>K624</f>
        <v>#REF!</v>
      </c>
      <c r="L641" s="305"/>
      <c r="M641" s="490" t="e">
        <f>#REF!</f>
        <v>#REF!</v>
      </c>
      <c r="N641" s="490"/>
      <c r="O641" s="448" t="e">
        <f>O624</f>
        <v>#REF!</v>
      </c>
      <c r="P641" s="305"/>
      <c r="Q641" s="490" t="e">
        <f>#REF!</f>
        <v>#REF!</v>
      </c>
      <c r="R641" s="490"/>
      <c r="S641" s="448" t="e">
        <f>S624</f>
        <v>#REF!</v>
      </c>
      <c r="T641" s="305"/>
      <c r="U641" s="490" t="e">
        <f>#REF!</f>
        <v>#REF!</v>
      </c>
      <c r="W641" s="85" t="s">
        <v>31</v>
      </c>
      <c r="AJ641" s="7"/>
      <c r="AK641" s="7"/>
      <c r="AL641" s="7"/>
      <c r="AM641" s="7"/>
      <c r="AN641" s="7"/>
      <c r="AO641" s="7"/>
      <c r="AP641" s="7"/>
    </row>
    <row r="642" spans="1:44">
      <c r="A642" s="305" t="s">
        <v>413</v>
      </c>
      <c r="B642" s="305"/>
      <c r="C642" s="61">
        <f t="shared" si="141"/>
        <v>3473060</v>
      </c>
      <c r="D642" s="448">
        <f>D626</f>
        <v>5.6</v>
      </c>
      <c r="E642" s="305"/>
      <c r="F642" s="490">
        <f t="shared" si="142"/>
        <v>-1533</v>
      </c>
      <c r="G642" s="448">
        <f>G626</f>
        <v>5.6</v>
      </c>
      <c r="H642" s="305"/>
      <c r="I642" s="490">
        <f t="shared" si="143"/>
        <v>-1533</v>
      </c>
      <c r="J642" s="490"/>
      <c r="K642" s="448" t="e">
        <f>K626</f>
        <v>#REF!</v>
      </c>
      <c r="L642" s="305"/>
      <c r="M642" s="490" t="e">
        <f>#REF!</f>
        <v>#REF!</v>
      </c>
      <c r="N642" s="490"/>
      <c r="O642" s="448" t="e">
        <f>O626</f>
        <v>#REF!</v>
      </c>
      <c r="P642" s="305"/>
      <c r="Q642" s="490" t="e">
        <f>#REF!</f>
        <v>#REF!</v>
      </c>
      <c r="R642" s="490"/>
      <c r="S642" s="448" t="e">
        <f>S626</f>
        <v>#REF!</v>
      </c>
      <c r="T642" s="305"/>
      <c r="U642" s="490" t="e">
        <f>#REF!</f>
        <v>#REF!</v>
      </c>
      <c r="AJ642" s="7"/>
      <c r="AK642" s="7"/>
      <c r="AL642" s="7"/>
      <c r="AM642" s="7"/>
      <c r="AN642" s="7"/>
      <c r="AO642" s="7"/>
      <c r="AP642" s="7"/>
    </row>
    <row r="643" spans="1:44">
      <c r="A643" s="305" t="s">
        <v>429</v>
      </c>
      <c r="B643" s="305"/>
      <c r="C643" s="61">
        <f t="shared" si="141"/>
        <v>6930058</v>
      </c>
      <c r="D643" s="448">
        <f>D642</f>
        <v>5.6</v>
      </c>
      <c r="E643" s="305"/>
      <c r="F643" s="490">
        <f t="shared" si="142"/>
        <v>-41</v>
      </c>
      <c r="G643" s="448">
        <f>G627</f>
        <v>5.6</v>
      </c>
      <c r="H643" s="305"/>
      <c r="I643" s="490">
        <f t="shared" si="143"/>
        <v>-41</v>
      </c>
      <c r="J643" s="490"/>
      <c r="K643" s="448" t="e">
        <f>K627</f>
        <v>#REF!</v>
      </c>
      <c r="L643" s="305"/>
      <c r="M643" s="490" t="e">
        <f>#REF!</f>
        <v>#REF!</v>
      </c>
      <c r="N643" s="490"/>
      <c r="O643" s="448" t="e">
        <f>O627</f>
        <v>#REF!</v>
      </c>
      <c r="P643" s="305"/>
      <c r="Q643" s="490" t="e">
        <f>#REF!</f>
        <v>#REF!</v>
      </c>
      <c r="R643" s="490"/>
      <c r="S643" s="448" t="e">
        <f>S627</f>
        <v>#REF!</v>
      </c>
      <c r="T643" s="305"/>
      <c r="U643" s="490" t="e">
        <f>#REF!</f>
        <v>#REF!</v>
      </c>
      <c r="AJ643" s="7"/>
      <c r="AK643" s="7"/>
      <c r="AL643" s="7"/>
      <c r="AM643" s="7"/>
      <c r="AN643" s="7"/>
      <c r="AO643" s="7"/>
      <c r="AP643" s="7"/>
    </row>
    <row r="644" spans="1:44">
      <c r="A644" s="305" t="s">
        <v>415</v>
      </c>
      <c r="B644" s="305"/>
      <c r="C644" s="61">
        <f t="shared" si="141"/>
        <v>6802</v>
      </c>
      <c r="D644" s="1006">
        <f>D629</f>
        <v>5.9119999999999999</v>
      </c>
      <c r="E644" s="305" t="s">
        <v>362</v>
      </c>
      <c r="F644" s="490">
        <f t="shared" si="142"/>
        <v>-2053</v>
      </c>
      <c r="G644" s="1006">
        <f ca="1">G629</f>
        <v>5.91</v>
      </c>
      <c r="H644" s="305" t="s">
        <v>362</v>
      </c>
      <c r="I644" s="490">
        <f t="shared" ca="1" si="143"/>
        <v>-2052</v>
      </c>
      <c r="J644" s="490"/>
      <c r="K644" s="1006" t="e">
        <f>K629</f>
        <v>#REF!</v>
      </c>
      <c r="L644" s="305" t="s">
        <v>31</v>
      </c>
      <c r="M644" s="490" t="e">
        <f>#REF!</f>
        <v>#REF!</v>
      </c>
      <c r="N644" s="490"/>
      <c r="O644" s="1006" t="e">
        <f>O629</f>
        <v>#REF!</v>
      </c>
      <c r="P644" s="305" t="s">
        <v>362</v>
      </c>
      <c r="Q644" s="490" t="e">
        <f>#REF!</f>
        <v>#REF!</v>
      </c>
      <c r="R644" s="490"/>
      <c r="S644" s="1006" t="e">
        <f>S629</f>
        <v>#REF!</v>
      </c>
      <c r="T644" s="305" t="s">
        <v>362</v>
      </c>
      <c r="U644" s="490" t="e">
        <f>#REF!</f>
        <v>#REF!</v>
      </c>
      <c r="AJ644" s="7"/>
      <c r="AK644" s="7"/>
      <c r="AL644" s="7"/>
      <c r="AM644" s="7"/>
      <c r="AN644" s="7"/>
      <c r="AO644" s="7"/>
      <c r="AP644" s="7"/>
    </row>
    <row r="645" spans="1:44">
      <c r="A645" s="305" t="s">
        <v>387</v>
      </c>
      <c r="B645" s="305"/>
      <c r="C645" s="61">
        <f t="shared" si="141"/>
        <v>104</v>
      </c>
      <c r="D645" s="1006">
        <f>D630</f>
        <v>5.41</v>
      </c>
      <c r="E645" s="305" t="s">
        <v>362</v>
      </c>
      <c r="F645" s="490">
        <f t="shared" si="142"/>
        <v>-3749</v>
      </c>
      <c r="G645" s="1006">
        <f ca="1">G630</f>
        <v>5.4060000000000006</v>
      </c>
      <c r="H645" s="305" t="s">
        <v>362</v>
      </c>
      <c r="I645" s="490">
        <f t="shared" ca="1" si="143"/>
        <v>-3744</v>
      </c>
      <c r="J645" s="490"/>
      <c r="K645" s="1006" t="e">
        <f>K630</f>
        <v>#REF!</v>
      </c>
      <c r="L645" s="305" t="s">
        <v>31</v>
      </c>
      <c r="M645" s="490" t="e">
        <f>#REF!</f>
        <v>#REF!</v>
      </c>
      <c r="N645" s="490"/>
      <c r="O645" s="1006" t="e">
        <f>O630</f>
        <v>#REF!</v>
      </c>
      <c r="P645" s="305" t="s">
        <v>362</v>
      </c>
      <c r="Q645" s="490" t="e">
        <f>#REF!</f>
        <v>#REF!</v>
      </c>
      <c r="R645" s="490"/>
      <c r="S645" s="1006" t="e">
        <f>S630</f>
        <v>#REF!</v>
      </c>
      <c r="T645" s="305" t="s">
        <v>362</v>
      </c>
      <c r="U645" s="490" t="e">
        <f>#REF!</f>
        <v>#REF!</v>
      </c>
      <c r="AJ645" s="7"/>
      <c r="AK645" s="7"/>
      <c r="AL645" s="7"/>
      <c r="AM645" s="7"/>
      <c r="AN645" s="7"/>
      <c r="AO645" s="7"/>
      <c r="AP645" s="7"/>
    </row>
    <row r="646" spans="1:44">
      <c r="A646" s="305" t="s">
        <v>388</v>
      </c>
      <c r="B646" s="305"/>
      <c r="C646" s="61">
        <f t="shared" si="141"/>
        <v>46478</v>
      </c>
      <c r="D646" s="1021">
        <f>D631</f>
        <v>58</v>
      </c>
      <c r="E646" s="305" t="s">
        <v>362</v>
      </c>
      <c r="F646" s="490">
        <f t="shared" si="142"/>
        <v>-39</v>
      </c>
      <c r="G646" s="1021">
        <f>G631</f>
        <v>58</v>
      </c>
      <c r="H646" s="305" t="s">
        <v>362</v>
      </c>
      <c r="I646" s="490">
        <f t="shared" si="143"/>
        <v>-39</v>
      </c>
      <c r="J646" s="490"/>
      <c r="K646" s="1021" t="e">
        <f>K631</f>
        <v>#REF!</v>
      </c>
      <c r="L646" s="305" t="s">
        <v>31</v>
      </c>
      <c r="M646" s="490" t="e">
        <f>#REF!</f>
        <v>#REF!</v>
      </c>
      <c r="N646" s="490"/>
      <c r="O646" s="1021" t="e">
        <f>O631</f>
        <v>#REF!</v>
      </c>
      <c r="P646" s="305" t="s">
        <v>362</v>
      </c>
      <c r="Q646" s="490" t="e">
        <f>#REF!</f>
        <v>#REF!</v>
      </c>
      <c r="R646" s="490"/>
      <c r="S646" s="1021" t="e">
        <f>S631</f>
        <v>#REF!</v>
      </c>
      <c r="T646" s="305" t="s">
        <v>362</v>
      </c>
      <c r="U646" s="490" t="e">
        <f>#REF!</f>
        <v>#REF!</v>
      </c>
      <c r="AJ646" s="7"/>
      <c r="AK646" s="7"/>
      <c r="AL646" s="7"/>
      <c r="AM646" s="7"/>
      <c r="AN646" s="7"/>
      <c r="AO646" s="7"/>
      <c r="AP646" s="7"/>
    </row>
    <row r="647" spans="1:44">
      <c r="A647" s="305" t="s">
        <v>431</v>
      </c>
      <c r="B647" s="305"/>
      <c r="C647" s="61">
        <f t="shared" si="141"/>
        <v>3473060</v>
      </c>
      <c r="D647" s="448">
        <v>60</v>
      </c>
      <c r="E647" s="305"/>
      <c r="F647" s="490">
        <f t="shared" si="142"/>
        <v>6240</v>
      </c>
      <c r="G647" s="448">
        <f>D647</f>
        <v>60</v>
      </c>
      <c r="H647" s="305"/>
      <c r="I647" s="490">
        <f t="shared" si="143"/>
        <v>6240</v>
      </c>
      <c r="J647" s="490"/>
      <c r="K647" s="448" t="e">
        <f>#REF!</f>
        <v>#REF!</v>
      </c>
      <c r="L647" s="305"/>
      <c r="M647" s="490" t="e">
        <f>#REF!</f>
        <v>#REF!</v>
      </c>
      <c r="N647" s="490"/>
      <c r="O647" s="448" t="e">
        <f>#REF!</f>
        <v>#REF!</v>
      </c>
      <c r="P647" s="305"/>
      <c r="Q647" s="490" t="e">
        <f>#REF!</f>
        <v>#REF!</v>
      </c>
      <c r="R647" s="490"/>
      <c r="S647" s="448" t="e">
        <f>#REF!</f>
        <v>#REF!</v>
      </c>
      <c r="T647" s="305"/>
      <c r="U647" s="490" t="e">
        <f>#REF!</f>
        <v>#REF!</v>
      </c>
      <c r="AJ647" s="7"/>
      <c r="AK647" s="7"/>
      <c r="AL647" s="7"/>
      <c r="AM647" s="7"/>
      <c r="AN647" s="7"/>
      <c r="AO647" s="7"/>
      <c r="AP647" s="7"/>
    </row>
    <row r="648" spans="1:44">
      <c r="A648" s="305" t="s">
        <v>432</v>
      </c>
      <c r="B648" s="305"/>
      <c r="C648" s="61">
        <f t="shared" si="141"/>
        <v>6930058</v>
      </c>
      <c r="D648" s="1027">
        <v>-30</v>
      </c>
      <c r="E648" s="490" t="s">
        <v>362</v>
      </c>
      <c r="F648" s="490">
        <f t="shared" si="142"/>
        <v>-13943</v>
      </c>
      <c r="G648" s="1027">
        <f>D648</f>
        <v>-30</v>
      </c>
      <c r="H648" s="490" t="s">
        <v>362</v>
      </c>
      <c r="I648" s="490">
        <f t="shared" si="143"/>
        <v>-13943</v>
      </c>
      <c r="J648" s="490"/>
      <c r="K648" s="1027" t="e">
        <f>#REF!</f>
        <v>#REF!</v>
      </c>
      <c r="L648" s="490" t="s">
        <v>362</v>
      </c>
      <c r="M648" s="490" t="e">
        <f>#REF!</f>
        <v>#REF!</v>
      </c>
      <c r="N648" s="490"/>
      <c r="O648" s="1027" t="s">
        <v>31</v>
      </c>
      <c r="P648" s="490" t="s">
        <v>31</v>
      </c>
      <c r="Q648" s="490" t="e">
        <f>#REF!</f>
        <v>#REF!</v>
      </c>
      <c r="R648" s="490"/>
      <c r="S648" s="1027">
        <f>'Blocking - detail'!U505</f>
        <v>0</v>
      </c>
      <c r="T648" s="490" t="s">
        <v>31</v>
      </c>
      <c r="U648" s="490" t="e">
        <f>#REF!</f>
        <v>#REF!</v>
      </c>
      <c r="AJ648" s="7"/>
      <c r="AK648" s="7"/>
      <c r="AL648" s="7"/>
      <c r="AM648" s="7"/>
      <c r="AN648" s="7"/>
      <c r="AO648" s="7"/>
      <c r="AP648" s="7"/>
    </row>
    <row r="649" spans="1:44" s="588" customFormat="1" hidden="1">
      <c r="A649" s="588" t="s">
        <v>766</v>
      </c>
      <c r="C649" s="61">
        <f t="shared" si="141"/>
        <v>941125570.0470736</v>
      </c>
      <c r="D649" s="990">
        <v>0</v>
      </c>
      <c r="E649" s="635"/>
      <c r="F649" s="616"/>
      <c r="G649" s="987">
        <f>G632</f>
        <v>0</v>
      </c>
      <c r="H649" s="616" t="s">
        <v>362</v>
      </c>
      <c r="I649" s="490">
        <f t="shared" si="143"/>
        <v>0</v>
      </c>
      <c r="J649" s="490"/>
      <c r="K649" s="987" t="e">
        <f>K632</f>
        <v>#REF!</v>
      </c>
      <c r="L649" s="616" t="s">
        <v>31</v>
      </c>
      <c r="M649" s="490" t="e">
        <f>#REF!</f>
        <v>#REF!</v>
      </c>
      <c r="N649" s="490"/>
      <c r="O649" s="987" t="e">
        <f>O632</f>
        <v>#REF!</v>
      </c>
      <c r="P649" s="616" t="s">
        <v>31</v>
      </c>
      <c r="Q649" s="490" t="e">
        <f>#REF!</f>
        <v>#REF!</v>
      </c>
      <c r="R649" s="490"/>
      <c r="S649" s="987" t="e">
        <f>S632</f>
        <v>#REF!</v>
      </c>
      <c r="T649" s="616" t="s">
        <v>362</v>
      </c>
      <c r="U649" s="490" t="e">
        <f>#REF!</f>
        <v>#REF!</v>
      </c>
      <c r="V649" s="588" t="s">
        <v>31</v>
      </c>
      <c r="W649" s="450"/>
      <c r="Z649" s="989"/>
      <c r="AA649" s="989"/>
      <c r="AF649" s="635"/>
      <c r="AG649" s="635"/>
      <c r="AH649" s="635"/>
      <c r="AI649" s="635"/>
      <c r="AJ649" s="635"/>
      <c r="AK649" s="635"/>
      <c r="AL649" s="635"/>
      <c r="AM649" s="635"/>
      <c r="AN649" s="635"/>
      <c r="AO649" s="635"/>
      <c r="AP649" s="635"/>
      <c r="AR649" s="988"/>
    </row>
    <row r="650" spans="1:44" s="588" customFormat="1" hidden="1">
      <c r="A650" s="588" t="s">
        <v>767</v>
      </c>
      <c r="C650" s="61">
        <f t="shared" ca="1" si="141"/>
        <v>9615691.1370288637</v>
      </c>
      <c r="D650" s="990">
        <v>0</v>
      </c>
      <c r="E650" s="635"/>
      <c r="F650" s="616"/>
      <c r="G650" s="987">
        <f>G633</f>
        <v>0</v>
      </c>
      <c r="H650" s="616" t="s">
        <v>362</v>
      </c>
      <c r="I650" s="490">
        <f t="shared" si="143"/>
        <v>0</v>
      </c>
      <c r="J650" s="490"/>
      <c r="K650" s="987" t="e">
        <f>K633</f>
        <v>#REF!</v>
      </c>
      <c r="L650" s="616" t="s">
        <v>31</v>
      </c>
      <c r="M650" s="490" t="e">
        <f>#REF!</f>
        <v>#REF!</v>
      </c>
      <c r="N650" s="490"/>
      <c r="O650" s="987" t="e">
        <f>O633</f>
        <v>#REF!</v>
      </c>
      <c r="P650" s="616" t="s">
        <v>31</v>
      </c>
      <c r="Q650" s="490" t="e">
        <f>#REF!</f>
        <v>#REF!</v>
      </c>
      <c r="R650" s="490"/>
      <c r="S650" s="987" t="e">
        <f>S633</f>
        <v>#REF!</v>
      </c>
      <c r="T650" s="616" t="s">
        <v>362</v>
      </c>
      <c r="U650" s="490" t="e">
        <f>#REF!</f>
        <v>#REF!</v>
      </c>
      <c r="V650" s="588" t="s">
        <v>31</v>
      </c>
      <c r="W650" s="450"/>
      <c r="Z650" s="989"/>
      <c r="AA650" s="989"/>
      <c r="AF650" s="635"/>
      <c r="AG650" s="635"/>
      <c r="AH650" s="635"/>
      <c r="AI650" s="635"/>
      <c r="AJ650" s="635"/>
      <c r="AK650" s="635"/>
      <c r="AL650" s="635"/>
      <c r="AM650" s="635"/>
      <c r="AN650" s="635"/>
      <c r="AO650" s="635"/>
      <c r="AP650" s="635"/>
      <c r="AR650" s="988"/>
    </row>
    <row r="651" spans="1:44">
      <c r="A651" s="305" t="s">
        <v>369</v>
      </c>
      <c r="B651" s="1043"/>
      <c r="C651" s="61">
        <f>C691+C729</f>
        <v>941125570.0470736</v>
      </c>
      <c r="D651" s="1009"/>
      <c r="E651" s="305"/>
      <c r="F651" s="490">
        <f>F691+F729</f>
        <v>75323200</v>
      </c>
      <c r="G651" s="490"/>
      <c r="H651" s="305"/>
      <c r="I651" s="490">
        <f t="shared" ca="1" si="143"/>
        <v>75264721</v>
      </c>
      <c r="J651" s="490"/>
      <c r="K651" s="490"/>
      <c r="L651" s="305"/>
      <c r="M651" s="490" t="e">
        <f>SUM(M619:M650)</f>
        <v>#REF!</v>
      </c>
      <c r="N651" s="490"/>
      <c r="O651" s="490"/>
      <c r="P651" s="305"/>
      <c r="Q651" s="490" t="e">
        <f>SUM(Q619:Q650)</f>
        <v>#REF!</v>
      </c>
      <c r="R651" s="490"/>
      <c r="S651" s="490"/>
      <c r="T651" s="305"/>
      <c r="U651" s="490" t="e">
        <f>SUM(U619:U650)</f>
        <v>#REF!</v>
      </c>
      <c r="X651" s="447"/>
      <c r="Y651" s="447"/>
      <c r="AJ651" s="7"/>
      <c r="AK651" s="7"/>
      <c r="AL651" s="7"/>
      <c r="AM651" s="7"/>
      <c r="AN651" s="7"/>
      <c r="AO651" s="7"/>
      <c r="AP651" s="7"/>
    </row>
    <row r="652" spans="1:44">
      <c r="A652" s="305" t="s">
        <v>351</v>
      </c>
      <c r="B652" s="577"/>
      <c r="C652" s="1011">
        <f ca="1">C692+C730</f>
        <v>9615691.1370288637</v>
      </c>
      <c r="D652" s="305"/>
      <c r="E652" s="305"/>
      <c r="F652" s="993">
        <f ca="1">F692+F730</f>
        <v>924430.43214507168</v>
      </c>
      <c r="G652" s="305"/>
      <c r="H652" s="305"/>
      <c r="I652" s="993">
        <f ca="1">F652</f>
        <v>924430.43214507168</v>
      </c>
      <c r="J652" s="723"/>
      <c r="K652" s="305"/>
      <c r="L652" s="305"/>
      <c r="M652" s="993" t="e">
        <f ca="1">$I$652*V656/($V$656+$W$656+$X$656)</f>
        <v>#DIV/0!</v>
      </c>
      <c r="N652" s="723"/>
      <c r="O652" s="305"/>
      <c r="P652" s="305"/>
      <c r="Q652" s="993" t="e">
        <f ca="1">$I$652*W656/($V$656+$W$656+$X$656)</f>
        <v>#DIV/0!</v>
      </c>
      <c r="R652" s="723"/>
      <c r="S652" s="305"/>
      <c r="T652" s="305"/>
      <c r="U652" s="993" t="e">
        <f ca="1">$I$652*X656/($V$656+$W$656+$X$656)</f>
        <v>#DIV/0!</v>
      </c>
      <c r="V652" s="1044"/>
      <c r="W652" s="174"/>
      <c r="AJ652" s="7"/>
      <c r="AK652" s="7"/>
      <c r="AL652" s="7"/>
      <c r="AM652" s="7"/>
      <c r="AN652" s="7"/>
      <c r="AO652" s="7"/>
      <c r="AP652" s="7"/>
    </row>
    <row r="653" spans="1:44" ht="16.5" thickBot="1">
      <c r="A653" s="305" t="s">
        <v>370</v>
      </c>
      <c r="B653" s="305"/>
      <c r="C653" s="1012">
        <f ca="1">SUM(C651)+C652</f>
        <v>950741261.18410242</v>
      </c>
      <c r="D653" s="1036"/>
      <c r="E653" s="1030"/>
      <c r="F653" s="995">
        <f ca="1">F651+F652</f>
        <v>76247630.432145074</v>
      </c>
      <c r="G653" s="1036"/>
      <c r="H653" s="1030"/>
      <c r="I653" s="995">
        <f ca="1">I651+I652</f>
        <v>76189151.432145074</v>
      </c>
      <c r="J653" s="995"/>
      <c r="K653" s="1036"/>
      <c r="L653" s="1030"/>
      <c r="M653" s="995" t="e">
        <f ca="1">M651+M652</f>
        <v>#REF!</v>
      </c>
      <c r="N653" s="995"/>
      <c r="O653" s="1036"/>
      <c r="P653" s="1030"/>
      <c r="Q653" s="995" t="e">
        <f ca="1">Q651+Q652</f>
        <v>#REF!</v>
      </c>
      <c r="R653" s="995"/>
      <c r="S653" s="1036"/>
      <c r="T653" s="1030"/>
      <c r="U653" s="995" t="e">
        <f ca="1">U651+U652</f>
        <v>#REF!</v>
      </c>
      <c r="V653" s="442" t="s">
        <v>397</v>
      </c>
      <c r="W653" s="1013">
        <f ca="1">'Rate Spread targets'!Q26*1000</f>
        <v>77546844.177007824</v>
      </c>
      <c r="X653" s="998">
        <f ca="1">(I653-F653)/F653</f>
        <v>-7.6696153924471293E-4</v>
      </c>
      <c r="Y653" s="453"/>
      <c r="Z653" s="54" t="s">
        <v>31</v>
      </c>
      <c r="AJ653" s="7"/>
      <c r="AK653" s="7"/>
      <c r="AL653" s="7"/>
      <c r="AM653" s="7"/>
      <c r="AN653" s="7"/>
      <c r="AO653" s="7"/>
      <c r="AP653" s="7"/>
    </row>
    <row r="654" spans="1:44" ht="16.5" thickTop="1">
      <c r="A654" s="305"/>
      <c r="B654" s="305"/>
      <c r="C654" s="999"/>
      <c r="D654" s="1037"/>
      <c r="E654" s="1033"/>
      <c r="F654" s="723"/>
      <c r="G654" s="1037"/>
      <c r="H654" s="1033"/>
      <c r="I654" s="723"/>
      <c r="J654" s="723"/>
      <c r="K654" s="1037"/>
      <c r="L654" s="1033"/>
      <c r="M654" s="723"/>
      <c r="N654" s="723"/>
      <c r="O654" s="1037"/>
      <c r="P654" s="1033"/>
      <c r="Q654" s="723"/>
      <c r="R654" s="723"/>
      <c r="S654" s="1037"/>
      <c r="T654" s="1033"/>
      <c r="U654" s="723" t="s">
        <v>31</v>
      </c>
      <c r="V654" s="568" t="s">
        <v>256</v>
      </c>
      <c r="W654" s="1001">
        <f ca="1">W653-I653</f>
        <v>1357692.7448627502</v>
      </c>
      <c r="X654" s="1045" t="s">
        <v>31</v>
      </c>
      <c r="Y654" s="453"/>
      <c r="Z654" s="54"/>
      <c r="AJ654" s="7"/>
      <c r="AK654" s="7"/>
      <c r="AL654" s="7"/>
      <c r="AM654" s="7"/>
      <c r="AN654" s="7"/>
      <c r="AO654" s="7"/>
      <c r="AP654" s="7"/>
    </row>
    <row r="655" spans="1:44">
      <c r="A655" s="305"/>
      <c r="B655" s="305"/>
      <c r="C655" s="999"/>
      <c r="D655" s="1037"/>
      <c r="E655" s="1033"/>
      <c r="F655" s="723"/>
      <c r="G655" s="1037"/>
      <c r="H655" s="1033"/>
      <c r="I655" s="723"/>
      <c r="J655" s="723"/>
      <c r="K655" s="1037"/>
      <c r="L655" s="1033"/>
      <c r="M655" s="723"/>
      <c r="N655" s="723"/>
      <c r="O655" s="1037"/>
      <c r="P655" s="1033"/>
      <c r="Q655" s="723"/>
      <c r="R655" s="723"/>
      <c r="S655" s="1037"/>
      <c r="T655" s="1033"/>
      <c r="U655" s="723" t="s">
        <v>31</v>
      </c>
      <c r="V655" s="1014"/>
      <c r="W655" s="1014"/>
      <c r="X655" s="540"/>
      <c r="Y655" s="453"/>
      <c r="Z655" s="54"/>
      <c r="AJ655" s="7"/>
      <c r="AK655" s="7"/>
      <c r="AL655" s="7"/>
      <c r="AM655" s="7"/>
      <c r="AN655" s="7"/>
      <c r="AO655" s="7"/>
      <c r="AP655" s="7"/>
    </row>
    <row r="656" spans="1:44">
      <c r="A656" s="305"/>
      <c r="B656" s="305"/>
      <c r="C656" s="61"/>
      <c r="D656" s="237" t="s">
        <v>31</v>
      </c>
      <c r="E656" s="305"/>
      <c r="F656" s="490" t="s">
        <v>31</v>
      </c>
      <c r="G656" s="237" t="s">
        <v>31</v>
      </c>
      <c r="H656" s="305"/>
      <c r="I656" s="490" t="s">
        <v>31</v>
      </c>
      <c r="J656" s="490"/>
      <c r="K656" s="237" t="s">
        <v>31</v>
      </c>
      <c r="L656" s="305"/>
      <c r="M656" s="490" t="s">
        <v>31</v>
      </c>
      <c r="N656" s="490"/>
      <c r="O656" s="237" t="s">
        <v>31</v>
      </c>
      <c r="P656" s="305"/>
      <c r="Q656" s="490" t="s">
        <v>31</v>
      </c>
      <c r="R656" s="490"/>
      <c r="S656" s="237" t="s">
        <v>31</v>
      </c>
      <c r="T656" s="305"/>
      <c r="U656" s="490" t="s">
        <v>31</v>
      </c>
      <c r="V656" s="988"/>
      <c r="W656" s="988"/>
      <c r="X656" s="988"/>
      <c r="Y656" s="654"/>
      <c r="AJ656" s="7"/>
      <c r="AK656" s="7"/>
      <c r="AL656" s="7"/>
      <c r="AM656" s="7"/>
      <c r="AN656" s="7"/>
      <c r="AO656" s="7"/>
      <c r="AP656" s="7"/>
    </row>
    <row r="657" spans="1:42">
      <c r="A657" s="305" t="s">
        <v>424</v>
      </c>
      <c r="B657" s="305"/>
      <c r="C657" s="305"/>
      <c r="D657" s="490"/>
      <c r="E657" s="305"/>
      <c r="F657" s="305"/>
      <c r="G657" s="490"/>
      <c r="H657" s="305"/>
      <c r="I657" s="305"/>
      <c r="J657" s="305"/>
      <c r="K657" s="490"/>
      <c r="L657" s="305"/>
      <c r="M657" s="305"/>
      <c r="N657" s="305"/>
      <c r="O657" s="490"/>
      <c r="P657" s="305"/>
      <c r="Q657" s="305"/>
      <c r="R657" s="305"/>
      <c r="S657" s="490"/>
      <c r="T657" s="305"/>
      <c r="U657" s="305"/>
      <c r="AJ657" s="7"/>
      <c r="AK657" s="7"/>
      <c r="AL657" s="7"/>
      <c r="AM657" s="7"/>
      <c r="AN657" s="7"/>
      <c r="AO657" s="7"/>
      <c r="AP657" s="7"/>
    </row>
    <row r="658" spans="1:42">
      <c r="A658" s="305" t="s">
        <v>433</v>
      </c>
      <c r="B658" s="305"/>
      <c r="C658" s="305"/>
      <c r="D658" s="490"/>
      <c r="E658" s="305"/>
      <c r="F658" s="305"/>
      <c r="G658" s="490"/>
      <c r="H658" s="305"/>
      <c r="I658" s="305"/>
      <c r="J658" s="305"/>
      <c r="K658" s="490"/>
      <c r="L658" s="305"/>
      <c r="M658" s="305"/>
      <c r="N658" s="305"/>
      <c r="O658" s="490"/>
      <c r="P658" s="305"/>
      <c r="Q658" s="305"/>
      <c r="R658" s="305"/>
      <c r="S658" s="490"/>
      <c r="T658" s="305"/>
      <c r="U658" s="305"/>
      <c r="W658" s="1003" t="s">
        <v>31</v>
      </c>
      <c r="AJ658" s="7"/>
      <c r="AK658" s="7"/>
      <c r="AL658" s="7"/>
      <c r="AM658" s="7"/>
      <c r="AN658" s="7"/>
      <c r="AO658" s="7"/>
      <c r="AP658" s="7"/>
    </row>
    <row r="659" spans="1:42">
      <c r="A659" s="305"/>
      <c r="B659" s="305"/>
      <c r="C659" s="305"/>
      <c r="D659" s="490"/>
      <c r="E659" s="305"/>
      <c r="F659" s="305"/>
      <c r="G659" s="490"/>
      <c r="H659" s="305"/>
      <c r="I659" s="305"/>
      <c r="J659" s="305"/>
      <c r="K659" s="490"/>
      <c r="L659" s="305"/>
      <c r="M659" s="305"/>
      <c r="N659" s="305"/>
      <c r="O659" s="490"/>
      <c r="P659" s="305"/>
      <c r="Q659" s="305"/>
      <c r="R659" s="305"/>
      <c r="S659" s="490"/>
      <c r="T659" s="305"/>
      <c r="U659" s="305"/>
      <c r="V659" s="7"/>
      <c r="W659" s="31"/>
      <c r="X659" s="31"/>
      <c r="Y659" s="31"/>
      <c r="Z659" s="7"/>
      <c r="AA659" s="7"/>
      <c r="AB659" s="7"/>
      <c r="AC659" s="7"/>
      <c r="AD659" s="7"/>
      <c r="AE659" s="7"/>
      <c r="AF659" s="7"/>
      <c r="AG659" s="7"/>
      <c r="AH659" s="7"/>
      <c r="AI659" s="7"/>
      <c r="AJ659" s="7"/>
      <c r="AK659" s="7"/>
      <c r="AL659" s="7"/>
      <c r="AM659" s="7"/>
      <c r="AN659" s="7"/>
      <c r="AO659" s="7"/>
      <c r="AP659" s="7"/>
    </row>
    <row r="660" spans="1:42">
      <c r="A660" s="305" t="s">
        <v>381</v>
      </c>
      <c r="B660" s="305"/>
      <c r="C660" s="61"/>
      <c r="D660" s="490"/>
      <c r="E660" s="305"/>
      <c r="F660" s="305"/>
      <c r="G660" s="490"/>
      <c r="H660" s="305"/>
      <c r="I660" s="305"/>
      <c r="J660" s="305"/>
      <c r="K660" s="490"/>
      <c r="L660" s="305"/>
      <c r="M660" s="305"/>
      <c r="N660" s="305"/>
      <c r="O660" s="490"/>
      <c r="P660" s="305"/>
      <c r="Q660" s="305"/>
      <c r="R660" s="305"/>
      <c r="S660" s="490"/>
      <c r="T660" s="305"/>
      <c r="U660" s="305"/>
      <c r="V660" s="7"/>
      <c r="W660" s="31"/>
      <c r="X660" s="31"/>
      <c r="Y660" s="31"/>
      <c r="Z660" s="7"/>
      <c r="AA660" s="7"/>
      <c r="AB660" s="7"/>
      <c r="AC660" s="7"/>
      <c r="AD660" s="7"/>
      <c r="AE660" s="7"/>
      <c r="AF660" s="7"/>
      <c r="AG660" s="7"/>
      <c r="AH660" s="7"/>
      <c r="AI660" s="7"/>
      <c r="AJ660" s="7"/>
      <c r="AK660" s="7"/>
      <c r="AL660" s="7"/>
      <c r="AM660" s="7"/>
      <c r="AN660" s="7"/>
      <c r="AO660" s="7"/>
      <c r="AP660" s="7"/>
    </row>
    <row r="661" spans="1:42">
      <c r="A661" s="305" t="s">
        <v>409</v>
      </c>
      <c r="B661" s="305"/>
      <c r="C661" s="61">
        <v>184.333333333333</v>
      </c>
      <c r="D661" s="448">
        <f>D619</f>
        <v>268</v>
      </c>
      <c r="E661" s="305"/>
      <c r="F661" s="490">
        <f>ROUND(D661*C661,0)</f>
        <v>49401</v>
      </c>
      <c r="G661" s="448">
        <f>$G$619</f>
        <v>264</v>
      </c>
      <c r="H661" s="305"/>
      <c r="I661" s="490">
        <f>ROUND(G661*$C661,0)</f>
        <v>48664</v>
      </c>
      <c r="J661" s="490"/>
      <c r="K661" s="448" t="e">
        <f>$K$619</f>
        <v>#REF!</v>
      </c>
      <c r="L661" s="305"/>
      <c r="M661" s="490" t="e">
        <f>ROUND(K661*$C661,0)</f>
        <v>#REF!</v>
      </c>
      <c r="N661" s="490"/>
      <c r="O661" s="448" t="e">
        <f>$O$619</f>
        <v>#REF!</v>
      </c>
      <c r="P661" s="305"/>
      <c r="Q661" s="490" t="e">
        <f>ROUND(O661*$C661,0)</f>
        <v>#REF!</v>
      </c>
      <c r="R661" s="490"/>
      <c r="S661" s="448" t="e">
        <f>$S$619</f>
        <v>#REF!</v>
      </c>
      <c r="T661" s="305"/>
      <c r="U661" s="490" t="e">
        <f>ROUND(S661*$C661,0)</f>
        <v>#REF!</v>
      </c>
      <c r="X661" s="31"/>
      <c r="Y661" s="31"/>
      <c r="Z661" s="7"/>
      <c r="AA661" s="7"/>
      <c r="AB661" s="7"/>
      <c r="AC661" s="7"/>
      <c r="AD661" s="7"/>
      <c r="AE661" s="7"/>
      <c r="AF661" s="7"/>
      <c r="AG661" s="7"/>
      <c r="AH661" s="7"/>
      <c r="AI661" s="7"/>
      <c r="AJ661" s="7"/>
      <c r="AK661" s="7"/>
      <c r="AL661" s="7"/>
      <c r="AM661" s="7"/>
      <c r="AN661" s="7"/>
      <c r="AO661" s="7"/>
      <c r="AP661" s="7"/>
    </row>
    <row r="662" spans="1:42">
      <c r="A662" s="305" t="s">
        <v>410</v>
      </c>
      <c r="B662" s="305"/>
      <c r="C662" s="61">
        <v>8100.2333333333363</v>
      </c>
      <c r="D662" s="448">
        <f t="shared" ref="D662:D663" si="145">D620</f>
        <v>100</v>
      </c>
      <c r="E662" s="305"/>
      <c r="F662" s="490">
        <f>ROUND(D662*C662,0)</f>
        <v>810023</v>
      </c>
      <c r="G662" s="448">
        <f>$G$620</f>
        <v>100</v>
      </c>
      <c r="H662" s="305"/>
      <c r="I662" s="490">
        <f>ROUND(G662*$C662,0)</f>
        <v>810023</v>
      </c>
      <c r="J662" s="490"/>
      <c r="K662" s="448" t="e">
        <f>$K$620</f>
        <v>#REF!</v>
      </c>
      <c r="L662" s="305"/>
      <c r="M662" s="490" t="e">
        <f>ROUND(K662*$C662,0)</f>
        <v>#REF!</v>
      </c>
      <c r="N662" s="490"/>
      <c r="O662" s="448" t="e">
        <f>$O$620</f>
        <v>#REF!</v>
      </c>
      <c r="P662" s="305"/>
      <c r="Q662" s="490" t="e">
        <f>ROUND(O662*$C662,0)</f>
        <v>#REF!</v>
      </c>
      <c r="R662" s="490"/>
      <c r="S662" s="448" t="e">
        <f>$S$620</f>
        <v>#REF!</v>
      </c>
      <c r="T662" s="305"/>
      <c r="U662" s="490" t="e">
        <f>ROUND(S662*$C662,0)</f>
        <v>#REF!</v>
      </c>
      <c r="X662" s="31"/>
      <c r="Y662" s="31"/>
      <c r="Z662" s="7"/>
      <c r="AA662" s="7"/>
      <c r="AB662" s="7"/>
      <c r="AC662" s="7"/>
      <c r="AD662" s="7"/>
      <c r="AE662" s="7"/>
      <c r="AF662" s="7"/>
      <c r="AG662" s="7"/>
      <c r="AH662" s="7"/>
      <c r="AI662" s="7"/>
      <c r="AJ662" s="7"/>
      <c r="AK662" s="7"/>
      <c r="AL662" s="7"/>
      <c r="AM662" s="7"/>
      <c r="AN662" s="7"/>
      <c r="AO662" s="7"/>
      <c r="AP662" s="7"/>
    </row>
    <row r="663" spans="1:42">
      <c r="A663" s="305" t="s">
        <v>411</v>
      </c>
      <c r="B663" s="305"/>
      <c r="C663" s="61">
        <v>3401.3</v>
      </c>
      <c r="D663" s="448">
        <f t="shared" si="145"/>
        <v>200</v>
      </c>
      <c r="E663" s="1004"/>
      <c r="F663" s="490">
        <f>ROUND(D663*C663,0)</f>
        <v>680260</v>
      </c>
      <c r="G663" s="448">
        <f>$G$621</f>
        <v>200</v>
      </c>
      <c r="H663" s="1004"/>
      <c r="I663" s="490">
        <f>ROUND(G663*$C663,0)</f>
        <v>680260</v>
      </c>
      <c r="J663" s="490"/>
      <c r="K663" s="448" t="e">
        <f>$K$621</f>
        <v>#REF!</v>
      </c>
      <c r="L663" s="1004"/>
      <c r="M663" s="490" t="e">
        <f>ROUND(K663*$C663,0)</f>
        <v>#REF!</v>
      </c>
      <c r="N663" s="490"/>
      <c r="O663" s="448" t="e">
        <f>$O$621</f>
        <v>#REF!</v>
      </c>
      <c r="P663" s="1004"/>
      <c r="Q663" s="490" t="e">
        <f>ROUND(O663*$C663,0)</f>
        <v>#REF!</v>
      </c>
      <c r="R663" s="490"/>
      <c r="S663" s="448" t="e">
        <f>$S$621</f>
        <v>#REF!</v>
      </c>
      <c r="T663" s="1004"/>
      <c r="U663" s="490" t="e">
        <f>ROUND(S663*$C663,0)</f>
        <v>#REF!</v>
      </c>
      <c r="X663" s="31"/>
      <c r="Y663" s="31"/>
      <c r="Z663" s="7"/>
      <c r="AA663" s="7"/>
      <c r="AB663" s="7"/>
      <c r="AC663" s="7"/>
      <c r="AD663" s="7"/>
      <c r="AE663" s="7"/>
      <c r="AF663" s="7"/>
      <c r="AG663" s="7"/>
      <c r="AH663" s="7"/>
      <c r="AI663" s="7"/>
      <c r="AJ663" s="7"/>
      <c r="AK663" s="7"/>
      <c r="AL663" s="7"/>
      <c r="AM663" s="7"/>
      <c r="AN663" s="7"/>
      <c r="AO663" s="7"/>
      <c r="AP663" s="7"/>
    </row>
    <row r="664" spans="1:42">
      <c r="A664" s="305" t="s">
        <v>382</v>
      </c>
      <c r="B664" s="305"/>
      <c r="C664" s="61">
        <f>SUM(C661:C663)</f>
        <v>11685.866666666669</v>
      </c>
      <c r="D664" s="448"/>
      <c r="E664" s="305"/>
      <c r="F664" s="490"/>
      <c r="G664" s="448"/>
      <c r="H664" s="305"/>
      <c r="I664" s="490"/>
      <c r="J664" s="490"/>
      <c r="K664" s="448"/>
      <c r="L664" s="305"/>
      <c r="M664" s="490"/>
      <c r="N664" s="490"/>
      <c r="O664" s="448"/>
      <c r="P664" s="305"/>
      <c r="Q664" s="490"/>
      <c r="R664" s="490"/>
      <c r="S664" s="448"/>
      <c r="T664" s="305"/>
      <c r="U664" s="490"/>
      <c r="X664" s="31"/>
      <c r="Y664" s="31"/>
      <c r="Z664" s="7"/>
      <c r="AA664" s="7"/>
      <c r="AB664" s="7"/>
      <c r="AC664" s="7"/>
      <c r="AD664" s="7"/>
      <c r="AE664" s="7"/>
      <c r="AF664" s="7"/>
      <c r="AG664" s="7"/>
      <c r="AH664" s="7"/>
      <c r="AI664" s="7"/>
      <c r="AJ664" s="7"/>
      <c r="AK664" s="7"/>
      <c r="AL664" s="7"/>
      <c r="AM664" s="7"/>
      <c r="AN664" s="7"/>
      <c r="AO664" s="7"/>
      <c r="AP664" s="7"/>
    </row>
    <row r="665" spans="1:42">
      <c r="A665" s="305" t="s">
        <v>410</v>
      </c>
      <c r="B665" s="305"/>
      <c r="C665" s="61">
        <v>1404169.4000000034</v>
      </c>
      <c r="D665" s="448">
        <f>D623</f>
        <v>1.83</v>
      </c>
      <c r="E665" s="305" t="s">
        <v>31</v>
      </c>
      <c r="F665" s="490">
        <f>ROUND(D665*C665,0)</f>
        <v>2569630</v>
      </c>
      <c r="G665" s="448">
        <f>$G$623</f>
        <v>1.83</v>
      </c>
      <c r="H665" s="305" t="s">
        <v>31</v>
      </c>
      <c r="I665" s="490">
        <f>ROUND(G665*$C665,0)</f>
        <v>2569630</v>
      </c>
      <c r="J665" s="490"/>
      <c r="K665" s="448" t="e">
        <f>$K$623</f>
        <v>#REF!</v>
      </c>
      <c r="L665" s="305" t="s">
        <v>31</v>
      </c>
      <c r="M665" s="490" t="e">
        <f>ROUND(K665*$C665,0)</f>
        <v>#REF!</v>
      </c>
      <c r="N665" s="490"/>
      <c r="O665" s="448" t="e">
        <f>$O$623</f>
        <v>#REF!</v>
      </c>
      <c r="P665" s="305" t="s">
        <v>31</v>
      </c>
      <c r="Q665" s="490" t="e">
        <f>ROUND(O665*$C665,0)</f>
        <v>#REF!</v>
      </c>
      <c r="R665" s="490"/>
      <c r="S665" s="448" t="e">
        <f>$S$623</f>
        <v>#REF!</v>
      </c>
      <c r="T665" s="305" t="s">
        <v>31</v>
      </c>
      <c r="U665" s="490" t="e">
        <f>ROUND(S665*$C665,0)</f>
        <v>#REF!</v>
      </c>
      <c r="X665" s="31"/>
      <c r="Y665" s="31"/>
      <c r="Z665" s="7"/>
      <c r="AA665" s="7"/>
      <c r="AB665" s="7"/>
      <c r="AC665" s="7"/>
      <c r="AD665" s="7"/>
      <c r="AE665" s="7"/>
      <c r="AF665" s="7"/>
      <c r="AG665" s="7"/>
      <c r="AH665" s="7"/>
      <c r="AI665" s="7"/>
      <c r="AJ665" s="7"/>
      <c r="AK665" s="7"/>
      <c r="AL665" s="7"/>
      <c r="AM665" s="7"/>
      <c r="AN665" s="7"/>
      <c r="AO665" s="7"/>
      <c r="AP665" s="7"/>
    </row>
    <row r="666" spans="1:42">
      <c r="A666" s="305" t="s">
        <v>411</v>
      </c>
      <c r="B666" s="305"/>
      <c r="C666" s="61">
        <v>1674028.8</v>
      </c>
      <c r="D666" s="448">
        <f>D624</f>
        <v>1.5</v>
      </c>
      <c r="E666" s="305" t="s">
        <v>31</v>
      </c>
      <c r="F666" s="490">
        <f>ROUND(D666*C666,0)</f>
        <v>2511043</v>
      </c>
      <c r="G666" s="448">
        <f>$G$624</f>
        <v>1.5</v>
      </c>
      <c r="H666" s="305" t="s">
        <v>31</v>
      </c>
      <c r="I666" s="490">
        <f>ROUND(G666*$C666,0)</f>
        <v>2511043</v>
      </c>
      <c r="J666" s="490"/>
      <c r="K666" s="448" t="e">
        <f>$K$624</f>
        <v>#REF!</v>
      </c>
      <c r="L666" s="305" t="s">
        <v>31</v>
      </c>
      <c r="M666" s="490" t="e">
        <f>ROUND(K666*$C666,0)</f>
        <v>#REF!</v>
      </c>
      <c r="N666" s="490"/>
      <c r="O666" s="448" t="e">
        <f>$O$624</f>
        <v>#REF!</v>
      </c>
      <c r="P666" s="305" t="s">
        <v>31</v>
      </c>
      <c r="Q666" s="490" t="e">
        <f>ROUND(O666*$C666,0)</f>
        <v>#REF!</v>
      </c>
      <c r="R666" s="490"/>
      <c r="S666" s="448" t="e">
        <f>$S$624</f>
        <v>#REF!</v>
      </c>
      <c r="T666" s="305" t="s">
        <v>31</v>
      </c>
      <c r="U666" s="490" t="e">
        <f>ROUND(S666*$C666,0)</f>
        <v>#REF!</v>
      </c>
      <c r="X666" s="31"/>
      <c r="Y666" s="31"/>
      <c r="Z666" s="7"/>
      <c r="AA666" s="7"/>
      <c r="AB666" s="7"/>
      <c r="AC666" s="7"/>
      <c r="AD666" s="7"/>
      <c r="AE666" s="7"/>
      <c r="AF666" s="7"/>
      <c r="AG666" s="7"/>
      <c r="AH666" s="7"/>
      <c r="AI666" s="7"/>
      <c r="AJ666" s="7"/>
      <c r="AK666" s="7"/>
      <c r="AL666" s="7"/>
      <c r="AM666" s="7"/>
      <c r="AN666" s="7"/>
      <c r="AO666" s="7"/>
      <c r="AP666" s="7"/>
    </row>
    <row r="667" spans="1:42">
      <c r="A667" s="305" t="s">
        <v>412</v>
      </c>
      <c r="B667" s="305"/>
      <c r="C667" s="61"/>
      <c r="D667" s="448"/>
      <c r="E667" s="305"/>
      <c r="F667" s="490"/>
      <c r="G667" s="448"/>
      <c r="H667" s="305"/>
      <c r="I667" s="490"/>
      <c r="J667" s="490"/>
      <c r="K667" s="448"/>
      <c r="L667" s="305"/>
      <c r="M667" s="490"/>
      <c r="N667" s="490"/>
      <c r="O667" s="448"/>
      <c r="P667" s="305"/>
      <c r="Q667" s="490"/>
      <c r="R667" s="490"/>
      <c r="S667" s="448"/>
      <c r="T667" s="305"/>
      <c r="U667" s="490"/>
      <c r="X667" s="31"/>
      <c r="Y667" s="31"/>
      <c r="Z667" s="7"/>
      <c r="AA667" s="7"/>
      <c r="AB667" s="7"/>
      <c r="AC667" s="7"/>
      <c r="AD667" s="7"/>
      <c r="AE667" s="7"/>
      <c r="AF667" s="7"/>
      <c r="AG667" s="7"/>
      <c r="AH667" s="7"/>
      <c r="AI667" s="7"/>
      <c r="AJ667" s="7"/>
      <c r="AK667" s="7"/>
      <c r="AL667" s="7"/>
      <c r="AM667" s="7"/>
      <c r="AN667" s="7"/>
      <c r="AO667" s="7"/>
      <c r="AP667" s="7"/>
    </row>
    <row r="668" spans="1:42">
      <c r="A668" s="305" t="s">
        <v>413</v>
      </c>
      <c r="B668" s="305"/>
      <c r="C668" s="61">
        <v>2282225.4500000002</v>
      </c>
      <c r="D668" s="448">
        <f>D626</f>
        <v>5.6</v>
      </c>
      <c r="E668" s="305"/>
      <c r="F668" s="490">
        <f>ROUND(D668*C668,0)</f>
        <v>12780463</v>
      </c>
      <c r="G668" s="448">
        <f>$G$626</f>
        <v>5.6</v>
      </c>
      <c r="H668" s="305"/>
      <c r="I668" s="490">
        <f>ROUND(G668*$C668,0)</f>
        <v>12780463</v>
      </c>
      <c r="J668" s="490"/>
      <c r="K668" s="448" t="e">
        <f>$K$626</f>
        <v>#REF!</v>
      </c>
      <c r="L668" s="305"/>
      <c r="M668" s="490" t="e">
        <f>ROUND(K668*$C668,0)</f>
        <v>#REF!</v>
      </c>
      <c r="N668" s="490"/>
      <c r="O668" s="448" t="e">
        <f>$O$626</f>
        <v>#REF!</v>
      </c>
      <c r="P668" s="305"/>
      <c r="Q668" s="490" t="e">
        <f>ROUND(O668*$C668,0)</f>
        <v>#REF!</v>
      </c>
      <c r="R668" s="490"/>
      <c r="S668" s="448" t="e">
        <f>$S$626</f>
        <v>#REF!</v>
      </c>
      <c r="T668" s="305"/>
      <c r="U668" s="490" t="e">
        <f>ROUND(S668*$C668,0)</f>
        <v>#REF!</v>
      </c>
      <c r="X668" s="31"/>
      <c r="Y668" s="31"/>
      <c r="Z668" s="7"/>
      <c r="AA668" s="7"/>
      <c r="AB668" s="7"/>
      <c r="AC668" s="7"/>
      <c r="AD668" s="7"/>
      <c r="AE668" s="7"/>
      <c r="AF668" s="7"/>
      <c r="AG668" s="7"/>
      <c r="AH668" s="7"/>
      <c r="AI668" s="7"/>
      <c r="AJ668" s="7"/>
      <c r="AK668" s="7"/>
      <c r="AL668" s="7"/>
      <c r="AM668" s="7"/>
      <c r="AN668" s="7"/>
      <c r="AO668" s="7"/>
      <c r="AP668" s="7"/>
    </row>
    <row r="669" spans="1:42">
      <c r="A669" s="305" t="s">
        <v>429</v>
      </c>
      <c r="B669" s="305"/>
      <c r="C669" s="61">
        <v>4282.1833333333334</v>
      </c>
      <c r="D669" s="448">
        <f>D668</f>
        <v>5.6</v>
      </c>
      <c r="E669" s="305"/>
      <c r="F669" s="490">
        <f>ROUND(D669*C669,0)</f>
        <v>23980</v>
      </c>
      <c r="G669" s="448">
        <f>G668</f>
        <v>5.6</v>
      </c>
      <c r="H669" s="305"/>
      <c r="I669" s="490">
        <f>ROUND(G669*$C669,0)</f>
        <v>23980</v>
      </c>
      <c r="J669" s="490"/>
      <c r="K669" s="448" t="e">
        <f>K668</f>
        <v>#REF!</v>
      </c>
      <c r="L669" s="305"/>
      <c r="M669" s="490" t="e">
        <f>ROUND(K669*$C669,0)</f>
        <v>#REF!</v>
      </c>
      <c r="N669" s="490"/>
      <c r="O669" s="448" t="e">
        <f>O668</f>
        <v>#REF!</v>
      </c>
      <c r="P669" s="305"/>
      <c r="Q669" s="490" t="e">
        <f>ROUND(O669*$C669,0)</f>
        <v>#REF!</v>
      </c>
      <c r="R669" s="490"/>
      <c r="S669" s="448" t="e">
        <f>S668</f>
        <v>#REF!</v>
      </c>
      <c r="T669" s="305"/>
      <c r="U669" s="490" t="e">
        <f>ROUND(S669*$C669,0)</f>
        <v>#REF!</v>
      </c>
      <c r="X669" s="31"/>
      <c r="Y669" s="31"/>
      <c r="Z669" s="7"/>
      <c r="AA669" s="7"/>
      <c r="AB669" s="7"/>
      <c r="AC669" s="7"/>
      <c r="AD669" s="7"/>
      <c r="AE669" s="7"/>
      <c r="AF669" s="7"/>
      <c r="AG669" s="7"/>
      <c r="AH669" s="7"/>
      <c r="AI669" s="7"/>
      <c r="AJ669" s="7"/>
      <c r="AK669" s="7"/>
      <c r="AL669" s="7"/>
      <c r="AM669" s="7"/>
      <c r="AN669" s="7"/>
      <c r="AO669" s="7"/>
      <c r="AP669" s="7"/>
    </row>
    <row r="670" spans="1:42">
      <c r="A670" s="305" t="s">
        <v>414</v>
      </c>
      <c r="B670" s="305"/>
      <c r="C670" s="61"/>
      <c r="D670" s="448"/>
      <c r="E670" s="305"/>
      <c r="F670" s="490"/>
      <c r="G670" s="448"/>
      <c r="H670" s="305"/>
      <c r="I670" s="490"/>
      <c r="J670" s="490"/>
      <c r="K670" s="448"/>
      <c r="L670" s="305"/>
      <c r="M670" s="490"/>
      <c r="N670" s="490"/>
      <c r="O670" s="448"/>
      <c r="P670" s="305"/>
      <c r="Q670" s="490"/>
      <c r="R670" s="490"/>
      <c r="S670" s="448"/>
      <c r="T670" s="305"/>
      <c r="U670" s="490"/>
      <c r="X670" s="31"/>
      <c r="Y670" s="31"/>
      <c r="Z670" s="7"/>
      <c r="AA670" s="7"/>
      <c r="AB670" s="7"/>
      <c r="AC670" s="7"/>
      <c r="AD670" s="7"/>
      <c r="AE670" s="7"/>
      <c r="AF670" s="7"/>
      <c r="AG670" s="7"/>
      <c r="AH670" s="7"/>
      <c r="AI670" s="7"/>
      <c r="AJ670" s="7"/>
      <c r="AK670" s="7"/>
      <c r="AL670" s="7"/>
      <c r="AM670" s="7"/>
      <c r="AN670" s="7"/>
      <c r="AO670" s="7"/>
      <c r="AP670" s="7"/>
    </row>
    <row r="671" spans="1:42">
      <c r="A671" s="305" t="s">
        <v>415</v>
      </c>
      <c r="B671" s="61"/>
      <c r="C671" s="61">
        <v>371191579.74517125</v>
      </c>
      <c r="D671" s="1046">
        <f>D629</f>
        <v>5.9119999999999999</v>
      </c>
      <c r="E671" s="305" t="s">
        <v>362</v>
      </c>
      <c r="F671" s="490">
        <f>ROUND(D671*C671/100,0)</f>
        <v>21944846</v>
      </c>
      <c r="G671" s="1042">
        <f ca="1">$G$629</f>
        <v>5.91</v>
      </c>
      <c r="H671" s="305" t="s">
        <v>362</v>
      </c>
      <c r="I671" s="490">
        <f ca="1">ROUND(G671*$C671/100,0)</f>
        <v>21937422</v>
      </c>
      <c r="J671" s="490"/>
      <c r="K671" s="1042" t="e">
        <f>$K$629</f>
        <v>#REF!</v>
      </c>
      <c r="L671" s="305" t="s">
        <v>362</v>
      </c>
      <c r="M671" s="490" t="e">
        <f>ROUND(K671*$C671/100,0)</f>
        <v>#REF!</v>
      </c>
      <c r="N671" s="490"/>
      <c r="O671" s="1042" t="e">
        <f>$O$629</f>
        <v>#REF!</v>
      </c>
      <c r="P671" s="305" t="s">
        <v>362</v>
      </c>
      <c r="Q671" s="490" t="e">
        <f>ROUND(O671*$C671/100,0)</f>
        <v>#REF!</v>
      </c>
      <c r="R671" s="490"/>
      <c r="S671" s="1042" t="e">
        <f>$S$629</f>
        <v>#REF!</v>
      </c>
      <c r="T671" s="305" t="s">
        <v>362</v>
      </c>
      <c r="U671" s="490" t="e">
        <f>ROUND(S671*$C671/100,0)</f>
        <v>#REF!</v>
      </c>
      <c r="X671" s="31"/>
      <c r="Y671" s="31"/>
      <c r="Z671" s="7"/>
      <c r="AA671" s="7"/>
      <c r="AB671" s="7"/>
      <c r="AC671" s="7"/>
      <c r="AD671" s="7"/>
      <c r="AE671" s="7"/>
      <c r="AF671" s="7"/>
      <c r="AG671" s="7"/>
      <c r="AH671" s="7"/>
      <c r="AI671" s="7"/>
      <c r="AJ671" s="7"/>
      <c r="AK671" s="7"/>
      <c r="AL671" s="7"/>
      <c r="AM671" s="7"/>
      <c r="AN671" s="7"/>
      <c r="AO671" s="7"/>
      <c r="AP671" s="7"/>
    </row>
    <row r="672" spans="1:42">
      <c r="A672" s="305" t="s">
        <v>387</v>
      </c>
      <c r="B672" s="61"/>
      <c r="C672" s="61">
        <v>467777200.30190235</v>
      </c>
      <c r="D672" s="1046">
        <f>D630</f>
        <v>5.41</v>
      </c>
      <c r="E672" s="305" t="s">
        <v>362</v>
      </c>
      <c r="F672" s="490">
        <f>ROUND(D672*C672/100,0)</f>
        <v>25306747</v>
      </c>
      <c r="G672" s="1042">
        <f ca="1">$G$630</f>
        <v>5.4060000000000006</v>
      </c>
      <c r="H672" s="305" t="s">
        <v>362</v>
      </c>
      <c r="I672" s="490">
        <f ca="1">ROUND(G672*$C672/100,0)</f>
        <v>25288035</v>
      </c>
      <c r="J672" s="490"/>
      <c r="K672" s="1042" t="e">
        <f>$K$630</f>
        <v>#REF!</v>
      </c>
      <c r="L672" s="305" t="s">
        <v>362</v>
      </c>
      <c r="M672" s="490" t="e">
        <f>ROUND(K672*$C672/100,0)</f>
        <v>#REF!</v>
      </c>
      <c r="N672" s="490"/>
      <c r="O672" s="1042" t="e">
        <f>$O$630</f>
        <v>#REF!</v>
      </c>
      <c r="P672" s="305" t="s">
        <v>362</v>
      </c>
      <c r="Q672" s="490" t="e">
        <f>ROUND(O672*$C672/100,0)</f>
        <v>#REF!</v>
      </c>
      <c r="R672" s="490"/>
      <c r="S672" s="1042" t="e">
        <f>$S$630</f>
        <v>#REF!</v>
      </c>
      <c r="T672" s="305" t="s">
        <v>362</v>
      </c>
      <c r="U672" s="490" t="e">
        <f>ROUND(S672*$C672/100,0)</f>
        <v>#REF!</v>
      </c>
      <c r="X672" s="31"/>
      <c r="Y672" s="31"/>
      <c r="Z672" s="7"/>
      <c r="AA672" s="7"/>
      <c r="AB672" s="7"/>
      <c r="AC672" s="7"/>
      <c r="AD672" s="7"/>
      <c r="AE672" s="7"/>
      <c r="AF672" s="7"/>
      <c r="AG672" s="7"/>
      <c r="AH672" s="7"/>
      <c r="AI672" s="7"/>
      <c r="AJ672" s="7"/>
      <c r="AK672" s="7"/>
      <c r="AL672" s="7"/>
      <c r="AM672" s="7"/>
      <c r="AN672" s="7"/>
      <c r="AO672" s="7"/>
      <c r="AP672" s="7"/>
    </row>
    <row r="673" spans="1:44">
      <c r="A673" s="305" t="s">
        <v>388</v>
      </c>
      <c r="B673" s="305"/>
      <c r="C673" s="61">
        <v>351183.40000000037</v>
      </c>
      <c r="D673" s="1047">
        <f>D631</f>
        <v>58</v>
      </c>
      <c r="E673" s="305" t="s">
        <v>362</v>
      </c>
      <c r="F673" s="490">
        <f>ROUND(D673*C673/100,0)</f>
        <v>203686</v>
      </c>
      <c r="G673" s="1048">
        <f>$G$631</f>
        <v>58</v>
      </c>
      <c r="H673" s="305" t="s">
        <v>362</v>
      </c>
      <c r="I673" s="490">
        <f>ROUND(G673*$C673/100,0)</f>
        <v>203686</v>
      </c>
      <c r="J673" s="490"/>
      <c r="K673" s="1048" t="e">
        <f>$K$631</f>
        <v>#REF!</v>
      </c>
      <c r="L673" s="305" t="s">
        <v>362</v>
      </c>
      <c r="M673" s="490" t="e">
        <f>ROUND(K673*$C673/100,0)</f>
        <v>#REF!</v>
      </c>
      <c r="N673" s="490"/>
      <c r="O673" s="1048" t="e">
        <f>$O$631</f>
        <v>#REF!</v>
      </c>
      <c r="P673" s="305" t="s">
        <v>362</v>
      </c>
      <c r="Q673" s="490" t="e">
        <f>ROUND(O673*$C673/100,0)</f>
        <v>#REF!</v>
      </c>
      <c r="R673" s="490"/>
      <c r="S673" s="1048" t="e">
        <f>$S$631</f>
        <v>#REF!</v>
      </c>
      <c r="T673" s="305" t="s">
        <v>362</v>
      </c>
      <c r="U673" s="490" t="e">
        <f>ROUND(S673*$C673/100,0)</f>
        <v>#REF!</v>
      </c>
      <c r="X673" s="31"/>
      <c r="Y673" s="31"/>
      <c r="Z673" s="7" t="s">
        <v>31</v>
      </c>
      <c r="AA673" s="7"/>
      <c r="AB673" s="7"/>
      <c r="AC673" s="7"/>
      <c r="AD673" s="7"/>
      <c r="AE673" s="7"/>
      <c r="AF673" s="7"/>
      <c r="AG673" s="7"/>
      <c r="AH673" s="7"/>
      <c r="AI673" s="7"/>
      <c r="AJ673" s="7"/>
      <c r="AK673" s="7"/>
      <c r="AL673" s="7"/>
      <c r="AM673" s="7"/>
      <c r="AN673" s="7"/>
      <c r="AO673" s="7"/>
      <c r="AP673" s="7"/>
    </row>
    <row r="674" spans="1:44" s="588" customFormat="1" hidden="1">
      <c r="A674" s="588" t="s">
        <v>766</v>
      </c>
      <c r="C674" s="631">
        <f>C671</f>
        <v>371191579.74517125</v>
      </c>
      <c r="D674" s="990">
        <v>0</v>
      </c>
      <c r="E674" s="635"/>
      <c r="F674" s="616"/>
      <c r="G674" s="987">
        <f>G632</f>
        <v>0</v>
      </c>
      <c r="H674" s="616" t="s">
        <v>362</v>
      </c>
      <c r="I674" s="616">
        <f t="shared" ref="I674:I675" si="146">ROUND(G674*$C674/100,0)</f>
        <v>0</v>
      </c>
      <c r="J674" s="616"/>
      <c r="K674" s="987" t="e">
        <f>K632</f>
        <v>#REF!</v>
      </c>
      <c r="L674" s="616" t="s">
        <v>362</v>
      </c>
      <c r="M674" s="616" t="e">
        <f t="shared" ref="M674:M675" si="147">ROUND(K674*$C674/100,0)</f>
        <v>#REF!</v>
      </c>
      <c r="N674" s="616"/>
      <c r="O674" s="987" t="e">
        <f>O632</f>
        <v>#REF!</v>
      </c>
      <c r="P674" s="616" t="s">
        <v>362</v>
      </c>
      <c r="Q674" s="616" t="e">
        <f t="shared" ref="Q674:Q675" si="148">ROUND(O674*$C674/100,0)</f>
        <v>#REF!</v>
      </c>
      <c r="R674" s="616"/>
      <c r="S674" s="987" t="e">
        <f>S632</f>
        <v>#REF!</v>
      </c>
      <c r="T674" s="616" t="s">
        <v>362</v>
      </c>
      <c r="U674" s="616" t="e">
        <f t="shared" ref="U674:U675" si="149">ROUND(S674*$C674/100,0)</f>
        <v>#REF!</v>
      </c>
      <c r="W674" s="1049"/>
      <c r="X674" s="1050"/>
      <c r="Y674" s="655"/>
      <c r="Z674" s="989"/>
      <c r="AA674" s="989"/>
      <c r="AF674" s="635"/>
      <c r="AG674" s="635"/>
      <c r="AH674" s="635"/>
      <c r="AI674" s="635"/>
      <c r="AJ674" s="635"/>
      <c r="AK674" s="635"/>
      <c r="AL674" s="635"/>
      <c r="AM674" s="635"/>
      <c r="AN674" s="635"/>
      <c r="AO674" s="635"/>
      <c r="AP674" s="635"/>
      <c r="AR674" s="988"/>
    </row>
    <row r="675" spans="1:44" s="588" customFormat="1" hidden="1">
      <c r="A675" s="588" t="s">
        <v>767</v>
      </c>
      <c r="C675" s="631">
        <f>C672</f>
        <v>467777200.30190235</v>
      </c>
      <c r="D675" s="990">
        <v>0</v>
      </c>
      <c r="E675" s="635"/>
      <c r="F675" s="616"/>
      <c r="G675" s="987">
        <f>G633</f>
        <v>0</v>
      </c>
      <c r="H675" s="616" t="s">
        <v>362</v>
      </c>
      <c r="I675" s="616">
        <f t="shared" si="146"/>
        <v>0</v>
      </c>
      <c r="J675" s="616"/>
      <c r="K675" s="987" t="e">
        <f>K633</f>
        <v>#REF!</v>
      </c>
      <c r="L675" s="616" t="s">
        <v>362</v>
      </c>
      <c r="M675" s="616" t="e">
        <f t="shared" si="147"/>
        <v>#REF!</v>
      </c>
      <c r="N675" s="616"/>
      <c r="O675" s="987" t="e">
        <f>O633</f>
        <v>#REF!</v>
      </c>
      <c r="P675" s="616" t="s">
        <v>362</v>
      </c>
      <c r="Q675" s="616" t="e">
        <f t="shared" si="148"/>
        <v>#REF!</v>
      </c>
      <c r="R675" s="616"/>
      <c r="S675" s="987" t="e">
        <f>S633</f>
        <v>#REF!</v>
      </c>
      <c r="T675" s="616" t="s">
        <v>362</v>
      </c>
      <c r="U675" s="616" t="e">
        <f t="shared" si="149"/>
        <v>#REF!</v>
      </c>
      <c r="W675" s="1049"/>
      <c r="X675" s="1050"/>
      <c r="Y675" s="655"/>
      <c r="Z675" s="989"/>
      <c r="AA675" s="989"/>
      <c r="AF675" s="635"/>
      <c r="AG675" s="635"/>
      <c r="AH675" s="635"/>
      <c r="AI675" s="635"/>
      <c r="AJ675" s="635"/>
      <c r="AK675" s="635"/>
      <c r="AL675" s="635"/>
      <c r="AM675" s="635"/>
      <c r="AN675" s="635"/>
      <c r="AO675" s="635"/>
      <c r="AP675" s="635"/>
      <c r="AR675" s="988"/>
    </row>
    <row r="676" spans="1:44">
      <c r="A676" s="244" t="s">
        <v>389</v>
      </c>
      <c r="B676" s="305"/>
      <c r="C676" s="61"/>
      <c r="D676" s="1023">
        <v>-0.01</v>
      </c>
      <c r="E676" s="305"/>
      <c r="F676" s="490"/>
      <c r="G676" s="1023">
        <v>-0.01</v>
      </c>
      <c r="H676" s="305"/>
      <c r="I676" s="490"/>
      <c r="J676" s="490"/>
      <c r="K676" s="1023">
        <v>-0.01</v>
      </c>
      <c r="L676" s="305"/>
      <c r="M676" s="490"/>
      <c r="N676" s="490"/>
      <c r="O676" s="1023">
        <v>-0.01</v>
      </c>
      <c r="P676" s="305"/>
      <c r="Q676" s="490"/>
      <c r="R676" s="490"/>
      <c r="S676" s="1023">
        <v>-0.01</v>
      </c>
      <c r="T676" s="305"/>
      <c r="U676" s="490"/>
      <c r="X676" s="342"/>
      <c r="Y676" s="31"/>
      <c r="Z676" s="7"/>
      <c r="AA676" s="7"/>
      <c r="AB676" s="7"/>
      <c r="AC676" s="7"/>
      <c r="AD676" s="7"/>
      <c r="AE676" s="7"/>
      <c r="AF676" s="7"/>
      <c r="AG676" s="7"/>
      <c r="AH676" s="7"/>
      <c r="AI676" s="7"/>
      <c r="AJ676" s="7"/>
      <c r="AK676" s="7"/>
      <c r="AL676" s="7"/>
      <c r="AM676" s="7"/>
      <c r="AN676" s="7"/>
      <c r="AO676" s="7"/>
      <c r="AP676" s="7"/>
    </row>
    <row r="677" spans="1:44">
      <c r="A677" s="305" t="s">
        <v>409</v>
      </c>
      <c r="B677" s="61"/>
      <c r="C677" s="61">
        <v>0</v>
      </c>
      <c r="D677" s="448">
        <f>D661</f>
        <v>268</v>
      </c>
      <c r="E677" s="305"/>
      <c r="F677" s="490">
        <f t="shared" ref="F677:F683" si="150">ROUND(D677*C677*$D$676,0)</f>
        <v>0</v>
      </c>
      <c r="G677" s="448">
        <f>G661</f>
        <v>264</v>
      </c>
      <c r="H677" s="305"/>
      <c r="I677" s="490">
        <f>ROUND(G677*$C677*G676,0)</f>
        <v>0</v>
      </c>
      <c r="J677" s="490"/>
      <c r="K677" s="448" t="e">
        <f>K661</f>
        <v>#REF!</v>
      </c>
      <c r="L677" s="305"/>
      <c r="M677" s="490" t="e">
        <f>ROUND(K677*$C677*K676,0)</f>
        <v>#REF!</v>
      </c>
      <c r="N677" s="490"/>
      <c r="O677" s="448" t="e">
        <f>O661</f>
        <v>#REF!</v>
      </c>
      <c r="P677" s="305"/>
      <c r="Q677" s="490" t="e">
        <f>ROUND(O677*$C677*O676,0)</f>
        <v>#REF!</v>
      </c>
      <c r="R677" s="490"/>
      <c r="S677" s="448" t="e">
        <f>S661</f>
        <v>#REF!</v>
      </c>
      <c r="T677" s="305"/>
      <c r="U677" s="490" t="e">
        <f>ROUND(S677*$C677*S676,0)</f>
        <v>#REF!</v>
      </c>
      <c r="X677" s="342"/>
      <c r="Y677" s="31"/>
      <c r="Z677" s="7"/>
      <c r="AA677" s="7"/>
      <c r="AB677" s="7"/>
      <c r="AC677" s="7"/>
      <c r="AD677" s="7"/>
      <c r="AE677" s="7"/>
      <c r="AF677" s="7"/>
      <c r="AG677" s="7"/>
      <c r="AH677" s="7"/>
      <c r="AI677" s="7"/>
      <c r="AJ677" s="7"/>
      <c r="AK677" s="7"/>
      <c r="AL677" s="7"/>
      <c r="AM677" s="7"/>
      <c r="AN677" s="7"/>
      <c r="AO677" s="7"/>
      <c r="AP677" s="7"/>
    </row>
    <row r="678" spans="1:44">
      <c r="A678" s="305" t="s">
        <v>410</v>
      </c>
      <c r="B678" s="305"/>
      <c r="C678" s="61">
        <v>44</v>
      </c>
      <c r="D678" s="448">
        <f t="shared" ref="D678:D679" si="151">D662</f>
        <v>100</v>
      </c>
      <c r="E678" s="305"/>
      <c r="F678" s="490">
        <f t="shared" si="150"/>
        <v>-44</v>
      </c>
      <c r="G678" s="448">
        <f>G662</f>
        <v>100</v>
      </c>
      <c r="H678" s="305"/>
      <c r="I678" s="490">
        <f>ROUND(G678*$C678*G676,0)</f>
        <v>-44</v>
      </c>
      <c r="J678" s="490"/>
      <c r="K678" s="448" t="e">
        <f>K662</f>
        <v>#REF!</v>
      </c>
      <c r="L678" s="305"/>
      <c r="M678" s="490" t="e">
        <f>ROUND(K678*$C678*K676,0)</f>
        <v>#REF!</v>
      </c>
      <c r="N678" s="490"/>
      <c r="O678" s="448" t="e">
        <f>O662</f>
        <v>#REF!</v>
      </c>
      <c r="P678" s="305"/>
      <c r="Q678" s="490" t="e">
        <f>ROUND(O678*$C678*O676,0)</f>
        <v>#REF!</v>
      </c>
      <c r="R678" s="490"/>
      <c r="S678" s="448" t="e">
        <f>S662</f>
        <v>#REF!</v>
      </c>
      <c r="T678" s="305"/>
      <c r="U678" s="490" t="e">
        <f>ROUND(S678*$C678*S676,0)</f>
        <v>#REF!</v>
      </c>
      <c r="X678" s="342"/>
      <c r="Y678" s="31"/>
      <c r="Z678" s="7"/>
      <c r="AA678" s="7"/>
      <c r="AB678" s="7"/>
      <c r="AC678" s="7"/>
      <c r="AD678" s="7"/>
      <c r="AE678" s="7"/>
      <c r="AF678" s="7"/>
      <c r="AG678" s="7"/>
      <c r="AH678" s="7"/>
      <c r="AI678" s="7"/>
      <c r="AJ678" s="7"/>
      <c r="AK678" s="7"/>
      <c r="AL678" s="7"/>
      <c r="AM678" s="7"/>
      <c r="AN678" s="7"/>
      <c r="AO678" s="7"/>
      <c r="AP678" s="7"/>
    </row>
    <row r="679" spans="1:44">
      <c r="A679" s="305" t="s">
        <v>411</v>
      </c>
      <c r="B679" s="305"/>
      <c r="C679" s="61">
        <v>60</v>
      </c>
      <c r="D679" s="448">
        <f t="shared" si="151"/>
        <v>200</v>
      </c>
      <c r="E679" s="1004"/>
      <c r="F679" s="490">
        <f t="shared" si="150"/>
        <v>-120</v>
      </c>
      <c r="G679" s="448">
        <f>G663</f>
        <v>200</v>
      </c>
      <c r="H679" s="1004"/>
      <c r="I679" s="490">
        <f>ROUND(G679*$C679*G676,0)</f>
        <v>-120</v>
      </c>
      <c r="J679" s="490"/>
      <c r="K679" s="448" t="e">
        <f>K663</f>
        <v>#REF!</v>
      </c>
      <c r="L679" s="1004"/>
      <c r="M679" s="490" t="e">
        <f>ROUND(K679*$C679*K676,0)</f>
        <v>#REF!</v>
      </c>
      <c r="N679" s="490"/>
      <c r="O679" s="448" t="e">
        <f>O663</f>
        <v>#REF!</v>
      </c>
      <c r="P679" s="1004"/>
      <c r="Q679" s="490" t="e">
        <f>ROUND(O679*$C679*O676,0)</f>
        <v>#REF!</v>
      </c>
      <c r="R679" s="490"/>
      <c r="S679" s="448" t="e">
        <f>S663</f>
        <v>#REF!</v>
      </c>
      <c r="T679" s="1004"/>
      <c r="U679" s="490" t="e">
        <f>ROUND(S679*$C679*S676,0)</f>
        <v>#REF!</v>
      </c>
      <c r="X679" s="342"/>
      <c r="Y679" s="31"/>
      <c r="Z679" s="7"/>
      <c r="AA679" s="7"/>
      <c r="AB679" s="7"/>
      <c r="AC679" s="7"/>
      <c r="AD679" s="7"/>
      <c r="AE679" s="7"/>
      <c r="AF679" s="7"/>
      <c r="AG679" s="7"/>
      <c r="AH679" s="7"/>
      <c r="AI679" s="7"/>
      <c r="AJ679" s="7"/>
      <c r="AK679" s="7"/>
      <c r="AL679" s="7"/>
      <c r="AM679" s="7"/>
      <c r="AN679" s="7"/>
      <c r="AO679" s="7"/>
      <c r="AP679" s="7"/>
    </row>
    <row r="680" spans="1:44">
      <c r="A680" s="305" t="s">
        <v>410</v>
      </c>
      <c r="B680" s="305"/>
      <c r="C680" s="61">
        <v>5896</v>
      </c>
      <c r="D680" s="448">
        <f>D665</f>
        <v>1.83</v>
      </c>
      <c r="E680" s="305"/>
      <c r="F680" s="490">
        <f t="shared" si="150"/>
        <v>-108</v>
      </c>
      <c r="G680" s="448">
        <f>G665</f>
        <v>1.83</v>
      </c>
      <c r="H680" s="305"/>
      <c r="I680" s="490">
        <f>ROUND(G680*$C680*G676,0)</f>
        <v>-108</v>
      </c>
      <c r="J680" s="490"/>
      <c r="K680" s="448" t="e">
        <f>K665</f>
        <v>#REF!</v>
      </c>
      <c r="L680" s="305"/>
      <c r="M680" s="490" t="e">
        <f>ROUND(K680*$C680*K676,0)</f>
        <v>#REF!</v>
      </c>
      <c r="N680" s="490"/>
      <c r="O680" s="448" t="e">
        <f>O665</f>
        <v>#REF!</v>
      </c>
      <c r="P680" s="305"/>
      <c r="Q680" s="490" t="e">
        <f>ROUND(O680*$C680*O676,0)</f>
        <v>#REF!</v>
      </c>
      <c r="R680" s="490"/>
      <c r="S680" s="448" t="e">
        <f>S665</f>
        <v>#REF!</v>
      </c>
      <c r="T680" s="305"/>
      <c r="U680" s="490" t="e">
        <f>ROUND(S680*$C680*S676,0)</f>
        <v>#REF!</v>
      </c>
      <c r="X680" s="342"/>
      <c r="Y680" s="31"/>
      <c r="Z680" s="7"/>
      <c r="AA680" s="7"/>
      <c r="AB680" s="7"/>
      <c r="AC680" s="7"/>
      <c r="AD680" s="7"/>
      <c r="AE680" s="7"/>
      <c r="AF680" s="7"/>
      <c r="AG680" s="7"/>
      <c r="AH680" s="7"/>
      <c r="AI680" s="7"/>
      <c r="AJ680" s="7"/>
      <c r="AK680" s="7"/>
      <c r="AL680" s="7"/>
      <c r="AM680" s="7"/>
      <c r="AN680" s="7"/>
      <c r="AO680" s="7"/>
      <c r="AP680" s="7"/>
    </row>
    <row r="681" spans="1:44">
      <c r="A681" s="305" t="s">
        <v>411</v>
      </c>
      <c r="B681" s="305"/>
      <c r="C681" s="61">
        <v>39349</v>
      </c>
      <c r="D681" s="448">
        <f>D666</f>
        <v>1.5</v>
      </c>
      <c r="E681" s="305"/>
      <c r="F681" s="490">
        <f t="shared" si="150"/>
        <v>-590</v>
      </c>
      <c r="G681" s="448">
        <f>G666</f>
        <v>1.5</v>
      </c>
      <c r="H681" s="305"/>
      <c r="I681" s="490">
        <f>ROUND(G681*$C681*G676,0)</f>
        <v>-590</v>
      </c>
      <c r="J681" s="490"/>
      <c r="K681" s="448" t="e">
        <f>K666</f>
        <v>#REF!</v>
      </c>
      <c r="L681" s="305"/>
      <c r="M681" s="490" t="e">
        <f>ROUND(K681*$C681*K676,0)</f>
        <v>#REF!</v>
      </c>
      <c r="N681" s="490"/>
      <c r="O681" s="448" t="e">
        <f>O666</f>
        <v>#REF!</v>
      </c>
      <c r="P681" s="305"/>
      <c r="Q681" s="490" t="e">
        <f>ROUND(O681*$C681*O676,0)</f>
        <v>#REF!</v>
      </c>
      <c r="R681" s="490"/>
      <c r="S681" s="448" t="e">
        <f>S666</f>
        <v>#REF!</v>
      </c>
      <c r="T681" s="305"/>
      <c r="U681" s="490" t="e">
        <f>ROUND(S681*$C681*S676,0)</f>
        <v>#REF!</v>
      </c>
      <c r="X681" s="342"/>
      <c r="Y681" s="31"/>
      <c r="Z681" s="7"/>
      <c r="AA681" s="7"/>
      <c r="AB681" s="7"/>
      <c r="AC681" s="7"/>
      <c r="AD681" s="7"/>
      <c r="AE681" s="7"/>
      <c r="AF681" s="7"/>
      <c r="AG681" s="7"/>
      <c r="AH681" s="7"/>
      <c r="AI681" s="7"/>
      <c r="AJ681" s="7"/>
      <c r="AK681" s="7"/>
      <c r="AL681" s="7"/>
      <c r="AM681" s="7"/>
      <c r="AN681" s="7"/>
      <c r="AO681" s="7"/>
      <c r="AP681" s="7"/>
    </row>
    <row r="682" spans="1:44">
      <c r="A682" s="305" t="s">
        <v>413</v>
      </c>
      <c r="B682" s="305"/>
      <c r="C682" s="61">
        <v>27373</v>
      </c>
      <c r="D682" s="448">
        <f>D668</f>
        <v>5.6</v>
      </c>
      <c r="E682" s="305"/>
      <c r="F682" s="490">
        <f t="shared" si="150"/>
        <v>-1533</v>
      </c>
      <c r="G682" s="448">
        <f>G668</f>
        <v>5.6</v>
      </c>
      <c r="H682" s="305"/>
      <c r="I682" s="490">
        <f>ROUND(G682*$C682*G676,0)</f>
        <v>-1533</v>
      </c>
      <c r="J682" s="490"/>
      <c r="K682" s="448" t="e">
        <f>K668</f>
        <v>#REF!</v>
      </c>
      <c r="L682" s="305"/>
      <c r="M682" s="490" t="e">
        <f>ROUND(K682*$C682*K676,0)</f>
        <v>#REF!</v>
      </c>
      <c r="N682" s="490"/>
      <c r="O682" s="448" t="e">
        <f>O668</f>
        <v>#REF!</v>
      </c>
      <c r="P682" s="305"/>
      <c r="Q682" s="490" t="e">
        <f>ROUND(O682*$C682*O676,0)</f>
        <v>#REF!</v>
      </c>
      <c r="R682" s="490"/>
      <c r="S682" s="448" t="e">
        <f>S668</f>
        <v>#REF!</v>
      </c>
      <c r="T682" s="305"/>
      <c r="U682" s="490" t="e">
        <f>ROUND(S682*$C682*S676,0)</f>
        <v>#REF!</v>
      </c>
      <c r="X682" s="342"/>
      <c r="Y682" s="31"/>
      <c r="Z682" s="7"/>
      <c r="AA682" s="7"/>
      <c r="AB682" s="7"/>
      <c r="AC682" s="7"/>
      <c r="AD682" s="7"/>
      <c r="AE682" s="7"/>
      <c r="AF682" s="7"/>
      <c r="AG682" s="7"/>
      <c r="AH682" s="7"/>
      <c r="AI682" s="7"/>
      <c r="AJ682" s="7"/>
      <c r="AK682" s="7"/>
      <c r="AL682" s="7"/>
      <c r="AM682" s="7"/>
      <c r="AN682" s="7"/>
      <c r="AO682" s="7"/>
      <c r="AP682" s="7"/>
    </row>
    <row r="683" spans="1:44">
      <c r="A683" s="305" t="s">
        <v>429</v>
      </c>
      <c r="B683" s="305"/>
      <c r="C683" s="61">
        <v>400</v>
      </c>
      <c r="D683" s="448">
        <f>D682</f>
        <v>5.6</v>
      </c>
      <c r="E683" s="305"/>
      <c r="F683" s="490">
        <f t="shared" si="150"/>
        <v>-22</v>
      </c>
      <c r="G683" s="448">
        <f>G669</f>
        <v>5.6</v>
      </c>
      <c r="H683" s="305"/>
      <c r="I683" s="490">
        <f>ROUND(G683*$C683*G676,0)</f>
        <v>-22</v>
      </c>
      <c r="J683" s="490"/>
      <c r="K683" s="448" t="e">
        <f>K669</f>
        <v>#REF!</v>
      </c>
      <c r="L683" s="305"/>
      <c r="M683" s="490" t="e">
        <f>ROUND(K683*$C683*K676,0)</f>
        <v>#REF!</v>
      </c>
      <c r="N683" s="490"/>
      <c r="O683" s="448" t="e">
        <f>O669</f>
        <v>#REF!</v>
      </c>
      <c r="P683" s="305"/>
      <c r="Q683" s="490" t="e">
        <f>ROUND(O683*$C683*O676,0)</f>
        <v>#REF!</v>
      </c>
      <c r="R683" s="490"/>
      <c r="S683" s="448" t="e">
        <f>S669</f>
        <v>#REF!</v>
      </c>
      <c r="T683" s="305"/>
      <c r="U683" s="490" t="e">
        <f>ROUND(S683*$C683*S676,0)</f>
        <v>#REF!</v>
      </c>
      <c r="X683" s="342"/>
      <c r="Y683" s="31"/>
      <c r="Z683" s="7"/>
      <c r="AA683" s="7"/>
      <c r="AB683" s="7"/>
      <c r="AC683" s="7"/>
      <c r="AD683" s="7"/>
      <c r="AE683" s="7"/>
      <c r="AF683" s="7"/>
      <c r="AG683" s="7"/>
      <c r="AH683" s="7"/>
      <c r="AI683" s="7"/>
      <c r="AJ683" s="7"/>
      <c r="AK683" s="7"/>
      <c r="AL683" s="7"/>
      <c r="AM683" s="7"/>
      <c r="AN683" s="7"/>
      <c r="AO683" s="7"/>
      <c r="AP683" s="7"/>
    </row>
    <row r="684" spans="1:44">
      <c r="A684" s="305" t="s">
        <v>415</v>
      </c>
      <c r="B684" s="305"/>
      <c r="C684" s="61">
        <v>3473060</v>
      </c>
      <c r="D684" s="1006">
        <f>D671</f>
        <v>5.9119999999999999</v>
      </c>
      <c r="E684" s="305" t="s">
        <v>362</v>
      </c>
      <c r="F684" s="490">
        <f>ROUND(D684*C684/100*$D$676,0)</f>
        <v>-2053</v>
      </c>
      <c r="G684" s="1006">
        <f ca="1">G671</f>
        <v>5.91</v>
      </c>
      <c r="H684" s="305" t="s">
        <v>362</v>
      </c>
      <c r="I684" s="490">
        <f ca="1">ROUND(G684*$C684/100*G676,0)</f>
        <v>-2053</v>
      </c>
      <c r="J684" s="490"/>
      <c r="K684" s="1006" t="e">
        <f>K671</f>
        <v>#REF!</v>
      </c>
      <c r="L684" s="305" t="s">
        <v>362</v>
      </c>
      <c r="M684" s="490" t="e">
        <f>ROUND(K684*$C684/100*K676,0)</f>
        <v>#REF!</v>
      </c>
      <c r="N684" s="490"/>
      <c r="O684" s="1006" t="e">
        <f>O671</f>
        <v>#REF!</v>
      </c>
      <c r="P684" s="305" t="s">
        <v>362</v>
      </c>
      <c r="Q684" s="490" t="e">
        <f>ROUND(O684*$C684/100*O676,0)</f>
        <v>#REF!</v>
      </c>
      <c r="R684" s="490"/>
      <c r="S684" s="1006" t="e">
        <f>S671</f>
        <v>#REF!</v>
      </c>
      <c r="T684" s="305" t="s">
        <v>362</v>
      </c>
      <c r="U684" s="490" t="e">
        <f>ROUND(S684*$C684/100*S676,0)</f>
        <v>#REF!</v>
      </c>
      <c r="X684" s="342"/>
      <c r="Y684" s="31"/>
      <c r="Z684" s="7"/>
      <c r="AA684" s="7"/>
      <c r="AB684" s="7"/>
      <c r="AC684" s="7"/>
      <c r="AD684" s="7"/>
      <c r="AE684" s="7"/>
      <c r="AF684" s="7"/>
      <c r="AG684" s="7"/>
      <c r="AH684" s="7"/>
      <c r="AI684" s="7"/>
      <c r="AJ684" s="7"/>
      <c r="AK684" s="7"/>
      <c r="AL684" s="7"/>
      <c r="AM684" s="7"/>
      <c r="AN684" s="7"/>
      <c r="AO684" s="7"/>
      <c r="AP684" s="7"/>
    </row>
    <row r="685" spans="1:44">
      <c r="A685" s="305" t="s">
        <v>387</v>
      </c>
      <c r="B685" s="305"/>
      <c r="C685" s="61">
        <v>6930058</v>
      </c>
      <c r="D685" s="1006">
        <f>D672</f>
        <v>5.41</v>
      </c>
      <c r="E685" s="305" t="s">
        <v>362</v>
      </c>
      <c r="F685" s="490">
        <f>ROUND(D685*C685/100*$D$676,0)</f>
        <v>-3749</v>
      </c>
      <c r="G685" s="1006">
        <f ca="1">G672</f>
        <v>5.4060000000000006</v>
      </c>
      <c r="H685" s="305" t="s">
        <v>362</v>
      </c>
      <c r="I685" s="490">
        <f ca="1">ROUND(G685*$C685/100*G676,0)</f>
        <v>-3746</v>
      </c>
      <c r="J685" s="490"/>
      <c r="K685" s="1006" t="e">
        <f>K672</f>
        <v>#REF!</v>
      </c>
      <c r="L685" s="305" t="s">
        <v>362</v>
      </c>
      <c r="M685" s="490" t="e">
        <f>ROUND(K685*$C685/100*K676,0)</f>
        <v>#REF!</v>
      </c>
      <c r="N685" s="490"/>
      <c r="O685" s="1006" t="e">
        <f>O672</f>
        <v>#REF!</v>
      </c>
      <c r="P685" s="305" t="s">
        <v>362</v>
      </c>
      <c r="Q685" s="490" t="e">
        <f>ROUND(O685*$C685/100*O676,0)</f>
        <v>#REF!</v>
      </c>
      <c r="R685" s="490"/>
      <c r="S685" s="1006" t="e">
        <f>S672</f>
        <v>#REF!</v>
      </c>
      <c r="T685" s="305" t="s">
        <v>362</v>
      </c>
      <c r="U685" s="490" t="e">
        <f>ROUND(S685*$C685/100*S676,0)</f>
        <v>#REF!</v>
      </c>
      <c r="X685" s="342"/>
      <c r="Y685" s="31"/>
      <c r="Z685" s="7"/>
      <c r="AA685" s="7"/>
      <c r="AB685" s="7"/>
      <c r="AC685" s="7"/>
      <c r="AD685" s="7"/>
      <c r="AE685" s="7"/>
      <c r="AF685" s="7"/>
      <c r="AG685" s="7"/>
      <c r="AH685" s="7"/>
      <c r="AI685" s="7"/>
      <c r="AJ685" s="7"/>
      <c r="AK685" s="7"/>
      <c r="AL685" s="7"/>
      <c r="AM685" s="7"/>
      <c r="AN685" s="7"/>
      <c r="AO685" s="7"/>
      <c r="AP685" s="7"/>
    </row>
    <row r="686" spans="1:44">
      <c r="A686" s="305" t="s">
        <v>388</v>
      </c>
      <c r="B686" s="305"/>
      <c r="C686" s="61">
        <v>6802</v>
      </c>
      <c r="D686" s="1021">
        <f>D673</f>
        <v>58</v>
      </c>
      <c r="E686" s="305" t="s">
        <v>362</v>
      </c>
      <c r="F686" s="490">
        <f>ROUND(D686*C686/100*$D$676,0)</f>
        <v>-39</v>
      </c>
      <c r="G686" s="1021">
        <f>G673</f>
        <v>58</v>
      </c>
      <c r="H686" s="305" t="s">
        <v>362</v>
      </c>
      <c r="I686" s="490">
        <f>ROUND(G686*$C686/100*G676,0)</f>
        <v>-39</v>
      </c>
      <c r="J686" s="490"/>
      <c r="K686" s="1021" t="e">
        <f>K673</f>
        <v>#REF!</v>
      </c>
      <c r="L686" s="305" t="s">
        <v>362</v>
      </c>
      <c r="M686" s="490" t="e">
        <f>ROUND(K686*$C686/100*K676,0)</f>
        <v>#REF!</v>
      </c>
      <c r="N686" s="490"/>
      <c r="O686" s="1021" t="e">
        <f>O673</f>
        <v>#REF!</v>
      </c>
      <c r="P686" s="305" t="s">
        <v>362</v>
      </c>
      <c r="Q686" s="490" t="e">
        <f>ROUND(O686*$C686/100*O676,0)</f>
        <v>#REF!</v>
      </c>
      <c r="R686" s="490"/>
      <c r="S686" s="1021" t="e">
        <f>S673</f>
        <v>#REF!</v>
      </c>
      <c r="T686" s="305" t="s">
        <v>362</v>
      </c>
      <c r="U686" s="490" t="e">
        <f>ROUND(S686*$C686/100*S676,0)</f>
        <v>#REF!</v>
      </c>
      <c r="X686" s="342"/>
      <c r="Y686" s="31"/>
      <c r="Z686" s="7"/>
      <c r="AA686" s="7"/>
      <c r="AB686" s="7"/>
      <c r="AC686" s="7"/>
      <c r="AD686" s="7"/>
      <c r="AE686" s="7"/>
      <c r="AF686" s="7"/>
      <c r="AG686" s="7"/>
      <c r="AH686" s="7"/>
      <c r="AI686" s="7"/>
      <c r="AJ686" s="7"/>
      <c r="AK686" s="7"/>
      <c r="AL686" s="7"/>
      <c r="AM686" s="7"/>
      <c r="AN686" s="7"/>
      <c r="AO686" s="7"/>
      <c r="AP686" s="7"/>
    </row>
    <row r="687" spans="1:44">
      <c r="A687" s="305" t="s">
        <v>431</v>
      </c>
      <c r="B687" s="305"/>
      <c r="C687" s="61">
        <v>104</v>
      </c>
      <c r="D687" s="448">
        <v>60</v>
      </c>
      <c r="E687" s="305"/>
      <c r="F687" s="490">
        <f>ROUND(D687*C687,0)</f>
        <v>6240</v>
      </c>
      <c r="G687" s="448">
        <f>$G$647</f>
        <v>60</v>
      </c>
      <c r="H687" s="305"/>
      <c r="I687" s="490">
        <f>ROUND(G687*$C687,0)</f>
        <v>6240</v>
      </c>
      <c r="J687" s="490"/>
      <c r="K687" s="448" t="e">
        <f>$K$647</f>
        <v>#REF!</v>
      </c>
      <c r="L687" s="305"/>
      <c r="M687" s="490" t="e">
        <f>ROUND(K687*$C687,0)</f>
        <v>#REF!</v>
      </c>
      <c r="N687" s="490"/>
      <c r="O687" s="448" t="e">
        <f>$O$647</f>
        <v>#REF!</v>
      </c>
      <c r="P687" s="305"/>
      <c r="Q687" s="490" t="e">
        <f>ROUND(O687*$C687,0)</f>
        <v>#REF!</v>
      </c>
      <c r="R687" s="490"/>
      <c r="S687" s="448" t="e">
        <f>$S$647</f>
        <v>#REF!</v>
      </c>
      <c r="T687" s="305"/>
      <c r="U687" s="490" t="e">
        <f>ROUND(S687*$C687,0)</f>
        <v>#REF!</v>
      </c>
      <c r="X687" s="4"/>
      <c r="Y687" s="450"/>
      <c r="Z687" s="7"/>
      <c r="AA687" s="7"/>
      <c r="AB687" s="7"/>
      <c r="AC687" s="7"/>
      <c r="AD687" s="7"/>
      <c r="AE687" s="7"/>
      <c r="AF687" s="7"/>
      <c r="AG687" s="7"/>
      <c r="AH687" s="7"/>
      <c r="AI687" s="7"/>
      <c r="AJ687" s="7"/>
      <c r="AK687" s="7"/>
      <c r="AL687" s="7"/>
      <c r="AM687" s="7"/>
      <c r="AN687" s="7"/>
      <c r="AO687" s="7"/>
      <c r="AP687" s="7"/>
    </row>
    <row r="688" spans="1:44">
      <c r="A688" s="305" t="s">
        <v>432</v>
      </c>
      <c r="B688" s="1008"/>
      <c r="C688" s="61">
        <v>46478</v>
      </c>
      <c r="D688" s="1027">
        <v>-30</v>
      </c>
      <c r="E688" s="490" t="s">
        <v>362</v>
      </c>
      <c r="F688" s="490">
        <f>-ROUND(D688*C688*$D$676,0)</f>
        <v>-13943</v>
      </c>
      <c r="G688" s="1027">
        <f>$G$648</f>
        <v>-30</v>
      </c>
      <c r="H688" s="490" t="s">
        <v>362</v>
      </c>
      <c r="I688" s="490">
        <f>ROUND(G688*$C688/100,0)</f>
        <v>-13943</v>
      </c>
      <c r="J688" s="490"/>
      <c r="K688" s="1027" t="e">
        <f>$K$648</f>
        <v>#REF!</v>
      </c>
      <c r="L688" s="490" t="s">
        <v>362</v>
      </c>
      <c r="M688" s="490" t="e">
        <f>ROUND(K688*$C688/100,0)</f>
        <v>#REF!</v>
      </c>
      <c r="N688" s="490"/>
      <c r="O688" s="1027" t="str">
        <f>$O$648</f>
        <v xml:space="preserve"> </v>
      </c>
      <c r="P688" s="490" t="s">
        <v>362</v>
      </c>
      <c r="Q688" s="490">
        <f>ROUND(O688*$C688/100,0)</f>
        <v>0</v>
      </c>
      <c r="R688" s="490"/>
      <c r="S688" s="1027">
        <f>$S$648</f>
        <v>0</v>
      </c>
      <c r="T688" s="490" t="s">
        <v>362</v>
      </c>
      <c r="U688" s="490">
        <f>ROUND(S688*$C688/100,0)</f>
        <v>0</v>
      </c>
      <c r="X688" s="4"/>
      <c r="Y688" s="450"/>
      <c r="Z688" s="7" t="s">
        <v>31</v>
      </c>
      <c r="AA688" s="7"/>
      <c r="AB688" s="7"/>
      <c r="AC688" s="7"/>
      <c r="AD688" s="7"/>
      <c r="AE688" s="7"/>
      <c r="AF688" s="7"/>
      <c r="AG688" s="7"/>
      <c r="AH688" s="7"/>
      <c r="AI688" s="7"/>
      <c r="AJ688" s="7"/>
      <c r="AK688" s="7"/>
      <c r="AL688" s="7"/>
      <c r="AM688" s="7"/>
      <c r="AN688" s="7"/>
      <c r="AO688" s="7"/>
      <c r="AP688" s="7"/>
    </row>
    <row r="689" spans="1:44" s="588" customFormat="1" hidden="1">
      <c r="A689" s="588" t="s">
        <v>766</v>
      </c>
      <c r="C689" s="604">
        <f>C684</f>
        <v>3473060</v>
      </c>
      <c r="D689" s="990">
        <v>0</v>
      </c>
      <c r="E689" s="635"/>
      <c r="F689" s="616"/>
      <c r="G689" s="987">
        <f>G674</f>
        <v>0</v>
      </c>
      <c r="H689" s="616" t="s">
        <v>362</v>
      </c>
      <c r="I689" s="616">
        <f>ROUND(G689*$C689/100*G676,0)</f>
        <v>0</v>
      </c>
      <c r="J689" s="616"/>
      <c r="K689" s="987" t="e">
        <f>K674</f>
        <v>#REF!</v>
      </c>
      <c r="L689" s="616" t="s">
        <v>362</v>
      </c>
      <c r="M689" s="616" t="e">
        <f>ROUND(K689*$C689/100*K676,0)</f>
        <v>#REF!</v>
      </c>
      <c r="N689" s="616"/>
      <c r="O689" s="987" t="e">
        <f>O674</f>
        <v>#REF!</v>
      </c>
      <c r="P689" s="616" t="s">
        <v>362</v>
      </c>
      <c r="Q689" s="616" t="e">
        <f>ROUND(O689*$C689/100*O676,0)</f>
        <v>#REF!</v>
      </c>
      <c r="R689" s="616"/>
      <c r="S689" s="987" t="e">
        <f>S674</f>
        <v>#REF!</v>
      </c>
      <c r="T689" s="616" t="s">
        <v>362</v>
      </c>
      <c r="U689" s="616" t="e">
        <f>ROUND(S689*$C689/100*S676,0)</f>
        <v>#REF!</v>
      </c>
      <c r="W689" s="1049"/>
      <c r="X689" s="1050"/>
      <c r="Y689" s="655"/>
      <c r="Z689" s="989"/>
      <c r="AA689" s="989"/>
      <c r="AF689" s="635"/>
      <c r="AG689" s="635"/>
      <c r="AH689" s="635"/>
      <c r="AI689" s="635"/>
      <c r="AJ689" s="635"/>
      <c r="AK689" s="635"/>
      <c r="AL689" s="635"/>
      <c r="AM689" s="635"/>
      <c r="AN689" s="635"/>
      <c r="AO689" s="635"/>
      <c r="AP689" s="635"/>
      <c r="AR689" s="988"/>
    </row>
    <row r="690" spans="1:44" s="588" customFormat="1" hidden="1">
      <c r="A690" s="588" t="s">
        <v>767</v>
      </c>
      <c r="C690" s="604">
        <f>C685</f>
        <v>6930058</v>
      </c>
      <c r="D690" s="990">
        <v>0</v>
      </c>
      <c r="E690" s="635"/>
      <c r="F690" s="616"/>
      <c r="G690" s="987">
        <f>G675</f>
        <v>0</v>
      </c>
      <c r="H690" s="616" t="s">
        <v>362</v>
      </c>
      <c r="I690" s="616">
        <f>ROUND(G690*$C690/100*G676,0)</f>
        <v>0</v>
      </c>
      <c r="J690" s="616"/>
      <c r="K690" s="987" t="e">
        <f>K675</f>
        <v>#REF!</v>
      </c>
      <c r="L690" s="616" t="s">
        <v>362</v>
      </c>
      <c r="M690" s="616" t="e">
        <f>ROUND(K690*$C690/100*K676,0)</f>
        <v>#REF!</v>
      </c>
      <c r="N690" s="616"/>
      <c r="O690" s="987" t="e">
        <f>O675</f>
        <v>#REF!</v>
      </c>
      <c r="P690" s="616" t="s">
        <v>362</v>
      </c>
      <c r="Q690" s="616" t="e">
        <f>ROUND(O690*$C690/100*O676,0)</f>
        <v>#REF!</v>
      </c>
      <c r="R690" s="616"/>
      <c r="S690" s="987" t="e">
        <f>S675</f>
        <v>#REF!</v>
      </c>
      <c r="T690" s="616" t="s">
        <v>362</v>
      </c>
      <c r="U690" s="616" t="e">
        <f>ROUND(S690*$C690/100*S676,0)</f>
        <v>#REF!</v>
      </c>
      <c r="W690" s="1049"/>
      <c r="X690" s="1050"/>
      <c r="Y690" s="655"/>
      <c r="Z690" s="989"/>
      <c r="AA690" s="989"/>
      <c r="AF690" s="635"/>
      <c r="AG690" s="635"/>
      <c r="AH690" s="635"/>
      <c r="AI690" s="635"/>
      <c r="AJ690" s="635"/>
      <c r="AK690" s="635"/>
      <c r="AL690" s="635"/>
      <c r="AM690" s="635"/>
      <c r="AN690" s="635"/>
      <c r="AO690" s="635"/>
      <c r="AP690" s="635"/>
      <c r="AR690" s="988"/>
    </row>
    <row r="691" spans="1:44">
      <c r="A691" s="305" t="s">
        <v>369</v>
      </c>
      <c r="B691" s="1010"/>
      <c r="C691" s="61">
        <f>SUM(C671:C672)</f>
        <v>838968780.0470736</v>
      </c>
      <c r="D691" s="1021"/>
      <c r="E691" s="305"/>
      <c r="F691" s="490">
        <f>SUM(F661:F688)</f>
        <v>66864118</v>
      </c>
      <c r="G691" s="1021"/>
      <c r="H691" s="305"/>
      <c r="I691" s="490">
        <f ca="1">SUM(I661:I690)</f>
        <v>66837248</v>
      </c>
      <c r="J691" s="490"/>
      <c r="K691" s="1021"/>
      <c r="L691" s="305"/>
      <c r="M691" s="490" t="e">
        <f>SUM(M661:M690)</f>
        <v>#REF!</v>
      </c>
      <c r="N691" s="490"/>
      <c r="O691" s="1021"/>
      <c r="P691" s="305"/>
      <c r="Q691" s="490" t="e">
        <f>SUM(Q661:Q690)</f>
        <v>#REF!</v>
      </c>
      <c r="R691" s="490"/>
      <c r="S691" s="1021"/>
      <c r="T691" s="305"/>
      <c r="U691" s="490" t="e">
        <f>SUM(U661:U690)</f>
        <v>#REF!</v>
      </c>
      <c r="X691" s="342"/>
      <c r="Y691" s="31"/>
      <c r="Z691" s="7"/>
      <c r="AA691" s="7"/>
      <c r="AB691" s="7"/>
      <c r="AC691" s="7"/>
      <c r="AD691" s="7"/>
      <c r="AE691" s="7"/>
      <c r="AF691" s="7"/>
      <c r="AG691" s="7"/>
      <c r="AH691" s="7"/>
      <c r="AI691" s="7"/>
      <c r="AJ691" s="7"/>
      <c r="AK691" s="7"/>
      <c r="AL691" s="7"/>
      <c r="AM691" s="7"/>
      <c r="AN691" s="7"/>
      <c r="AO691" s="7"/>
      <c r="AP691" s="7"/>
    </row>
    <row r="692" spans="1:44">
      <c r="A692" s="305" t="s">
        <v>351</v>
      </c>
      <c r="B692" s="305"/>
      <c r="C692" s="1017">
        <f>'Table 2'!H46+'Table 2'!H19</f>
        <v>7716768.3597677127</v>
      </c>
      <c r="D692" s="305"/>
      <c r="E692" s="305"/>
      <c r="F692" s="993">
        <f>'Table 3'!E46+'Table 3'!E19</f>
        <v>874030.57612896967</v>
      </c>
      <c r="G692" s="305"/>
      <c r="H692" s="305"/>
      <c r="I692" s="993">
        <f>F692</f>
        <v>874030.57612896967</v>
      </c>
      <c r="J692" s="723"/>
      <c r="K692" s="305"/>
      <c r="L692" s="305"/>
      <c r="M692" s="993" t="e">
        <f ca="1">M652/I652*I692</f>
        <v>#DIV/0!</v>
      </c>
      <c r="N692" s="723"/>
      <c r="O692" s="305"/>
      <c r="P692" s="305"/>
      <c r="Q692" s="993" t="e">
        <f ca="1">Q652/I652*I692</f>
        <v>#DIV/0!</v>
      </c>
      <c r="R692" s="723"/>
      <c r="S692" s="305"/>
      <c r="T692" s="305"/>
      <c r="U692" s="993" t="e">
        <f ca="1">U652/I652*I692</f>
        <v>#DIV/0!</v>
      </c>
      <c r="V692" s="714"/>
      <c r="W692" s="171"/>
      <c r="X692" s="342"/>
      <c r="Y692" s="31"/>
      <c r="Z692" s="7"/>
      <c r="AA692" s="7"/>
      <c r="AB692" s="7"/>
      <c r="AC692" s="7"/>
      <c r="AD692" s="7"/>
      <c r="AE692" s="7"/>
      <c r="AF692" s="7"/>
      <c r="AG692" s="7"/>
      <c r="AH692" s="7"/>
      <c r="AI692" s="7"/>
      <c r="AJ692" s="7"/>
      <c r="AK692" s="7"/>
      <c r="AL692" s="7"/>
      <c r="AM692" s="7"/>
      <c r="AN692" s="7"/>
      <c r="AO692" s="7"/>
      <c r="AP692" s="7"/>
    </row>
    <row r="693" spans="1:44" ht="16.5" thickBot="1">
      <c r="A693" s="305" t="s">
        <v>370</v>
      </c>
      <c r="B693" s="305"/>
      <c r="C693" s="1012">
        <f>SUM(C691)+C692</f>
        <v>846685548.40684128</v>
      </c>
      <c r="D693" s="1036"/>
      <c r="E693" s="1030"/>
      <c r="F693" s="995">
        <f>F691+F692</f>
        <v>67738148.576128975</v>
      </c>
      <c r="G693" s="1036"/>
      <c r="H693" s="1030"/>
      <c r="I693" s="995">
        <f ca="1">I691+I692</f>
        <v>67711278.576128975</v>
      </c>
      <c r="J693" s="723"/>
      <c r="K693" s="1036"/>
      <c r="L693" s="1030"/>
      <c r="M693" s="995" t="e">
        <f ca="1">M691+M692</f>
        <v>#REF!</v>
      </c>
      <c r="N693" s="995"/>
      <c r="O693" s="1036"/>
      <c r="P693" s="1030"/>
      <c r="Q693" s="995" t="e">
        <f ca="1">Q691+Q692</f>
        <v>#REF!</v>
      </c>
      <c r="R693" s="995"/>
      <c r="S693" s="1036"/>
      <c r="T693" s="1030"/>
      <c r="U693" s="995" t="e">
        <f ca="1">U691+U692</f>
        <v>#REF!</v>
      </c>
      <c r="V693" s="295"/>
      <c r="W693" s="354"/>
      <c r="X693" s="342"/>
      <c r="Y693" s="31"/>
      <c r="Z693" s="7"/>
      <c r="AA693" s="7"/>
      <c r="AB693" s="7"/>
      <c r="AC693" s="7"/>
      <c r="AD693" s="7"/>
      <c r="AE693" s="7"/>
      <c r="AF693" s="7"/>
      <c r="AG693" s="7"/>
      <c r="AH693" s="7"/>
      <c r="AI693" s="7"/>
      <c r="AJ693" s="7"/>
      <c r="AK693" s="7"/>
      <c r="AL693" s="7"/>
      <c r="AM693" s="7"/>
      <c r="AN693" s="7"/>
      <c r="AO693" s="7"/>
      <c r="AP693" s="7"/>
    </row>
    <row r="694" spans="1:44" ht="16.5" thickTop="1">
      <c r="A694" s="305"/>
      <c r="B694" s="305"/>
      <c r="C694" s="61"/>
      <c r="D694" s="237" t="s">
        <v>31</v>
      </c>
      <c r="E694" s="305"/>
      <c r="F694" s="490"/>
      <c r="G694" s="237" t="s">
        <v>31</v>
      </c>
      <c r="H694" s="305"/>
      <c r="I694" s="490" t="s">
        <v>31</v>
      </c>
      <c r="J694" s="490"/>
      <c r="K694" s="237" t="s">
        <v>31</v>
      </c>
      <c r="L694" s="305"/>
      <c r="M694" s="490" t="s">
        <v>31</v>
      </c>
      <c r="N694" s="490"/>
      <c r="O694" s="237" t="s">
        <v>31</v>
      </c>
      <c r="P694" s="305"/>
      <c r="Q694" s="490" t="s">
        <v>31</v>
      </c>
      <c r="R694" s="490"/>
      <c r="S694" s="237" t="s">
        <v>31</v>
      </c>
      <c r="T694" s="305"/>
      <c r="U694" s="490" t="s">
        <v>31</v>
      </c>
      <c r="V694" s="7"/>
      <c r="W694" s="31"/>
      <c r="X694" s="342"/>
      <c r="Y694" s="31"/>
      <c r="Z694" s="7"/>
      <c r="AA694" s="7"/>
      <c r="AB694" s="7"/>
      <c r="AC694" s="7"/>
      <c r="AD694" s="7"/>
      <c r="AE694" s="7"/>
      <c r="AF694" s="7"/>
      <c r="AG694" s="7"/>
      <c r="AH694" s="7"/>
      <c r="AI694" s="7"/>
      <c r="AJ694" s="7"/>
      <c r="AK694" s="7"/>
      <c r="AL694" s="7"/>
      <c r="AM694" s="7"/>
      <c r="AN694" s="7"/>
      <c r="AO694" s="7"/>
      <c r="AP694" s="7"/>
    </row>
    <row r="695" spans="1:44">
      <c r="A695" s="305" t="s">
        <v>424</v>
      </c>
      <c r="B695" s="305"/>
      <c r="C695" s="305"/>
      <c r="D695" s="490"/>
      <c r="E695" s="305"/>
      <c r="F695" s="305"/>
      <c r="G695" s="490"/>
      <c r="H695" s="305"/>
      <c r="I695" s="305"/>
      <c r="J695" s="305"/>
      <c r="K695" s="490"/>
      <c r="L695" s="305"/>
      <c r="M695" s="305"/>
      <c r="N695" s="305"/>
      <c r="O695" s="490"/>
      <c r="P695" s="305"/>
      <c r="Q695" s="305"/>
      <c r="R695" s="305"/>
      <c r="S695" s="490"/>
      <c r="T695" s="305"/>
      <c r="U695" s="305"/>
      <c r="V695" s="7"/>
      <c r="W695" s="31"/>
      <c r="X695" s="342"/>
      <c r="Y695" s="31"/>
      <c r="Z695" s="7"/>
      <c r="AA695" s="7"/>
      <c r="AB695" s="7"/>
      <c r="AC695" s="7"/>
      <c r="AD695" s="7"/>
      <c r="AE695" s="7"/>
      <c r="AF695" s="7"/>
      <c r="AG695" s="7"/>
      <c r="AH695" s="7"/>
      <c r="AI695" s="7"/>
      <c r="AJ695" s="7"/>
      <c r="AK695" s="7"/>
      <c r="AL695" s="7"/>
      <c r="AM695" s="7"/>
      <c r="AN695" s="7"/>
      <c r="AO695" s="7"/>
      <c r="AP695" s="7"/>
    </row>
    <row r="696" spans="1:44">
      <c r="A696" s="305" t="s">
        <v>434</v>
      </c>
      <c r="B696" s="305"/>
      <c r="C696" s="305"/>
      <c r="D696" s="490"/>
      <c r="E696" s="305"/>
      <c r="F696" s="305"/>
      <c r="G696" s="490"/>
      <c r="H696" s="305"/>
      <c r="I696" s="305"/>
      <c r="J696" s="305"/>
      <c r="K696" s="490"/>
      <c r="L696" s="305"/>
      <c r="M696" s="305"/>
      <c r="N696" s="305"/>
      <c r="O696" s="490"/>
      <c r="P696" s="305"/>
      <c r="Q696" s="305"/>
      <c r="R696" s="305"/>
      <c r="S696" s="490"/>
      <c r="T696" s="305"/>
      <c r="U696" s="305"/>
      <c r="V696" s="7"/>
      <c r="W696" s="31"/>
      <c r="X696" s="342"/>
      <c r="Y696" s="31"/>
      <c r="Z696" s="7"/>
      <c r="AA696" s="7"/>
      <c r="AB696" s="7"/>
      <c r="AC696" s="7"/>
      <c r="AD696" s="7"/>
      <c r="AE696" s="7"/>
      <c r="AF696" s="7"/>
      <c r="AG696" s="7"/>
      <c r="AH696" s="7"/>
      <c r="AI696" s="7"/>
      <c r="AJ696" s="7"/>
      <c r="AK696" s="7"/>
      <c r="AL696" s="7"/>
      <c r="AM696" s="7"/>
      <c r="AN696" s="7"/>
      <c r="AO696" s="7"/>
      <c r="AP696" s="7"/>
    </row>
    <row r="697" spans="1:44">
      <c r="A697" s="305"/>
      <c r="B697" s="305"/>
      <c r="C697" s="305"/>
      <c r="D697" s="490"/>
      <c r="E697" s="305"/>
      <c r="F697" s="305"/>
      <c r="G697" s="490"/>
      <c r="H697" s="305"/>
      <c r="I697" s="305"/>
      <c r="J697" s="305"/>
      <c r="K697" s="490"/>
      <c r="L697" s="305"/>
      <c r="M697" s="305"/>
      <c r="N697" s="305"/>
      <c r="O697" s="490"/>
      <c r="P697" s="305"/>
      <c r="Q697" s="305"/>
      <c r="R697" s="305"/>
      <c r="S697" s="490"/>
      <c r="T697" s="305"/>
      <c r="U697" s="305"/>
      <c r="V697" s="7"/>
      <c r="W697" s="31"/>
      <c r="X697" s="342"/>
      <c r="Y697" s="31"/>
      <c r="Z697" s="7"/>
      <c r="AA697" s="7"/>
      <c r="AB697" s="7"/>
      <c r="AC697" s="7"/>
      <c r="AD697" s="7"/>
      <c r="AE697" s="7"/>
      <c r="AF697" s="7"/>
      <c r="AG697" s="7"/>
      <c r="AH697" s="7"/>
      <c r="AI697" s="7"/>
      <c r="AJ697" s="7"/>
      <c r="AK697" s="7"/>
      <c r="AL697" s="7"/>
      <c r="AM697" s="7"/>
      <c r="AN697" s="7"/>
      <c r="AO697" s="7"/>
      <c r="AP697" s="7"/>
    </row>
    <row r="698" spans="1:44">
      <c r="A698" s="305" t="s">
        <v>381</v>
      </c>
      <c r="B698" s="61"/>
      <c r="C698" s="61"/>
      <c r="D698" s="490"/>
      <c r="E698" s="305"/>
      <c r="F698" s="305"/>
      <c r="G698" s="490"/>
      <c r="H698" s="305"/>
      <c r="I698" s="305"/>
      <c r="J698" s="305"/>
      <c r="K698" s="490"/>
      <c r="L698" s="305"/>
      <c r="M698" s="305"/>
      <c r="N698" s="305"/>
      <c r="O698" s="490"/>
      <c r="P698" s="305"/>
      <c r="Q698" s="305"/>
      <c r="R698" s="305"/>
      <c r="S698" s="490"/>
      <c r="T698" s="305"/>
      <c r="U698" s="305"/>
      <c r="V698" s="7"/>
      <c r="W698" s="31"/>
      <c r="X698" s="342"/>
      <c r="Y698" s="31"/>
      <c r="Z698" s="7"/>
      <c r="AA698" s="7"/>
      <c r="AB698" s="7"/>
      <c r="AC698" s="7"/>
      <c r="AD698" s="7"/>
      <c r="AE698" s="7"/>
      <c r="AF698" s="7"/>
      <c r="AG698" s="7"/>
      <c r="AH698" s="7"/>
      <c r="AI698" s="7"/>
      <c r="AJ698" s="7"/>
      <c r="AK698" s="7"/>
      <c r="AL698" s="7"/>
      <c r="AM698" s="7"/>
      <c r="AN698" s="7"/>
      <c r="AO698" s="7"/>
      <c r="AP698" s="7"/>
    </row>
    <row r="699" spans="1:44">
      <c r="A699" s="305" t="s">
        <v>409</v>
      </c>
      <c r="B699" s="305"/>
      <c r="C699" s="61">
        <v>13.399999999999999</v>
      </c>
      <c r="D699" s="448">
        <f>D619</f>
        <v>268</v>
      </c>
      <c r="E699" s="305"/>
      <c r="F699" s="490">
        <f>ROUND(D699*C699,0)</f>
        <v>3591</v>
      </c>
      <c r="G699" s="448">
        <f>$G$619</f>
        <v>264</v>
      </c>
      <c r="H699" s="305"/>
      <c r="I699" s="490">
        <f>ROUND(G699*$C699,0)</f>
        <v>3538</v>
      </c>
      <c r="J699" s="490"/>
      <c r="K699" s="448" t="e">
        <f>$K$619</f>
        <v>#REF!</v>
      </c>
      <c r="L699" s="305"/>
      <c r="M699" s="490" t="e">
        <f>ROUND(K699*$C699,0)</f>
        <v>#REF!</v>
      </c>
      <c r="N699" s="490"/>
      <c r="O699" s="448" t="e">
        <f>$O$619</f>
        <v>#REF!</v>
      </c>
      <c r="P699" s="305"/>
      <c r="Q699" s="490" t="e">
        <f>ROUND(O699*$C699,0)</f>
        <v>#REF!</v>
      </c>
      <c r="R699" s="490"/>
      <c r="S699" s="448" t="e">
        <f>$S$619</f>
        <v>#REF!</v>
      </c>
      <c r="T699" s="305"/>
      <c r="U699" s="490" t="e">
        <f>ROUND(S699*$C699,0)</f>
        <v>#REF!</v>
      </c>
      <c r="V699" s="7"/>
      <c r="W699" s="31"/>
      <c r="X699" s="342"/>
      <c r="Y699" s="31"/>
      <c r="Z699" s="7"/>
      <c r="AA699" s="7"/>
      <c r="AB699" s="7"/>
      <c r="AC699" s="7"/>
      <c r="AD699" s="7"/>
      <c r="AE699" s="7"/>
      <c r="AF699" s="7"/>
      <c r="AG699" s="7"/>
      <c r="AH699" s="7"/>
      <c r="AI699" s="7"/>
      <c r="AJ699" s="7"/>
      <c r="AK699" s="7"/>
      <c r="AL699" s="7"/>
      <c r="AM699" s="7"/>
      <c r="AN699" s="7"/>
      <c r="AO699" s="7"/>
      <c r="AP699" s="7"/>
    </row>
    <row r="700" spans="1:44">
      <c r="A700" s="305" t="s">
        <v>410</v>
      </c>
      <c r="B700" s="305"/>
      <c r="C700" s="61">
        <v>699.06666666666695</v>
      </c>
      <c r="D700" s="448">
        <f t="shared" ref="D700:D701" si="152">D620</f>
        <v>100</v>
      </c>
      <c r="E700" s="305"/>
      <c r="F700" s="490">
        <f>ROUND(D700*C700,0)</f>
        <v>69907</v>
      </c>
      <c r="G700" s="448">
        <f>$G$620</f>
        <v>100</v>
      </c>
      <c r="H700" s="305"/>
      <c r="I700" s="490">
        <f>ROUND(G700*$C700,0)</f>
        <v>69907</v>
      </c>
      <c r="J700" s="490"/>
      <c r="K700" s="448" t="e">
        <f>$K$620</f>
        <v>#REF!</v>
      </c>
      <c r="L700" s="305"/>
      <c r="M700" s="490" t="e">
        <f>ROUND(K700*$C700,0)</f>
        <v>#REF!</v>
      </c>
      <c r="N700" s="490"/>
      <c r="O700" s="448" t="e">
        <f>$O$620</f>
        <v>#REF!</v>
      </c>
      <c r="P700" s="305"/>
      <c r="Q700" s="490" t="e">
        <f>ROUND(O700*$C700,0)</f>
        <v>#REF!</v>
      </c>
      <c r="R700" s="490"/>
      <c r="S700" s="448" t="e">
        <f>$S$620</f>
        <v>#REF!</v>
      </c>
      <c r="T700" s="305"/>
      <c r="U700" s="490" t="e">
        <f>ROUND(S700*$C700,0)</f>
        <v>#REF!</v>
      </c>
      <c r="V700" s="7"/>
      <c r="W700" s="31"/>
      <c r="X700" s="342"/>
      <c r="Y700" s="31"/>
      <c r="Z700" s="7"/>
      <c r="AA700" s="7"/>
      <c r="AB700" s="7"/>
      <c r="AC700" s="7"/>
      <c r="AD700" s="7"/>
      <c r="AE700" s="7"/>
      <c r="AF700" s="7"/>
      <c r="AG700" s="7"/>
      <c r="AH700" s="7"/>
      <c r="AI700" s="7"/>
      <c r="AJ700" s="7"/>
      <c r="AK700" s="7"/>
      <c r="AL700" s="7"/>
      <c r="AM700" s="7"/>
      <c r="AN700" s="7"/>
      <c r="AO700" s="7"/>
      <c r="AP700" s="7"/>
    </row>
    <row r="701" spans="1:44">
      <c r="A701" s="305" t="s">
        <v>411</v>
      </c>
      <c r="B701" s="305"/>
      <c r="C701" s="61">
        <v>515.03333333333296</v>
      </c>
      <c r="D701" s="448">
        <f t="shared" si="152"/>
        <v>200</v>
      </c>
      <c r="E701" s="1004"/>
      <c r="F701" s="490">
        <f>ROUND(D701*C701,0)</f>
        <v>103007</v>
      </c>
      <c r="G701" s="448">
        <f>$G$621</f>
        <v>200</v>
      </c>
      <c r="H701" s="1004"/>
      <c r="I701" s="490">
        <f>ROUND(G701*$C701,0)</f>
        <v>103007</v>
      </c>
      <c r="J701" s="490"/>
      <c r="K701" s="448" t="e">
        <f>$K$621</f>
        <v>#REF!</v>
      </c>
      <c r="L701" s="1004"/>
      <c r="M701" s="490" t="e">
        <f>ROUND(K701*$C701,0)</f>
        <v>#REF!</v>
      </c>
      <c r="N701" s="490"/>
      <c r="O701" s="448" t="e">
        <f>$O$621</f>
        <v>#REF!</v>
      </c>
      <c r="P701" s="1004"/>
      <c r="Q701" s="490" t="e">
        <f>ROUND(O701*$C701,0)</f>
        <v>#REF!</v>
      </c>
      <c r="R701" s="490"/>
      <c r="S701" s="448" t="e">
        <f>$S$621</f>
        <v>#REF!</v>
      </c>
      <c r="T701" s="1004"/>
      <c r="U701" s="490" t="e">
        <f>ROUND(S701*$C701,0)</f>
        <v>#REF!</v>
      </c>
      <c r="V701" s="7"/>
      <c r="W701" s="31"/>
      <c r="X701" s="342"/>
      <c r="Y701" s="31"/>
      <c r="Z701" s="7"/>
      <c r="AA701" s="7"/>
      <c r="AB701" s="7"/>
      <c r="AC701" s="7"/>
      <c r="AD701" s="7"/>
      <c r="AE701" s="7"/>
      <c r="AF701" s="7"/>
      <c r="AG701" s="7"/>
      <c r="AH701" s="7"/>
      <c r="AI701" s="7"/>
      <c r="AJ701" s="7"/>
      <c r="AK701" s="7"/>
      <c r="AL701" s="7"/>
      <c r="AM701" s="7"/>
      <c r="AN701" s="7"/>
      <c r="AO701" s="7"/>
      <c r="AP701" s="7"/>
    </row>
    <row r="702" spans="1:44">
      <c r="A702" s="305" t="s">
        <v>382</v>
      </c>
      <c r="B702" s="305"/>
      <c r="C702" s="61">
        <f>SUM(C699:C701)</f>
        <v>1227.5</v>
      </c>
      <c r="D702" s="448"/>
      <c r="E702" s="305"/>
      <c r="F702" s="490"/>
      <c r="G702" s="448"/>
      <c r="H702" s="305"/>
      <c r="I702" s="490"/>
      <c r="J702" s="490"/>
      <c r="K702" s="448"/>
      <c r="L702" s="305"/>
      <c r="M702" s="490"/>
      <c r="N702" s="490"/>
      <c r="O702" s="448"/>
      <c r="P702" s="305"/>
      <c r="Q702" s="490"/>
      <c r="R702" s="490"/>
      <c r="S702" s="448"/>
      <c r="T702" s="305"/>
      <c r="U702" s="490"/>
      <c r="V702" s="7"/>
      <c r="W702" s="31"/>
      <c r="X702" s="4"/>
      <c r="Y702" s="450"/>
      <c r="Z702" s="7"/>
      <c r="AA702" s="7"/>
      <c r="AB702" s="7"/>
      <c r="AC702" s="7"/>
      <c r="AD702" s="7"/>
      <c r="AE702" s="7"/>
      <c r="AF702" s="7"/>
      <c r="AG702" s="7"/>
      <c r="AH702" s="7"/>
      <c r="AI702" s="7"/>
      <c r="AJ702" s="7"/>
      <c r="AK702" s="7"/>
      <c r="AL702" s="7"/>
      <c r="AM702" s="7"/>
      <c r="AN702" s="7"/>
      <c r="AO702" s="7"/>
      <c r="AP702" s="7"/>
    </row>
    <row r="703" spans="1:44">
      <c r="A703" s="305" t="s">
        <v>410</v>
      </c>
      <c r="B703" s="305"/>
      <c r="C703" s="61">
        <v>120922.266666667</v>
      </c>
      <c r="D703" s="448">
        <f>D623</f>
        <v>1.83</v>
      </c>
      <c r="E703" s="305" t="s">
        <v>31</v>
      </c>
      <c r="F703" s="490">
        <f>ROUND(D703*C703,0)</f>
        <v>221288</v>
      </c>
      <c r="G703" s="448">
        <f>$G$623</f>
        <v>1.83</v>
      </c>
      <c r="H703" s="305" t="s">
        <v>31</v>
      </c>
      <c r="I703" s="490">
        <f>ROUND(G703*$C703,0)</f>
        <v>221288</v>
      </c>
      <c r="J703" s="490"/>
      <c r="K703" s="448" t="e">
        <f>$K$623</f>
        <v>#REF!</v>
      </c>
      <c r="L703" s="305" t="s">
        <v>31</v>
      </c>
      <c r="M703" s="490" t="e">
        <f>ROUND(K703*$C703,0)</f>
        <v>#REF!</v>
      </c>
      <c r="N703" s="490"/>
      <c r="O703" s="448" t="e">
        <f>$O$623</f>
        <v>#REF!</v>
      </c>
      <c r="P703" s="305" t="s">
        <v>31</v>
      </c>
      <c r="Q703" s="490" t="e">
        <f>ROUND(O703*$C703,0)</f>
        <v>#REF!</v>
      </c>
      <c r="R703" s="490"/>
      <c r="S703" s="448" t="e">
        <f>$S$623</f>
        <v>#REF!</v>
      </c>
      <c r="T703" s="305" t="s">
        <v>31</v>
      </c>
      <c r="U703" s="490" t="e">
        <f>ROUND(S703*$C703,0)</f>
        <v>#REF!</v>
      </c>
      <c r="V703" s="7"/>
      <c r="W703" s="31"/>
      <c r="X703" s="4"/>
      <c r="Y703" s="450"/>
      <c r="Z703" s="7"/>
      <c r="AA703" s="7"/>
      <c r="AB703" s="7"/>
      <c r="AC703" s="7"/>
      <c r="AD703" s="7"/>
      <c r="AE703" s="7"/>
      <c r="AF703" s="7"/>
      <c r="AG703" s="7"/>
      <c r="AH703" s="7"/>
      <c r="AI703" s="7"/>
      <c r="AJ703" s="7"/>
      <c r="AK703" s="7"/>
      <c r="AL703" s="7"/>
      <c r="AM703" s="7"/>
      <c r="AN703" s="7"/>
      <c r="AO703" s="7"/>
      <c r="AP703" s="7"/>
    </row>
    <row r="704" spans="1:44">
      <c r="A704" s="305" t="s">
        <v>411</v>
      </c>
      <c r="B704" s="305"/>
      <c r="C704" s="61">
        <v>302388.59999999998</v>
      </c>
      <c r="D704" s="448">
        <f>D624</f>
        <v>1.5</v>
      </c>
      <c r="E704" s="305" t="s">
        <v>31</v>
      </c>
      <c r="F704" s="490">
        <f>ROUND(D704*C704,0)</f>
        <v>453583</v>
      </c>
      <c r="G704" s="448">
        <f>$G$624</f>
        <v>1.5</v>
      </c>
      <c r="H704" s="305" t="s">
        <v>31</v>
      </c>
      <c r="I704" s="490">
        <f>ROUND(G704*$C704,0)</f>
        <v>453583</v>
      </c>
      <c r="J704" s="490"/>
      <c r="K704" s="448" t="e">
        <f>$K$624</f>
        <v>#REF!</v>
      </c>
      <c r="L704" s="305" t="s">
        <v>31</v>
      </c>
      <c r="M704" s="490" t="e">
        <f>ROUND(K704*$C704,0)</f>
        <v>#REF!</v>
      </c>
      <c r="N704" s="490"/>
      <c r="O704" s="448" t="e">
        <f>$O$624</f>
        <v>#REF!</v>
      </c>
      <c r="P704" s="305" t="s">
        <v>31</v>
      </c>
      <c r="Q704" s="490" t="e">
        <f>ROUND(O704*$C704,0)</f>
        <v>#REF!</v>
      </c>
      <c r="R704" s="490"/>
      <c r="S704" s="448" t="e">
        <f>$S$624</f>
        <v>#REF!</v>
      </c>
      <c r="T704" s="305" t="s">
        <v>31</v>
      </c>
      <c r="U704" s="490" t="e">
        <f>ROUND(S704*$C704,0)</f>
        <v>#REF!</v>
      </c>
      <c r="V704" s="7"/>
      <c r="W704" s="31"/>
      <c r="X704" s="342"/>
      <c r="Y704" s="31"/>
      <c r="Z704" s="7"/>
      <c r="AA704" s="7"/>
      <c r="AB704" s="7"/>
      <c r="AC704" s="7"/>
      <c r="AD704" s="7"/>
      <c r="AE704" s="7"/>
      <c r="AF704" s="7"/>
      <c r="AG704" s="7"/>
      <c r="AH704" s="7"/>
      <c r="AI704" s="7"/>
      <c r="AJ704" s="7"/>
      <c r="AK704" s="7"/>
      <c r="AL704" s="7"/>
      <c r="AM704" s="7"/>
      <c r="AN704" s="7"/>
      <c r="AO704" s="7"/>
      <c r="AP704" s="7"/>
    </row>
    <row r="705" spans="1:44">
      <c r="A705" s="305" t="s">
        <v>412</v>
      </c>
      <c r="B705" s="305"/>
      <c r="C705" s="61"/>
      <c r="D705" s="448"/>
      <c r="E705" s="305"/>
      <c r="F705" s="490"/>
      <c r="G705" s="448"/>
      <c r="H705" s="305"/>
      <c r="I705" s="490"/>
      <c r="J705" s="490"/>
      <c r="K705" s="448"/>
      <c r="L705" s="305"/>
      <c r="M705" s="490"/>
      <c r="N705" s="490"/>
      <c r="O705" s="448"/>
      <c r="P705" s="305"/>
      <c r="Q705" s="490"/>
      <c r="R705" s="490"/>
      <c r="S705" s="448"/>
      <c r="T705" s="305"/>
      <c r="U705" s="490"/>
      <c r="V705" s="7"/>
      <c r="W705" s="31"/>
      <c r="X705" s="31"/>
      <c r="Y705" s="31"/>
      <c r="Z705" s="7"/>
      <c r="AA705" s="7"/>
      <c r="AB705" s="7"/>
      <c r="AC705" s="7"/>
      <c r="AD705" s="7"/>
      <c r="AE705" s="7"/>
      <c r="AF705" s="7"/>
      <c r="AG705" s="7"/>
      <c r="AH705" s="7"/>
      <c r="AI705" s="7"/>
      <c r="AJ705" s="7"/>
      <c r="AK705" s="7"/>
      <c r="AL705" s="7"/>
      <c r="AM705" s="7"/>
      <c r="AN705" s="7"/>
      <c r="AO705" s="7"/>
      <c r="AP705" s="7"/>
    </row>
    <row r="706" spans="1:44">
      <c r="A706" s="305" t="s">
        <v>413</v>
      </c>
      <c r="B706" s="305"/>
      <c r="C706" s="61">
        <v>327718.34999999969</v>
      </c>
      <c r="D706" s="448">
        <f>D626</f>
        <v>5.6</v>
      </c>
      <c r="E706" s="305"/>
      <c r="F706" s="490">
        <f>ROUND(D706*C706,0)</f>
        <v>1835223</v>
      </c>
      <c r="G706" s="448">
        <f>$G$626</f>
        <v>5.6</v>
      </c>
      <c r="H706" s="305"/>
      <c r="I706" s="490">
        <f>ROUND(G706*$C706,0)</f>
        <v>1835223</v>
      </c>
      <c r="J706" s="490"/>
      <c r="K706" s="448" t="e">
        <f>$K$626</f>
        <v>#REF!</v>
      </c>
      <c r="L706" s="305"/>
      <c r="M706" s="490" t="e">
        <f>ROUND(K706*$C706,0)</f>
        <v>#REF!</v>
      </c>
      <c r="N706" s="490"/>
      <c r="O706" s="448" t="e">
        <f>$O$626</f>
        <v>#REF!</v>
      </c>
      <c r="P706" s="305"/>
      <c r="Q706" s="490" t="e">
        <f>ROUND(O706*$C706,0)</f>
        <v>#REF!</v>
      </c>
      <c r="R706" s="490"/>
      <c r="S706" s="448" t="e">
        <f>$S$626</f>
        <v>#REF!</v>
      </c>
      <c r="T706" s="305"/>
      <c r="U706" s="490" t="e">
        <f>ROUND(S706*$C706,0)</f>
        <v>#REF!</v>
      </c>
      <c r="V706" s="7"/>
      <c r="W706" s="31"/>
      <c r="X706" s="31"/>
      <c r="Y706" s="31"/>
      <c r="Z706" s="7"/>
      <c r="AA706" s="7"/>
      <c r="AB706" s="7"/>
      <c r="AC706" s="7"/>
      <c r="AD706" s="7"/>
      <c r="AE706" s="7"/>
      <c r="AF706" s="7"/>
      <c r="AG706" s="7"/>
      <c r="AH706" s="7"/>
      <c r="AI706" s="7"/>
      <c r="AJ706" s="7"/>
      <c r="AK706" s="7"/>
      <c r="AL706" s="7"/>
      <c r="AM706" s="7"/>
      <c r="AN706" s="7"/>
      <c r="AO706" s="7"/>
      <c r="AP706" s="7"/>
    </row>
    <row r="707" spans="1:44">
      <c r="A707" s="305" t="s">
        <v>429</v>
      </c>
      <c r="B707" s="305"/>
      <c r="C707" s="61">
        <v>506.66666666666703</v>
      </c>
      <c r="D707" s="448">
        <f>D706</f>
        <v>5.6</v>
      </c>
      <c r="E707" s="305"/>
      <c r="F707" s="490">
        <f>ROUND(D707*C707,0)</f>
        <v>2837</v>
      </c>
      <c r="G707" s="448">
        <f>G706</f>
        <v>5.6</v>
      </c>
      <c r="H707" s="305"/>
      <c r="I707" s="490">
        <f>ROUND(G707*$C707,0)</f>
        <v>2837</v>
      </c>
      <c r="J707" s="490"/>
      <c r="K707" s="448" t="e">
        <f>K706</f>
        <v>#REF!</v>
      </c>
      <c r="L707" s="305"/>
      <c r="M707" s="490" t="e">
        <f>ROUND(K707*$C707,0)</f>
        <v>#REF!</v>
      </c>
      <c r="N707" s="490"/>
      <c r="O707" s="448" t="e">
        <f>O706</f>
        <v>#REF!</v>
      </c>
      <c r="P707" s="305"/>
      <c r="Q707" s="490" t="e">
        <f>ROUND(O707*$C707,0)</f>
        <v>#REF!</v>
      </c>
      <c r="R707" s="490"/>
      <c r="S707" s="448" t="e">
        <f>S706</f>
        <v>#REF!</v>
      </c>
      <c r="T707" s="305"/>
      <c r="U707" s="490" t="e">
        <f>ROUND(S707*$C707,0)</f>
        <v>#REF!</v>
      </c>
      <c r="V707" s="7"/>
      <c r="W707" s="31"/>
      <c r="X707" s="31"/>
      <c r="Y707" s="31"/>
      <c r="Z707" s="7"/>
      <c r="AA707" s="7"/>
      <c r="AB707" s="7"/>
      <c r="AC707" s="7"/>
      <c r="AD707" s="7"/>
      <c r="AE707" s="7"/>
      <c r="AF707" s="7"/>
      <c r="AG707" s="7"/>
      <c r="AH707" s="7"/>
      <c r="AI707" s="7"/>
      <c r="AJ707" s="7"/>
      <c r="AK707" s="7"/>
      <c r="AL707" s="7"/>
      <c r="AM707" s="7"/>
      <c r="AN707" s="7"/>
      <c r="AO707" s="7"/>
      <c r="AP707" s="7"/>
    </row>
    <row r="708" spans="1:44">
      <c r="A708" s="305" t="s">
        <v>414</v>
      </c>
      <c r="B708" s="305"/>
      <c r="C708" s="61"/>
      <c r="D708" s="448"/>
      <c r="E708" s="305"/>
      <c r="F708" s="490"/>
      <c r="G708" s="448"/>
      <c r="H708" s="305"/>
      <c r="I708" s="490"/>
      <c r="J708" s="490"/>
      <c r="K708" s="448"/>
      <c r="L708" s="305"/>
      <c r="M708" s="490"/>
      <c r="N708" s="490"/>
      <c r="O708" s="448"/>
      <c r="P708" s="305"/>
      <c r="Q708" s="490"/>
      <c r="R708" s="490"/>
      <c r="S708" s="448"/>
      <c r="T708" s="305"/>
      <c r="U708" s="490"/>
      <c r="V708" s="7"/>
      <c r="W708" s="31"/>
      <c r="X708" s="31"/>
      <c r="Y708" s="31"/>
      <c r="Z708" s="7"/>
      <c r="AA708" s="7"/>
      <c r="AB708" s="7"/>
      <c r="AC708" s="7"/>
      <c r="AD708" s="7"/>
      <c r="AE708" s="7"/>
      <c r="AF708" s="7"/>
      <c r="AG708" s="7"/>
      <c r="AH708" s="7"/>
      <c r="AI708" s="7"/>
      <c r="AJ708" s="7"/>
      <c r="AK708" s="7"/>
      <c r="AL708" s="7"/>
      <c r="AM708" s="7"/>
      <c r="AN708" s="7"/>
      <c r="AO708" s="7"/>
      <c r="AP708" s="7"/>
    </row>
    <row r="709" spans="1:44">
      <c r="A709" s="305" t="s">
        <v>415</v>
      </c>
      <c r="B709" s="305"/>
      <c r="C709" s="61">
        <v>38035837.333333299</v>
      </c>
      <c r="D709" s="1046">
        <f>D629</f>
        <v>5.9119999999999999</v>
      </c>
      <c r="E709" s="305" t="s">
        <v>362</v>
      </c>
      <c r="F709" s="490">
        <f>ROUND(D709*C709/100,0)</f>
        <v>2248679</v>
      </c>
      <c r="G709" s="1042">
        <f ca="1">$G$629</f>
        <v>5.91</v>
      </c>
      <c r="H709" s="305" t="s">
        <v>362</v>
      </c>
      <c r="I709" s="490">
        <f ca="1">ROUND(G709*$C709/100,0)</f>
        <v>2247918</v>
      </c>
      <c r="J709" s="490"/>
      <c r="K709" s="1042" t="e">
        <f>$K$629</f>
        <v>#REF!</v>
      </c>
      <c r="L709" s="305" t="s">
        <v>362</v>
      </c>
      <c r="M709" s="490" t="e">
        <f>ROUND(K709*$C709/100,0)</f>
        <v>#REF!</v>
      </c>
      <c r="N709" s="490"/>
      <c r="O709" s="1042" t="e">
        <f>$O$629</f>
        <v>#REF!</v>
      </c>
      <c r="P709" s="305" t="s">
        <v>362</v>
      </c>
      <c r="Q709" s="490" t="e">
        <f>ROUND(O709*$C709/100,0)</f>
        <v>#REF!</v>
      </c>
      <c r="R709" s="490"/>
      <c r="S709" s="1042" t="e">
        <f>$S$629</f>
        <v>#REF!</v>
      </c>
      <c r="T709" s="305" t="s">
        <v>362</v>
      </c>
      <c r="U709" s="490" t="e">
        <f>ROUND(S709*$C709/100,0)</f>
        <v>#REF!</v>
      </c>
      <c r="V709" s="7"/>
      <c r="W709" s="31"/>
      <c r="X709" s="31"/>
      <c r="Y709" s="31"/>
      <c r="Z709" s="7"/>
      <c r="AA709" s="7"/>
      <c r="AB709" s="7"/>
      <c r="AC709" s="7"/>
      <c r="AD709" s="7"/>
      <c r="AE709" s="7"/>
      <c r="AF709" s="7"/>
      <c r="AG709" s="7"/>
      <c r="AH709" s="7"/>
      <c r="AI709" s="7"/>
      <c r="AJ709" s="7"/>
      <c r="AK709" s="7"/>
      <c r="AL709" s="7"/>
      <c r="AM709" s="7"/>
      <c r="AN709" s="7"/>
      <c r="AO709" s="7"/>
      <c r="AP709" s="7"/>
    </row>
    <row r="710" spans="1:44">
      <c r="A710" s="305" t="s">
        <v>387</v>
      </c>
      <c r="B710" s="305"/>
      <c r="C710" s="61">
        <v>64120952.666666701</v>
      </c>
      <c r="D710" s="1046">
        <f>D630</f>
        <v>5.41</v>
      </c>
      <c r="E710" s="305" t="s">
        <v>362</v>
      </c>
      <c r="F710" s="490">
        <f>ROUND(D710*C710/100,0)</f>
        <v>3468944</v>
      </c>
      <c r="G710" s="1042">
        <f ca="1">$G$630</f>
        <v>5.4060000000000006</v>
      </c>
      <c r="H710" s="305" t="s">
        <v>362</v>
      </c>
      <c r="I710" s="490">
        <f ca="1">ROUND(G710*$C710/100,0)</f>
        <v>3466379</v>
      </c>
      <c r="J710" s="490"/>
      <c r="K710" s="1042" t="e">
        <f>$K$630</f>
        <v>#REF!</v>
      </c>
      <c r="L710" s="305" t="s">
        <v>362</v>
      </c>
      <c r="M710" s="490" t="e">
        <f>ROUND(K710*$C710/100,0)</f>
        <v>#REF!</v>
      </c>
      <c r="N710" s="490"/>
      <c r="O710" s="1042" t="e">
        <f>$O$630</f>
        <v>#REF!</v>
      </c>
      <c r="P710" s="305" t="s">
        <v>362</v>
      </c>
      <c r="Q710" s="490" t="e">
        <f>ROUND(O710*$C710/100,0)</f>
        <v>#REF!</v>
      </c>
      <c r="R710" s="490"/>
      <c r="S710" s="1042" t="e">
        <f>$S$630</f>
        <v>#REF!</v>
      </c>
      <c r="T710" s="305" t="s">
        <v>362</v>
      </c>
      <c r="U710" s="490" t="e">
        <f>ROUND(S710*$C710/100,0)</f>
        <v>#REF!</v>
      </c>
      <c r="V710" s="7"/>
      <c r="W710" s="31"/>
      <c r="X710" s="31"/>
      <c r="Y710" s="31"/>
      <c r="Z710" s="7"/>
      <c r="AA710" s="7"/>
      <c r="AB710" s="7"/>
      <c r="AC710" s="7"/>
      <c r="AD710" s="7"/>
      <c r="AE710" s="7"/>
      <c r="AF710" s="7"/>
      <c r="AG710" s="7"/>
      <c r="AH710" s="7"/>
      <c r="AI710" s="7"/>
      <c r="AJ710" s="7"/>
      <c r="AK710" s="7"/>
      <c r="AL710" s="7"/>
      <c r="AM710" s="7"/>
      <c r="AN710" s="7"/>
      <c r="AO710" s="7"/>
      <c r="AP710" s="7"/>
    </row>
    <row r="711" spans="1:44">
      <c r="A711" s="305" t="s">
        <v>388</v>
      </c>
      <c r="B711" s="305"/>
      <c r="C711" s="61">
        <v>89740.166666666701</v>
      </c>
      <c r="D711" s="1047">
        <f>D631</f>
        <v>58</v>
      </c>
      <c r="E711" s="305" t="s">
        <v>362</v>
      </c>
      <c r="F711" s="490">
        <f>ROUND(D711*C711/100,0)</f>
        <v>52049</v>
      </c>
      <c r="G711" s="1048">
        <f>$G$631</f>
        <v>58</v>
      </c>
      <c r="H711" s="305" t="s">
        <v>362</v>
      </c>
      <c r="I711" s="490">
        <f>ROUND(G711*$C711/100,0)</f>
        <v>52049</v>
      </c>
      <c r="J711" s="490"/>
      <c r="K711" s="1048" t="e">
        <f>$K$631</f>
        <v>#REF!</v>
      </c>
      <c r="L711" s="305" t="s">
        <v>362</v>
      </c>
      <c r="M711" s="490" t="e">
        <f>ROUND(K711*$C711/100,0)</f>
        <v>#REF!</v>
      </c>
      <c r="N711" s="490"/>
      <c r="O711" s="1048" t="e">
        <f>$O$631</f>
        <v>#REF!</v>
      </c>
      <c r="P711" s="305" t="s">
        <v>362</v>
      </c>
      <c r="Q711" s="490" t="e">
        <f>ROUND(O711*$C711/100,0)</f>
        <v>#REF!</v>
      </c>
      <c r="R711" s="490"/>
      <c r="S711" s="1048" t="e">
        <f>$S$631</f>
        <v>#REF!</v>
      </c>
      <c r="T711" s="305" t="s">
        <v>362</v>
      </c>
      <c r="U711" s="490" t="e">
        <f>ROUND(S711*$C711/100,0)</f>
        <v>#REF!</v>
      </c>
      <c r="V711" s="7"/>
      <c r="W711" s="31"/>
      <c r="X711" s="31"/>
      <c r="Y711" s="31"/>
      <c r="Z711" s="7"/>
      <c r="AA711" s="7"/>
      <c r="AB711" s="7"/>
      <c r="AC711" s="7"/>
      <c r="AD711" s="7"/>
      <c r="AE711" s="7"/>
      <c r="AF711" s="7"/>
      <c r="AG711" s="7"/>
      <c r="AH711" s="7"/>
      <c r="AI711" s="7"/>
      <c r="AJ711" s="7"/>
      <c r="AK711" s="7"/>
      <c r="AL711" s="7"/>
      <c r="AM711" s="7"/>
      <c r="AN711" s="7"/>
      <c r="AO711" s="7"/>
      <c r="AP711" s="7"/>
    </row>
    <row r="712" spans="1:44" s="588" customFormat="1" hidden="1">
      <c r="A712" s="588" t="s">
        <v>766</v>
      </c>
      <c r="C712" s="631">
        <f>C709</f>
        <v>38035837.333333299</v>
      </c>
      <c r="D712" s="990">
        <v>0</v>
      </c>
      <c r="E712" s="635"/>
      <c r="F712" s="616"/>
      <c r="G712" s="987">
        <f>G632</f>
        <v>0</v>
      </c>
      <c r="H712" s="616" t="s">
        <v>362</v>
      </c>
      <c r="I712" s="616">
        <f t="shared" ref="I712:I713" si="153">ROUND(G712*$C712/100,0)</f>
        <v>0</v>
      </c>
      <c r="J712" s="616"/>
      <c r="K712" s="987" t="e">
        <f>K632</f>
        <v>#REF!</v>
      </c>
      <c r="L712" s="616" t="s">
        <v>362</v>
      </c>
      <c r="M712" s="616" t="e">
        <f t="shared" ref="M712:M713" si="154">ROUND(K712*$C712/100,0)</f>
        <v>#REF!</v>
      </c>
      <c r="N712" s="616"/>
      <c r="O712" s="987" t="e">
        <f>O632</f>
        <v>#REF!</v>
      </c>
      <c r="P712" s="616" t="s">
        <v>362</v>
      </c>
      <c r="Q712" s="616" t="e">
        <f t="shared" ref="Q712:Q713" si="155">ROUND(O712*$C712/100,0)</f>
        <v>#REF!</v>
      </c>
      <c r="R712" s="616"/>
      <c r="S712" s="987" t="e">
        <f>S632</f>
        <v>#REF!</v>
      </c>
      <c r="T712" s="616" t="s">
        <v>362</v>
      </c>
      <c r="U712" s="616" t="e">
        <f t="shared" ref="U712:U713" si="156">ROUND(S712*$C712/100,0)</f>
        <v>#REF!</v>
      </c>
      <c r="W712" s="450"/>
      <c r="Z712" s="989"/>
      <c r="AA712" s="989"/>
      <c r="AF712" s="635"/>
      <c r="AG712" s="635"/>
      <c r="AH712" s="635"/>
      <c r="AI712" s="635"/>
      <c r="AJ712" s="635"/>
      <c r="AK712" s="635"/>
      <c r="AL712" s="635"/>
      <c r="AM712" s="635"/>
      <c r="AN712" s="635"/>
      <c r="AO712" s="635"/>
      <c r="AP712" s="635"/>
      <c r="AR712" s="988"/>
    </row>
    <row r="713" spans="1:44" s="588" customFormat="1" hidden="1">
      <c r="A713" s="588" t="s">
        <v>767</v>
      </c>
      <c r="C713" s="631">
        <f>C710</f>
        <v>64120952.666666701</v>
      </c>
      <c r="D713" s="990">
        <v>0</v>
      </c>
      <c r="E713" s="635"/>
      <c r="F713" s="616"/>
      <c r="G713" s="987">
        <f>G633</f>
        <v>0</v>
      </c>
      <c r="H713" s="616" t="s">
        <v>362</v>
      </c>
      <c r="I713" s="616">
        <f t="shared" si="153"/>
        <v>0</v>
      </c>
      <c r="J713" s="616"/>
      <c r="K713" s="987" t="e">
        <f>K633</f>
        <v>#REF!</v>
      </c>
      <c r="L713" s="616" t="s">
        <v>362</v>
      </c>
      <c r="M713" s="616" t="e">
        <f t="shared" si="154"/>
        <v>#REF!</v>
      </c>
      <c r="N713" s="616"/>
      <c r="O713" s="987" t="e">
        <f>O633</f>
        <v>#REF!</v>
      </c>
      <c r="P713" s="616" t="s">
        <v>362</v>
      </c>
      <c r="Q713" s="616" t="e">
        <f t="shared" si="155"/>
        <v>#REF!</v>
      </c>
      <c r="R713" s="616"/>
      <c r="S713" s="987" t="e">
        <f>S633</f>
        <v>#REF!</v>
      </c>
      <c r="T713" s="616" t="s">
        <v>362</v>
      </c>
      <c r="U713" s="616" t="e">
        <f t="shared" si="156"/>
        <v>#REF!</v>
      </c>
      <c r="W713" s="450"/>
      <c r="Z713" s="989"/>
      <c r="AA713" s="989"/>
      <c r="AF713" s="635"/>
      <c r="AG713" s="635"/>
      <c r="AH713" s="635"/>
      <c r="AI713" s="635"/>
      <c r="AJ713" s="635"/>
      <c r="AK713" s="635"/>
      <c r="AL713" s="635"/>
      <c r="AM713" s="635"/>
      <c r="AN713" s="635"/>
      <c r="AO713" s="635"/>
      <c r="AP713" s="635"/>
      <c r="AR713" s="988"/>
    </row>
    <row r="714" spans="1:44">
      <c r="A714" s="244" t="s">
        <v>389</v>
      </c>
      <c r="B714" s="305"/>
      <c r="C714" s="61"/>
      <c r="D714" s="1023">
        <v>-0.01</v>
      </c>
      <c r="E714" s="305"/>
      <c r="F714" s="490"/>
      <c r="G714" s="1023">
        <v>-0.01</v>
      </c>
      <c r="H714" s="305"/>
      <c r="I714" s="490"/>
      <c r="J714" s="490"/>
      <c r="K714" s="1023">
        <v>-0.01</v>
      </c>
      <c r="L714" s="305"/>
      <c r="M714" s="490"/>
      <c r="N714" s="490"/>
      <c r="O714" s="1023">
        <v>-0.01</v>
      </c>
      <c r="P714" s="305"/>
      <c r="Q714" s="490"/>
      <c r="R714" s="490"/>
      <c r="S714" s="1023">
        <v>-0.01</v>
      </c>
      <c r="T714" s="305"/>
      <c r="U714" s="490"/>
      <c r="V714" s="7"/>
      <c r="W714" s="31"/>
      <c r="X714" s="31"/>
      <c r="Y714" s="31"/>
      <c r="Z714" s="7"/>
      <c r="AA714" s="7"/>
      <c r="AB714" s="7"/>
      <c r="AC714" s="7"/>
      <c r="AD714" s="7"/>
      <c r="AE714" s="7"/>
      <c r="AF714" s="7"/>
      <c r="AG714" s="7"/>
      <c r="AH714" s="7"/>
      <c r="AI714" s="7"/>
      <c r="AJ714" s="7"/>
      <c r="AK714" s="7"/>
      <c r="AL714" s="7"/>
      <c r="AM714" s="7"/>
      <c r="AN714" s="7"/>
      <c r="AO714" s="7"/>
      <c r="AP714" s="7"/>
    </row>
    <row r="715" spans="1:44">
      <c r="A715" s="305" t="s">
        <v>409</v>
      </c>
      <c r="B715" s="305"/>
      <c r="C715" s="61">
        <v>0</v>
      </c>
      <c r="D715" s="448">
        <f>D699</f>
        <v>268</v>
      </c>
      <c r="E715" s="305"/>
      <c r="F715" s="490">
        <f t="shared" ref="F715:F721" si="157">ROUND(D715*C715*$D$676,0)</f>
        <v>0</v>
      </c>
      <c r="G715" s="448">
        <f>G699</f>
        <v>264</v>
      </c>
      <c r="H715" s="305"/>
      <c r="I715" s="490">
        <f>ROUND(G715*$C715*G714,0)</f>
        <v>0</v>
      </c>
      <c r="J715" s="490"/>
      <c r="K715" s="448" t="e">
        <f>K699</f>
        <v>#REF!</v>
      </c>
      <c r="L715" s="305"/>
      <c r="M715" s="490" t="e">
        <f>ROUND(K715*$C715*K714,0)</f>
        <v>#REF!</v>
      </c>
      <c r="N715" s="490"/>
      <c r="O715" s="448" t="e">
        <f>O699</f>
        <v>#REF!</v>
      </c>
      <c r="P715" s="305"/>
      <c r="Q715" s="490" t="e">
        <f>ROUND(O715*$C715*O714,0)</f>
        <v>#REF!</v>
      </c>
      <c r="R715" s="490"/>
      <c r="S715" s="448" t="e">
        <f>S699</f>
        <v>#REF!</v>
      </c>
      <c r="T715" s="305"/>
      <c r="U715" s="490" t="e">
        <f>ROUND(S715*$C715*S714,0)</f>
        <v>#REF!</v>
      </c>
      <c r="V715" s="7"/>
      <c r="W715" s="31"/>
      <c r="X715" s="31"/>
      <c r="Y715" s="31"/>
      <c r="Z715" s="7"/>
      <c r="AA715" s="7"/>
      <c r="AB715" s="7"/>
      <c r="AC715" s="7"/>
      <c r="AD715" s="7"/>
      <c r="AE715" s="7"/>
      <c r="AF715" s="7"/>
      <c r="AG715" s="7"/>
      <c r="AH715" s="7"/>
      <c r="AI715" s="7"/>
      <c r="AJ715" s="7"/>
      <c r="AK715" s="7"/>
      <c r="AL715" s="7"/>
      <c r="AM715" s="7"/>
      <c r="AN715" s="7"/>
      <c r="AO715" s="7"/>
      <c r="AP715" s="7"/>
    </row>
    <row r="716" spans="1:44">
      <c r="A716" s="305" t="s">
        <v>410</v>
      </c>
      <c r="B716" s="305"/>
      <c r="C716" s="61">
        <v>6.7333333333333298</v>
      </c>
      <c r="D716" s="448">
        <f t="shared" ref="D716:D717" si="158">D700</f>
        <v>100</v>
      </c>
      <c r="E716" s="305"/>
      <c r="F716" s="490">
        <f t="shared" si="157"/>
        <v>-7</v>
      </c>
      <c r="G716" s="448">
        <f>G700</f>
        <v>100</v>
      </c>
      <c r="H716" s="305"/>
      <c r="I716" s="490">
        <f>ROUND(G716*$C716*G714,0)</f>
        <v>-7</v>
      </c>
      <c r="J716" s="490"/>
      <c r="K716" s="448" t="e">
        <f>K700</f>
        <v>#REF!</v>
      </c>
      <c r="L716" s="305"/>
      <c r="M716" s="490" t="e">
        <f>ROUND(K716*$C716*K714,0)</f>
        <v>#REF!</v>
      </c>
      <c r="N716" s="490"/>
      <c r="O716" s="448" t="e">
        <f>O700</f>
        <v>#REF!</v>
      </c>
      <c r="P716" s="305"/>
      <c r="Q716" s="490" t="e">
        <f>ROUND(O716*$C716*O714,0)</f>
        <v>#REF!</v>
      </c>
      <c r="R716" s="490"/>
      <c r="S716" s="448" t="e">
        <f>S700</f>
        <v>#REF!</v>
      </c>
      <c r="T716" s="305"/>
      <c r="U716" s="490" t="e">
        <f>ROUND(S716*$C716*S714,0)</f>
        <v>#REF!</v>
      </c>
      <c r="V716" s="7"/>
      <c r="W716" s="31"/>
      <c r="X716" s="31"/>
      <c r="Y716" s="31"/>
      <c r="Z716" s="7"/>
      <c r="AA716" s="7"/>
      <c r="AB716" s="7"/>
      <c r="AC716" s="7"/>
      <c r="AD716" s="7"/>
      <c r="AE716" s="7"/>
      <c r="AF716" s="7"/>
      <c r="AG716" s="7"/>
      <c r="AH716" s="7"/>
      <c r="AI716" s="7"/>
      <c r="AJ716" s="7"/>
      <c r="AK716" s="7"/>
      <c r="AL716" s="7"/>
      <c r="AM716" s="7"/>
      <c r="AN716" s="7"/>
      <c r="AO716" s="7"/>
      <c r="AP716" s="7"/>
    </row>
    <row r="717" spans="1:44">
      <c r="A717" s="305" t="s">
        <v>411</v>
      </c>
      <c r="B717" s="305"/>
      <c r="C717" s="61">
        <v>0</v>
      </c>
      <c r="D717" s="448">
        <f t="shared" si="158"/>
        <v>200</v>
      </c>
      <c r="E717" s="1004"/>
      <c r="F717" s="490">
        <f t="shared" si="157"/>
        <v>0</v>
      </c>
      <c r="G717" s="448">
        <f>G701</f>
        <v>200</v>
      </c>
      <c r="H717" s="1004"/>
      <c r="I717" s="490">
        <f>ROUND(G717*$C717*G714,0)</f>
        <v>0</v>
      </c>
      <c r="J717" s="490"/>
      <c r="K717" s="448" t="e">
        <f>K701</f>
        <v>#REF!</v>
      </c>
      <c r="L717" s="1004"/>
      <c r="M717" s="490" t="e">
        <f>ROUND(K717*$C717*K714,0)</f>
        <v>#REF!</v>
      </c>
      <c r="N717" s="490"/>
      <c r="O717" s="448" t="e">
        <f>O701</f>
        <v>#REF!</v>
      </c>
      <c r="P717" s="1004"/>
      <c r="Q717" s="490" t="e">
        <f>ROUND(O717*$C717*O714,0)</f>
        <v>#REF!</v>
      </c>
      <c r="R717" s="490"/>
      <c r="S717" s="448" t="e">
        <f>S701</f>
        <v>#REF!</v>
      </c>
      <c r="T717" s="1004"/>
      <c r="U717" s="490" t="e">
        <f>ROUND(S717*$C717*S714,0)</f>
        <v>#REF!</v>
      </c>
      <c r="V717" s="7"/>
      <c r="W717" s="31"/>
      <c r="X717" s="31"/>
      <c r="Y717" s="31"/>
      <c r="Z717" s="7"/>
      <c r="AA717" s="7"/>
      <c r="AB717" s="7"/>
      <c r="AC717" s="7"/>
      <c r="AD717" s="7"/>
      <c r="AE717" s="7"/>
      <c r="AF717" s="7"/>
      <c r="AG717" s="7"/>
      <c r="AH717" s="7"/>
      <c r="AI717" s="7"/>
      <c r="AJ717" s="7"/>
      <c r="AK717" s="7"/>
      <c r="AL717" s="7"/>
      <c r="AM717" s="7"/>
      <c r="AN717" s="7"/>
      <c r="AO717" s="7"/>
      <c r="AP717" s="7"/>
    </row>
    <row r="718" spans="1:44">
      <c r="A718" s="305" t="s">
        <v>410</v>
      </c>
      <c r="B718" s="305"/>
      <c r="C718" s="61">
        <v>0</v>
      </c>
      <c r="D718" s="448">
        <f>D703</f>
        <v>1.83</v>
      </c>
      <c r="E718" s="305"/>
      <c r="F718" s="490">
        <f t="shared" si="157"/>
        <v>0</v>
      </c>
      <c r="G718" s="448">
        <f>G703</f>
        <v>1.83</v>
      </c>
      <c r="H718" s="305"/>
      <c r="I718" s="490">
        <f>ROUND(G718*$C718*G714,0)</f>
        <v>0</v>
      </c>
      <c r="J718" s="490"/>
      <c r="K718" s="448" t="e">
        <f>K703</f>
        <v>#REF!</v>
      </c>
      <c r="L718" s="305"/>
      <c r="M718" s="490" t="e">
        <f>ROUND(K718*$C718*K714,0)</f>
        <v>#REF!</v>
      </c>
      <c r="N718" s="490"/>
      <c r="O718" s="448" t="e">
        <f>O703</f>
        <v>#REF!</v>
      </c>
      <c r="P718" s="305"/>
      <c r="Q718" s="490" t="e">
        <f>ROUND(O718*$C718*O714,0)</f>
        <v>#REF!</v>
      </c>
      <c r="R718" s="490"/>
      <c r="S718" s="448" t="e">
        <f>S703</f>
        <v>#REF!</v>
      </c>
      <c r="T718" s="305"/>
      <c r="U718" s="490" t="e">
        <f>ROUND(S718*$C718*S714,0)</f>
        <v>#REF!</v>
      </c>
      <c r="V718" s="7"/>
      <c r="W718" s="31"/>
      <c r="X718" s="31"/>
      <c r="Y718" s="31"/>
      <c r="Z718" s="7"/>
      <c r="AA718" s="7"/>
      <c r="AB718" s="7"/>
      <c r="AC718" s="7"/>
      <c r="AD718" s="7"/>
      <c r="AE718" s="7"/>
      <c r="AF718" s="7"/>
      <c r="AG718" s="7"/>
      <c r="AH718" s="7"/>
      <c r="AI718" s="7"/>
      <c r="AJ718" s="7"/>
      <c r="AK718" s="7"/>
      <c r="AL718" s="7"/>
      <c r="AM718" s="7"/>
      <c r="AN718" s="7"/>
      <c r="AO718" s="7"/>
      <c r="AP718" s="7"/>
    </row>
    <row r="719" spans="1:44">
      <c r="A719" s="305" t="s">
        <v>411</v>
      </c>
      <c r="B719" s="305"/>
      <c r="C719" s="61">
        <v>0</v>
      </c>
      <c r="D719" s="448">
        <f>D704</f>
        <v>1.5</v>
      </c>
      <c r="E719" s="305"/>
      <c r="F719" s="490">
        <f t="shared" si="157"/>
        <v>0</v>
      </c>
      <c r="G719" s="448">
        <f>G704</f>
        <v>1.5</v>
      </c>
      <c r="H719" s="305"/>
      <c r="I719" s="490">
        <f>ROUND(G719*$C719*G714,0)</f>
        <v>0</v>
      </c>
      <c r="J719" s="490"/>
      <c r="K719" s="448" t="e">
        <f>K704</f>
        <v>#REF!</v>
      </c>
      <c r="L719" s="305"/>
      <c r="M719" s="490" t="e">
        <f>ROUND(K719*$C719*K714,0)</f>
        <v>#REF!</v>
      </c>
      <c r="N719" s="490"/>
      <c r="O719" s="448" t="e">
        <f>O704</f>
        <v>#REF!</v>
      </c>
      <c r="P719" s="305"/>
      <c r="Q719" s="490" t="e">
        <f>ROUND(O719*$C719*O714,0)</f>
        <v>#REF!</v>
      </c>
      <c r="R719" s="490"/>
      <c r="S719" s="448" t="e">
        <f>S704</f>
        <v>#REF!</v>
      </c>
      <c r="T719" s="305"/>
      <c r="U719" s="490" t="e">
        <f>ROUND(S719*$C719*S714,0)</f>
        <v>#REF!</v>
      </c>
      <c r="V719" s="7"/>
      <c r="W719" s="31"/>
      <c r="X719" s="31"/>
      <c r="Y719" s="31"/>
      <c r="Z719" s="7"/>
      <c r="AA719" s="7"/>
      <c r="AB719" s="7"/>
      <c r="AC719" s="7"/>
      <c r="AD719" s="7"/>
      <c r="AE719" s="7"/>
      <c r="AF719" s="7"/>
      <c r="AG719" s="7"/>
      <c r="AH719" s="7"/>
      <c r="AI719" s="7"/>
      <c r="AJ719" s="7"/>
      <c r="AK719" s="7"/>
      <c r="AL719" s="7"/>
      <c r="AM719" s="7"/>
      <c r="AN719" s="7"/>
      <c r="AO719" s="7"/>
      <c r="AP719" s="7"/>
    </row>
    <row r="720" spans="1:44">
      <c r="A720" s="305" t="s">
        <v>413</v>
      </c>
      <c r="B720" s="305"/>
      <c r="C720" s="61">
        <v>0</v>
      </c>
      <c r="D720" s="448">
        <f>D706</f>
        <v>5.6</v>
      </c>
      <c r="E720" s="305"/>
      <c r="F720" s="490">
        <f t="shared" si="157"/>
        <v>0</v>
      </c>
      <c r="G720" s="448">
        <f>G706</f>
        <v>5.6</v>
      </c>
      <c r="H720" s="305"/>
      <c r="I720" s="490">
        <f>ROUND(G720*$C720*G714,0)</f>
        <v>0</v>
      </c>
      <c r="J720" s="490"/>
      <c r="K720" s="448" t="e">
        <f>K706</f>
        <v>#REF!</v>
      </c>
      <c r="L720" s="305"/>
      <c r="M720" s="490" t="e">
        <f>ROUND(K720*$C720*K714,0)</f>
        <v>#REF!</v>
      </c>
      <c r="N720" s="490"/>
      <c r="O720" s="448" t="e">
        <f>O706</f>
        <v>#REF!</v>
      </c>
      <c r="P720" s="305"/>
      <c r="Q720" s="490" t="e">
        <f>ROUND(O720*$C720*O714,0)</f>
        <v>#REF!</v>
      </c>
      <c r="R720" s="490"/>
      <c r="S720" s="448" t="e">
        <f>S706</f>
        <v>#REF!</v>
      </c>
      <c r="T720" s="305"/>
      <c r="U720" s="490" t="e">
        <f>ROUND(S720*$C720*S714,0)</f>
        <v>#REF!</v>
      </c>
      <c r="V720" s="7"/>
      <c r="W720" s="31"/>
      <c r="X720" s="31"/>
      <c r="Y720" s="31"/>
      <c r="Z720" s="7"/>
      <c r="AA720" s="7"/>
      <c r="AB720" s="7"/>
      <c r="AC720" s="7"/>
      <c r="AD720" s="7"/>
      <c r="AE720" s="7"/>
      <c r="AF720" s="7"/>
      <c r="AG720" s="7"/>
      <c r="AH720" s="7"/>
      <c r="AI720" s="7"/>
      <c r="AJ720" s="7"/>
      <c r="AK720" s="7"/>
      <c r="AL720" s="7"/>
      <c r="AM720" s="7"/>
      <c r="AN720" s="7"/>
      <c r="AO720" s="7"/>
      <c r="AP720" s="7"/>
    </row>
    <row r="721" spans="1:44">
      <c r="A721" s="305" t="s">
        <v>429</v>
      </c>
      <c r="B721" s="305"/>
      <c r="C721" s="61">
        <v>336.66666666666703</v>
      </c>
      <c r="D721" s="448">
        <f>D720</f>
        <v>5.6</v>
      </c>
      <c r="E721" s="305"/>
      <c r="F721" s="490">
        <f t="shared" si="157"/>
        <v>-19</v>
      </c>
      <c r="G721" s="448">
        <f>G707</f>
        <v>5.6</v>
      </c>
      <c r="H721" s="305"/>
      <c r="I721" s="490">
        <f>ROUND(G721*$C721*G714,0)</f>
        <v>-19</v>
      </c>
      <c r="J721" s="490"/>
      <c r="K721" s="448" t="e">
        <f>K707</f>
        <v>#REF!</v>
      </c>
      <c r="L721" s="305"/>
      <c r="M721" s="490" t="e">
        <f>ROUND(K721*$C721*K714,0)</f>
        <v>#REF!</v>
      </c>
      <c r="N721" s="490"/>
      <c r="O721" s="448" t="e">
        <f>O707</f>
        <v>#REF!</v>
      </c>
      <c r="P721" s="305"/>
      <c r="Q721" s="490" t="e">
        <f>ROUND(O721*$C721*O714,0)</f>
        <v>#REF!</v>
      </c>
      <c r="R721" s="490"/>
      <c r="S721" s="448" t="e">
        <f>S707</f>
        <v>#REF!</v>
      </c>
      <c r="T721" s="305"/>
      <c r="U721" s="490" t="e">
        <f>ROUND(S721*$C721*S714,0)</f>
        <v>#REF!</v>
      </c>
      <c r="V721" s="7"/>
      <c r="W721" s="31"/>
      <c r="X721" s="31"/>
      <c r="Y721" s="31"/>
      <c r="Z721" s="7"/>
      <c r="AA721" s="7"/>
      <c r="AB721" s="7"/>
      <c r="AC721" s="7"/>
      <c r="AD721" s="7"/>
      <c r="AE721" s="7"/>
      <c r="AF721" s="7"/>
      <c r="AG721" s="7"/>
      <c r="AH721" s="7"/>
      <c r="AI721" s="7"/>
      <c r="AJ721" s="7"/>
      <c r="AK721" s="7"/>
      <c r="AL721" s="7"/>
      <c r="AM721" s="7"/>
      <c r="AN721" s="7"/>
      <c r="AO721" s="7"/>
      <c r="AP721" s="7"/>
    </row>
    <row r="722" spans="1:44">
      <c r="A722" s="305" t="s">
        <v>415</v>
      </c>
      <c r="B722" s="305"/>
      <c r="C722" s="61">
        <v>0</v>
      </c>
      <c r="D722" s="1006">
        <f>D709</f>
        <v>5.9119999999999999</v>
      </c>
      <c r="E722" s="305" t="s">
        <v>362</v>
      </c>
      <c r="F722" s="490">
        <f>ROUND(D722*C722/100*$D$676,0)</f>
        <v>0</v>
      </c>
      <c r="G722" s="1006">
        <f ca="1">G709</f>
        <v>5.91</v>
      </c>
      <c r="H722" s="305" t="s">
        <v>362</v>
      </c>
      <c r="I722" s="490">
        <f ca="1">ROUND(G722*$C722/100*G714,0)</f>
        <v>0</v>
      </c>
      <c r="J722" s="490"/>
      <c r="K722" s="1006" t="e">
        <f>K709</f>
        <v>#REF!</v>
      </c>
      <c r="L722" s="305" t="s">
        <v>362</v>
      </c>
      <c r="M722" s="490" t="e">
        <f>ROUND(K722*$C722/100*K714,0)</f>
        <v>#REF!</v>
      </c>
      <c r="N722" s="490"/>
      <c r="O722" s="1006" t="e">
        <f>O709</f>
        <v>#REF!</v>
      </c>
      <c r="P722" s="305" t="s">
        <v>362</v>
      </c>
      <c r="Q722" s="490" t="e">
        <f>ROUND(O722*$C722/100*O714,0)</f>
        <v>#REF!</v>
      </c>
      <c r="R722" s="490"/>
      <c r="S722" s="1006" t="e">
        <f>S709</f>
        <v>#REF!</v>
      </c>
      <c r="T722" s="305" t="s">
        <v>362</v>
      </c>
      <c r="U722" s="490" t="e">
        <f>ROUND(S722*$C722/100*S714,0)</f>
        <v>#REF!</v>
      </c>
      <c r="V722" s="7"/>
      <c r="W722" s="31"/>
      <c r="X722" s="31"/>
      <c r="Y722" s="31"/>
      <c r="Z722" s="7"/>
      <c r="AA722" s="7"/>
      <c r="AB722" s="7"/>
      <c r="AC722" s="7"/>
      <c r="AD722" s="7"/>
      <c r="AE722" s="7"/>
      <c r="AF722" s="7"/>
      <c r="AG722" s="7"/>
      <c r="AH722" s="7"/>
      <c r="AI722" s="7"/>
      <c r="AJ722" s="7"/>
      <c r="AK722" s="7"/>
      <c r="AL722" s="7"/>
      <c r="AM722" s="7"/>
      <c r="AN722" s="7"/>
      <c r="AO722" s="7"/>
      <c r="AP722" s="7"/>
    </row>
    <row r="723" spans="1:44">
      <c r="A723" s="305" t="s">
        <v>387</v>
      </c>
      <c r="B723" s="305"/>
      <c r="C723" s="61">
        <v>0</v>
      </c>
      <c r="D723" s="1006">
        <f>D710</f>
        <v>5.41</v>
      </c>
      <c r="E723" s="305" t="s">
        <v>362</v>
      </c>
      <c r="F723" s="490">
        <f>ROUND(D723*C723/100*$D$676,0)</f>
        <v>0</v>
      </c>
      <c r="G723" s="1006">
        <f ca="1">G710</f>
        <v>5.4060000000000006</v>
      </c>
      <c r="H723" s="305" t="s">
        <v>362</v>
      </c>
      <c r="I723" s="490">
        <f ca="1">ROUND(G723*$C723/100*G714,0)</f>
        <v>0</v>
      </c>
      <c r="J723" s="490"/>
      <c r="K723" s="1006" t="e">
        <f>K710</f>
        <v>#REF!</v>
      </c>
      <c r="L723" s="305" t="s">
        <v>362</v>
      </c>
      <c r="M723" s="490" t="e">
        <f>ROUND(K723*$C723/100*K714,0)</f>
        <v>#REF!</v>
      </c>
      <c r="N723" s="490"/>
      <c r="O723" s="1006" t="e">
        <f>O710</f>
        <v>#REF!</v>
      </c>
      <c r="P723" s="305" t="s">
        <v>362</v>
      </c>
      <c r="Q723" s="490" t="e">
        <f>ROUND(O723*$C723/100*O714,0)</f>
        <v>#REF!</v>
      </c>
      <c r="R723" s="490"/>
      <c r="S723" s="1006" t="e">
        <f>S710</f>
        <v>#REF!</v>
      </c>
      <c r="T723" s="305" t="s">
        <v>362</v>
      </c>
      <c r="U723" s="490" t="e">
        <f>ROUND(S723*$C723/100*S714,0)</f>
        <v>#REF!</v>
      </c>
      <c r="V723" s="7"/>
      <c r="W723" s="31"/>
      <c r="X723" s="31"/>
      <c r="Y723" s="31"/>
      <c r="Z723" s="7"/>
      <c r="AA723" s="7"/>
      <c r="AB723" s="7"/>
      <c r="AC723" s="7"/>
      <c r="AD723" s="7"/>
      <c r="AE723" s="7"/>
      <c r="AF723" s="7"/>
      <c r="AG723" s="7"/>
      <c r="AH723" s="7"/>
      <c r="AI723" s="7"/>
      <c r="AJ723" s="7"/>
      <c r="AK723" s="7"/>
      <c r="AL723" s="7"/>
      <c r="AM723" s="7"/>
      <c r="AN723" s="7"/>
      <c r="AO723" s="7"/>
      <c r="AP723" s="7"/>
    </row>
    <row r="724" spans="1:44">
      <c r="A724" s="305" t="s">
        <v>388</v>
      </c>
      <c r="B724" s="305"/>
      <c r="C724" s="61">
        <v>0</v>
      </c>
      <c r="D724" s="1021">
        <f>D711</f>
        <v>58</v>
      </c>
      <c r="E724" s="305" t="s">
        <v>362</v>
      </c>
      <c r="F724" s="490">
        <f>ROUND(D724*C724/100*$D$676,0)</f>
        <v>0</v>
      </c>
      <c r="G724" s="1021">
        <f>G711</f>
        <v>58</v>
      </c>
      <c r="H724" s="305" t="s">
        <v>362</v>
      </c>
      <c r="I724" s="490">
        <f>ROUND(G724*$C724/100*G714,0)</f>
        <v>0</v>
      </c>
      <c r="J724" s="490"/>
      <c r="K724" s="1021" t="e">
        <f>K711</f>
        <v>#REF!</v>
      </c>
      <c r="L724" s="305" t="s">
        <v>362</v>
      </c>
      <c r="M724" s="490" t="e">
        <f>ROUND(K724*$C724/100*K714,0)</f>
        <v>#REF!</v>
      </c>
      <c r="N724" s="490"/>
      <c r="O724" s="1021" t="e">
        <f>O711</f>
        <v>#REF!</v>
      </c>
      <c r="P724" s="305" t="s">
        <v>362</v>
      </c>
      <c r="Q724" s="490" t="e">
        <f>ROUND(O724*$C724/100*O714,0)</f>
        <v>#REF!</v>
      </c>
      <c r="R724" s="490"/>
      <c r="S724" s="1021" t="e">
        <f>S711</f>
        <v>#REF!</v>
      </c>
      <c r="T724" s="305" t="s">
        <v>362</v>
      </c>
      <c r="U724" s="490" t="e">
        <f>ROUND(S724*$C724/100*S714,0)</f>
        <v>#REF!</v>
      </c>
      <c r="V724" s="7"/>
      <c r="W724" s="31"/>
      <c r="X724" s="31"/>
      <c r="Y724" s="31"/>
      <c r="Z724" s="7"/>
      <c r="AA724" s="7"/>
      <c r="AB724" s="7"/>
      <c r="AC724" s="7"/>
      <c r="AD724" s="7"/>
      <c r="AE724" s="7"/>
      <c r="AF724" s="7"/>
      <c r="AG724" s="7"/>
      <c r="AH724" s="7"/>
      <c r="AI724" s="7"/>
      <c r="AJ724" s="7"/>
      <c r="AK724" s="7"/>
      <c r="AL724" s="7"/>
      <c r="AM724" s="7"/>
      <c r="AN724" s="7"/>
      <c r="AO724" s="7"/>
      <c r="AP724" s="7"/>
    </row>
    <row r="725" spans="1:44">
      <c r="A725" s="305" t="s">
        <v>431</v>
      </c>
      <c r="B725" s="305"/>
      <c r="C725" s="61">
        <v>0</v>
      </c>
      <c r="D725" s="448">
        <v>60</v>
      </c>
      <c r="E725" s="305"/>
      <c r="F725" s="490">
        <f>ROUND(D725*C725,0)</f>
        <v>0</v>
      </c>
      <c r="G725" s="448">
        <f>$G$647</f>
        <v>60</v>
      </c>
      <c r="H725" s="305"/>
      <c r="I725" s="490">
        <f>ROUND(G725*$C725,0)</f>
        <v>0</v>
      </c>
      <c r="J725" s="490"/>
      <c r="K725" s="448" t="e">
        <f>$K$647</f>
        <v>#REF!</v>
      </c>
      <c r="L725" s="305"/>
      <c r="M725" s="490" t="e">
        <f>ROUND(K725*$C725,0)</f>
        <v>#REF!</v>
      </c>
      <c r="N725" s="490"/>
      <c r="O725" s="448" t="e">
        <f>$O$647</f>
        <v>#REF!</v>
      </c>
      <c r="P725" s="305"/>
      <c r="Q725" s="490" t="e">
        <f>ROUND(O725*$C725,0)</f>
        <v>#REF!</v>
      </c>
      <c r="R725" s="490"/>
      <c r="S725" s="448" t="e">
        <f>$S$647</f>
        <v>#REF!</v>
      </c>
      <c r="T725" s="305"/>
      <c r="U725" s="490" t="e">
        <f>ROUND(S725*$C725,0)</f>
        <v>#REF!</v>
      </c>
      <c r="V725" s="7"/>
      <c r="W725" s="31"/>
      <c r="X725" s="31"/>
      <c r="Y725" s="31"/>
      <c r="Z725" s="7"/>
      <c r="AA725" s="7"/>
      <c r="AB725" s="7"/>
      <c r="AC725" s="7"/>
      <c r="AD725" s="7"/>
      <c r="AE725" s="7"/>
      <c r="AF725" s="7"/>
      <c r="AG725" s="7"/>
      <c r="AH725" s="7"/>
      <c r="AI725" s="7"/>
      <c r="AJ725" s="7"/>
      <c r="AK725" s="7"/>
      <c r="AL725" s="7"/>
      <c r="AM725" s="7"/>
      <c r="AN725" s="7"/>
      <c r="AO725" s="7"/>
      <c r="AP725" s="7"/>
    </row>
    <row r="726" spans="1:44">
      <c r="A726" s="305" t="s">
        <v>432</v>
      </c>
      <c r="B726" s="305"/>
      <c r="C726" s="61">
        <v>0</v>
      </c>
      <c r="D726" s="1027">
        <v>-30</v>
      </c>
      <c r="E726" s="490" t="s">
        <v>362</v>
      </c>
      <c r="F726" s="490">
        <f>-ROUND(D726*C726*$D$676,0)</f>
        <v>0</v>
      </c>
      <c r="G726" s="1027">
        <f>$G$648</f>
        <v>-30</v>
      </c>
      <c r="H726" s="490" t="s">
        <v>362</v>
      </c>
      <c r="I726" s="490">
        <f>ROUND(G726*$C726/100,0)</f>
        <v>0</v>
      </c>
      <c r="J726" s="490"/>
      <c r="K726" s="1027" t="e">
        <f>$K$648</f>
        <v>#REF!</v>
      </c>
      <c r="L726" s="490" t="s">
        <v>362</v>
      </c>
      <c r="M726" s="490" t="e">
        <f>ROUND(K726*$C726/100,0)</f>
        <v>#REF!</v>
      </c>
      <c r="N726" s="490"/>
      <c r="O726" s="1027" t="str">
        <f>$O$648</f>
        <v xml:space="preserve"> </v>
      </c>
      <c r="P726" s="490" t="s">
        <v>362</v>
      </c>
      <c r="Q726" s="490">
        <f>ROUND(O726*$C726/100,0)</f>
        <v>0</v>
      </c>
      <c r="R726" s="490"/>
      <c r="S726" s="1027">
        <f>$S$648</f>
        <v>0</v>
      </c>
      <c r="T726" s="490" t="s">
        <v>362</v>
      </c>
      <c r="U726" s="490">
        <f>ROUND(S726*$C726/100,0)</f>
        <v>0</v>
      </c>
      <c r="V726" s="7"/>
      <c r="W726" s="31"/>
      <c r="X726" s="31"/>
      <c r="Y726" s="31"/>
      <c r="Z726" s="7"/>
      <c r="AA726" s="7"/>
      <c r="AB726" s="7"/>
      <c r="AC726" s="7"/>
      <c r="AD726" s="7"/>
      <c r="AE726" s="7"/>
      <c r="AF726" s="7"/>
      <c r="AG726" s="7"/>
      <c r="AH726" s="7"/>
      <c r="AI726" s="7"/>
      <c r="AJ726" s="7"/>
      <c r="AK726" s="7"/>
      <c r="AL726" s="7"/>
      <c r="AM726" s="7"/>
      <c r="AN726" s="7"/>
      <c r="AO726" s="7"/>
      <c r="AP726" s="7"/>
    </row>
    <row r="727" spans="1:44" s="588" customFormat="1" hidden="1">
      <c r="A727" s="588" t="s">
        <v>766</v>
      </c>
      <c r="C727" s="631">
        <f>C722</f>
        <v>0</v>
      </c>
      <c r="D727" s="990">
        <v>0</v>
      </c>
      <c r="E727" s="635"/>
      <c r="F727" s="616"/>
      <c r="G727" s="987">
        <f>G712</f>
        <v>0</v>
      </c>
      <c r="H727" s="616" t="s">
        <v>362</v>
      </c>
      <c r="I727" s="616">
        <f>ROUND(G727*$C727/100*G714,0)</f>
        <v>0</v>
      </c>
      <c r="J727" s="616"/>
      <c r="K727" s="987" t="e">
        <f>K712</f>
        <v>#REF!</v>
      </c>
      <c r="L727" s="616" t="s">
        <v>362</v>
      </c>
      <c r="M727" s="616" t="e">
        <f>ROUND(K727*$C727/100*K714,0)</f>
        <v>#REF!</v>
      </c>
      <c r="N727" s="616"/>
      <c r="O727" s="987" t="e">
        <f>O712</f>
        <v>#REF!</v>
      </c>
      <c r="P727" s="616" t="s">
        <v>362</v>
      </c>
      <c r="Q727" s="616" t="e">
        <f>ROUND(O727*$C727/100*O714,0)</f>
        <v>#REF!</v>
      </c>
      <c r="R727" s="616"/>
      <c r="S727" s="987" t="e">
        <f>S712</f>
        <v>#REF!</v>
      </c>
      <c r="T727" s="616" t="s">
        <v>362</v>
      </c>
      <c r="U727" s="616" t="e">
        <f>ROUND(S727*$C727/100*S714,0)</f>
        <v>#REF!</v>
      </c>
      <c r="W727" s="450"/>
      <c r="Z727" s="989"/>
      <c r="AA727" s="989"/>
      <c r="AF727" s="635"/>
      <c r="AG727" s="635"/>
      <c r="AH727" s="635"/>
      <c r="AI727" s="635"/>
      <c r="AJ727" s="635"/>
      <c r="AK727" s="635"/>
      <c r="AL727" s="635"/>
      <c r="AM727" s="635"/>
      <c r="AN727" s="635"/>
      <c r="AO727" s="635"/>
      <c r="AP727" s="635"/>
      <c r="AR727" s="988"/>
    </row>
    <row r="728" spans="1:44" s="588" customFormat="1" hidden="1">
      <c r="A728" s="588" t="s">
        <v>767</v>
      </c>
      <c r="C728" s="631">
        <f>C723</f>
        <v>0</v>
      </c>
      <c r="D728" s="990">
        <v>0</v>
      </c>
      <c r="E728" s="635"/>
      <c r="F728" s="616"/>
      <c r="G728" s="987">
        <f>G713</f>
        <v>0</v>
      </c>
      <c r="H728" s="616" t="s">
        <v>362</v>
      </c>
      <c r="I728" s="616">
        <f>ROUND(G728*$C728/100*G714,0)</f>
        <v>0</v>
      </c>
      <c r="J728" s="616"/>
      <c r="K728" s="987" t="e">
        <f>K713</f>
        <v>#REF!</v>
      </c>
      <c r="L728" s="616" t="s">
        <v>362</v>
      </c>
      <c r="M728" s="616" t="e">
        <f>ROUND(K728*$C728/100*K714,0)</f>
        <v>#REF!</v>
      </c>
      <c r="N728" s="616"/>
      <c r="O728" s="987" t="e">
        <f>O713</f>
        <v>#REF!</v>
      </c>
      <c r="P728" s="616" t="s">
        <v>362</v>
      </c>
      <c r="Q728" s="616" t="e">
        <f>ROUND(O728*$C728/100*O714,0)</f>
        <v>#REF!</v>
      </c>
      <c r="R728" s="616"/>
      <c r="S728" s="987" t="e">
        <f>S713</f>
        <v>#REF!</v>
      </c>
      <c r="T728" s="616" t="s">
        <v>362</v>
      </c>
      <c r="U728" s="616" t="e">
        <f>ROUND(S728*$C728/100*S714,0)</f>
        <v>#REF!</v>
      </c>
      <c r="W728" s="450"/>
      <c r="Z728" s="989"/>
      <c r="AA728" s="989"/>
      <c r="AF728" s="635"/>
      <c r="AG728" s="635"/>
      <c r="AH728" s="635"/>
      <c r="AI728" s="635"/>
      <c r="AJ728" s="635"/>
      <c r="AK728" s="635"/>
      <c r="AL728" s="635"/>
      <c r="AM728" s="635"/>
      <c r="AN728" s="635"/>
      <c r="AO728" s="635"/>
      <c r="AP728" s="635"/>
      <c r="AR728" s="988"/>
    </row>
    <row r="729" spans="1:44">
      <c r="A729" s="305" t="s">
        <v>369</v>
      </c>
      <c r="B729" s="305"/>
      <c r="C729" s="61">
        <f>SUM(C709:C710)</f>
        <v>102156790</v>
      </c>
      <c r="D729" s="1021"/>
      <c r="E729" s="305"/>
      <c r="F729" s="490">
        <f>SUM(F699:F726)</f>
        <v>8459082</v>
      </c>
      <c r="G729" s="1021"/>
      <c r="H729" s="305"/>
      <c r="I729" s="490">
        <f ca="1">SUM(I699:I728)</f>
        <v>8455703</v>
      </c>
      <c r="J729" s="490"/>
      <c r="K729" s="1021"/>
      <c r="L729" s="305"/>
      <c r="M729" s="490" t="e">
        <f>SUM(M699:M728)</f>
        <v>#REF!</v>
      </c>
      <c r="N729" s="490"/>
      <c r="O729" s="1021"/>
      <c r="P729" s="305"/>
      <c r="Q729" s="490" t="e">
        <f>SUM(Q699:Q728)</f>
        <v>#REF!</v>
      </c>
      <c r="R729" s="490"/>
      <c r="S729" s="1021"/>
      <c r="T729" s="305"/>
      <c r="U729" s="490" t="e">
        <f>SUM(U699:U728)</f>
        <v>#REF!</v>
      </c>
      <c r="V729" s="7"/>
      <c r="W729" s="31"/>
      <c r="X729" s="31"/>
      <c r="Y729" s="31"/>
      <c r="Z729" s="7"/>
      <c r="AA729" s="7"/>
      <c r="AB729" s="7"/>
      <c r="AC729" s="7"/>
      <c r="AD729" s="7"/>
      <c r="AE729" s="7"/>
      <c r="AF729" s="7"/>
      <c r="AG729" s="7"/>
      <c r="AH729" s="7"/>
      <c r="AI729" s="7"/>
      <c r="AJ729" s="7"/>
      <c r="AK729" s="7"/>
      <c r="AL729" s="7"/>
      <c r="AM729" s="7"/>
      <c r="AN729" s="7"/>
      <c r="AO729" s="7"/>
      <c r="AP729" s="7"/>
    </row>
    <row r="730" spans="1:44">
      <c r="A730" s="305" t="s">
        <v>351</v>
      </c>
      <c r="B730" s="305"/>
      <c r="C730" s="1017">
        <f ca="1">'Table 2'!H77</f>
        <v>1898922.7772611515</v>
      </c>
      <c r="D730" s="305"/>
      <c r="E730" s="305"/>
      <c r="F730" s="993">
        <f ca="1">'Table 3'!E77</f>
        <v>50399.856016102043</v>
      </c>
      <c r="G730" s="305"/>
      <c r="H730" s="305"/>
      <c r="I730" s="993">
        <f ca="1">F730</f>
        <v>50399.856016102043</v>
      </c>
      <c r="J730" s="723"/>
      <c r="K730" s="305"/>
      <c r="L730" s="305"/>
      <c r="M730" s="993" t="e">
        <f ca="1">M652/I652*I730</f>
        <v>#DIV/0!</v>
      </c>
      <c r="N730" s="723"/>
      <c r="O730" s="305"/>
      <c r="P730" s="305"/>
      <c r="Q730" s="993" t="e">
        <f ca="1">Q652/I652*I730</f>
        <v>#DIV/0!</v>
      </c>
      <c r="R730" s="723"/>
      <c r="S730" s="305"/>
      <c r="T730" s="305"/>
      <c r="U730" s="993" t="e">
        <f ca="1">U652/I652*I730</f>
        <v>#DIV/0!</v>
      </c>
      <c r="V730" s="714"/>
      <c r="W730" s="171"/>
      <c r="X730" s="31"/>
      <c r="Y730" s="31"/>
      <c r="Z730" s="7"/>
      <c r="AA730" s="7"/>
      <c r="AB730" s="7"/>
      <c r="AC730" s="7"/>
      <c r="AD730" s="7"/>
      <c r="AE730" s="7"/>
      <c r="AF730" s="7"/>
      <c r="AG730" s="7"/>
      <c r="AH730" s="7"/>
      <c r="AI730" s="7"/>
      <c r="AJ730" s="7"/>
      <c r="AK730" s="7"/>
      <c r="AL730" s="7"/>
      <c r="AM730" s="7"/>
      <c r="AN730" s="7"/>
      <c r="AO730" s="7"/>
      <c r="AP730" s="7"/>
    </row>
    <row r="731" spans="1:44" ht="16.5" thickBot="1">
      <c r="A731" s="305" t="s">
        <v>370</v>
      </c>
      <c r="B731" s="305"/>
      <c r="C731" s="1012">
        <f ca="1">SUM(C729)+C730</f>
        <v>104055712.77726115</v>
      </c>
      <c r="D731" s="1036"/>
      <c r="E731" s="1030"/>
      <c r="F731" s="995">
        <f ca="1">F729+F730</f>
        <v>8509481.8560161013</v>
      </c>
      <c r="G731" s="1036"/>
      <c r="H731" s="1030"/>
      <c r="I731" s="995">
        <f ca="1">I729+I730</f>
        <v>8506102.8560161013</v>
      </c>
      <c r="J731" s="723"/>
      <c r="K731" s="1036"/>
      <c r="L731" s="1030"/>
      <c r="M731" s="995" t="e">
        <f ca="1">M729+M730</f>
        <v>#REF!</v>
      </c>
      <c r="N731" s="995"/>
      <c r="O731" s="1036"/>
      <c r="P731" s="1030"/>
      <c r="Q731" s="995" t="e">
        <f ca="1">Q729+Q730</f>
        <v>#REF!</v>
      </c>
      <c r="R731" s="995"/>
      <c r="S731" s="1036"/>
      <c r="T731" s="1030"/>
      <c r="U731" s="995" t="e">
        <f ca="1">U729+U730</f>
        <v>#REF!</v>
      </c>
      <c r="V731" s="295"/>
      <c r="W731" s="354"/>
      <c r="X731" s="31"/>
      <c r="Y731" s="31"/>
      <c r="Z731" s="7"/>
      <c r="AA731" s="7"/>
      <c r="AB731" s="7"/>
      <c r="AC731" s="7"/>
      <c r="AD731" s="7"/>
      <c r="AE731" s="7"/>
      <c r="AF731" s="7"/>
      <c r="AG731" s="7"/>
      <c r="AH731" s="7"/>
      <c r="AI731" s="7"/>
      <c r="AJ731" s="7"/>
      <c r="AK731" s="7"/>
      <c r="AL731" s="7"/>
      <c r="AM731" s="7"/>
      <c r="AN731" s="7"/>
      <c r="AO731" s="7"/>
      <c r="AP731" s="7"/>
    </row>
    <row r="732" spans="1:44" ht="16.5" thickTop="1">
      <c r="B732" s="1051"/>
      <c r="D732" s="305"/>
      <c r="F732" s="496"/>
      <c r="V732" s="7"/>
      <c r="W732" s="31"/>
      <c r="X732" s="31"/>
      <c r="Y732" s="31"/>
      <c r="Z732" s="7"/>
      <c r="AA732" s="7"/>
      <c r="AB732" s="7"/>
      <c r="AC732" s="7"/>
      <c r="AD732" s="7"/>
      <c r="AE732" s="7"/>
      <c r="AF732" s="7"/>
      <c r="AG732" s="7"/>
      <c r="AH732" s="7"/>
      <c r="AI732" s="7"/>
      <c r="AJ732" s="7"/>
      <c r="AK732" s="7"/>
      <c r="AL732" s="7"/>
      <c r="AM732" s="7"/>
      <c r="AN732" s="7"/>
      <c r="AO732" s="7"/>
      <c r="AP732" s="7"/>
    </row>
    <row r="733" spans="1:44">
      <c r="A733" s="305" t="s">
        <v>435</v>
      </c>
      <c r="B733" s="305"/>
      <c r="C733" s="61"/>
      <c r="D733" s="237"/>
      <c r="E733" s="305"/>
      <c r="F733" s="490"/>
      <c r="G733" s="237"/>
      <c r="H733" s="305"/>
      <c r="I733" s="490"/>
      <c r="J733" s="490"/>
      <c r="K733" s="237"/>
      <c r="L733" s="305"/>
      <c r="M733" s="490"/>
      <c r="N733" s="490"/>
      <c r="O733" s="237"/>
      <c r="P733" s="305"/>
      <c r="Q733" s="490"/>
      <c r="R733" s="490"/>
      <c r="S733" s="237"/>
      <c r="T733" s="305"/>
      <c r="U733" s="490"/>
      <c r="V733" s="7"/>
      <c r="W733" s="31"/>
      <c r="X733" s="31"/>
      <c r="Y733" s="31"/>
      <c r="Z733" s="7"/>
      <c r="AA733" s="7"/>
      <c r="AB733" s="7"/>
      <c r="AC733" s="7"/>
      <c r="AD733" s="7"/>
      <c r="AE733" s="7"/>
      <c r="AF733" s="7"/>
      <c r="AG733" s="7"/>
      <c r="AH733" s="7"/>
      <c r="AI733" s="7"/>
      <c r="AJ733" s="7"/>
      <c r="AK733" s="7"/>
      <c r="AL733" s="7"/>
      <c r="AM733" s="7"/>
      <c r="AN733" s="7"/>
      <c r="AO733" s="7"/>
      <c r="AP733" s="7"/>
    </row>
    <row r="734" spans="1:44">
      <c r="A734" s="305" t="s">
        <v>436</v>
      </c>
      <c r="B734" s="305"/>
      <c r="C734" s="61"/>
      <c r="D734" s="237"/>
      <c r="E734" s="305"/>
      <c r="F734" s="490"/>
      <c r="G734" s="237"/>
      <c r="H734" s="305"/>
      <c r="I734" s="490"/>
      <c r="J734" s="490"/>
      <c r="K734" s="237"/>
      <c r="L734" s="305"/>
      <c r="M734" s="490"/>
      <c r="N734" s="490"/>
      <c r="O734" s="237"/>
      <c r="P734" s="305"/>
      <c r="Q734" s="490"/>
      <c r="R734" s="490"/>
      <c r="S734" s="237"/>
      <c r="T734" s="305"/>
      <c r="U734" s="490"/>
      <c r="V734" s="7"/>
      <c r="W734" s="31"/>
      <c r="X734" s="31"/>
      <c r="Y734" s="31"/>
      <c r="Z734" s="7"/>
      <c r="AA734" s="7"/>
      <c r="AB734" s="7"/>
      <c r="AC734" s="7"/>
      <c r="AD734" s="7"/>
      <c r="AE734" s="7"/>
      <c r="AF734" s="7"/>
      <c r="AG734" s="7"/>
      <c r="AH734" s="7"/>
      <c r="AI734" s="7"/>
      <c r="AJ734" s="7"/>
      <c r="AK734" s="7"/>
      <c r="AL734" s="7"/>
      <c r="AM734" s="7"/>
      <c r="AN734" s="7"/>
      <c r="AO734" s="7"/>
      <c r="AP734" s="7"/>
    </row>
    <row r="735" spans="1:44">
      <c r="A735" s="305"/>
      <c r="B735" s="305"/>
      <c r="C735" s="61"/>
      <c r="D735" s="237"/>
      <c r="E735" s="305"/>
      <c r="F735" s="237"/>
      <c r="G735" s="237"/>
      <c r="H735" s="305"/>
      <c r="I735" s="1052"/>
      <c r="J735" s="1052"/>
      <c r="K735" s="237"/>
      <c r="L735" s="305"/>
      <c r="M735" s="1052"/>
      <c r="N735" s="1052"/>
      <c r="O735" s="237"/>
      <c r="P735" s="305"/>
      <c r="Q735" s="1052"/>
      <c r="R735" s="1052"/>
      <c r="S735" s="237"/>
      <c r="T735" s="305"/>
      <c r="U735" s="1052"/>
      <c r="V735" s="7"/>
      <c r="W735" s="31"/>
      <c r="X735" s="31"/>
      <c r="Y735" s="31"/>
      <c r="Z735" s="7"/>
      <c r="AA735" s="7"/>
      <c r="AB735" s="7"/>
      <c r="AC735" s="7"/>
      <c r="AD735" s="7"/>
      <c r="AE735" s="7"/>
      <c r="AF735" s="7"/>
      <c r="AG735" s="7"/>
      <c r="AH735" s="7"/>
      <c r="AI735" s="7"/>
      <c r="AJ735" s="7"/>
      <c r="AK735" s="7"/>
      <c r="AL735" s="7"/>
      <c r="AM735" s="7"/>
      <c r="AN735" s="7"/>
      <c r="AO735" s="7"/>
      <c r="AP735" s="7"/>
    </row>
    <row r="736" spans="1:44">
      <c r="A736" s="305" t="s">
        <v>437</v>
      </c>
      <c r="B736" s="305"/>
      <c r="C736" s="61"/>
      <c r="D736" s="490" t="s">
        <v>31</v>
      </c>
      <c r="E736" s="305"/>
      <c r="F736" s="305"/>
      <c r="G736" s="490" t="s">
        <v>31</v>
      </c>
      <c r="H736" s="305"/>
      <c r="I736" s="305"/>
      <c r="J736" s="305"/>
      <c r="K736" s="490" t="s">
        <v>31</v>
      </c>
      <c r="L736" s="305"/>
      <c r="M736" s="305"/>
      <c r="N736" s="305"/>
      <c r="O736" s="490" t="s">
        <v>31</v>
      </c>
      <c r="P736" s="305"/>
      <c r="Q736" s="305"/>
      <c r="R736" s="305"/>
      <c r="S736" s="490" t="s">
        <v>31</v>
      </c>
      <c r="T736" s="305"/>
      <c r="U736" s="305"/>
      <c r="V736" s="7"/>
      <c r="W736" s="31"/>
      <c r="X736" s="7"/>
      <c r="Y736" s="7"/>
      <c r="Z736" s="7"/>
      <c r="AA736" s="7"/>
      <c r="AB736" s="7"/>
      <c r="AC736" s="7"/>
      <c r="AD736" s="7"/>
      <c r="AE736" s="7"/>
      <c r="AF736" s="7"/>
      <c r="AJ736" s="7"/>
      <c r="AK736" s="7"/>
      <c r="AL736" s="7"/>
      <c r="AM736" s="7"/>
      <c r="AN736" s="7"/>
      <c r="AO736" s="7"/>
      <c r="AP736" s="7"/>
    </row>
    <row r="737" spans="1:42">
      <c r="A737" s="305" t="s">
        <v>438</v>
      </c>
      <c r="B737" s="305"/>
      <c r="C737" s="61">
        <f>C791+C842</f>
        <v>1004.1593541188699</v>
      </c>
      <c r="D737" s="237">
        <v>0</v>
      </c>
      <c r="E737" s="1009"/>
      <c r="F737" s="490">
        <f>F791+F842</f>
        <v>0</v>
      </c>
      <c r="G737" s="237">
        <f>D737</f>
        <v>0</v>
      </c>
      <c r="H737" s="1009"/>
      <c r="I737" s="490">
        <f>I791+I842</f>
        <v>0</v>
      </c>
      <c r="J737" s="490"/>
      <c r="K737" s="237" t="e">
        <f>#REF!</f>
        <v>#REF!</v>
      </c>
      <c r="L737" s="1009"/>
      <c r="M737" s="490" t="e">
        <f>#REF!</f>
        <v>#REF!</v>
      </c>
      <c r="N737" s="490"/>
      <c r="O737" s="237" t="e">
        <f>#REF!</f>
        <v>#REF!</v>
      </c>
      <c r="P737" s="1009"/>
      <c r="Q737" s="490" t="e">
        <f>#REF!</f>
        <v>#REF!</v>
      </c>
      <c r="R737" s="490"/>
      <c r="S737" s="237" t="e">
        <f>#REF!</f>
        <v>#REF!</v>
      </c>
      <c r="T737" s="1009"/>
      <c r="U737" s="490" t="e">
        <f>#REF!</f>
        <v>#REF!</v>
      </c>
      <c r="X737" s="54"/>
      <c r="Y737" s="54"/>
      <c r="AK737" s="7"/>
      <c r="AL737" s="7"/>
      <c r="AM737" s="7"/>
      <c r="AN737" s="7"/>
      <c r="AO737" s="7"/>
      <c r="AP737" s="7"/>
    </row>
    <row r="738" spans="1:42">
      <c r="A738" s="305" t="s">
        <v>439</v>
      </c>
      <c r="B738" s="305"/>
      <c r="C738" s="61"/>
      <c r="D738" s="237"/>
      <c r="E738" s="1009"/>
      <c r="F738" s="490"/>
      <c r="G738" s="237"/>
      <c r="H738" s="1009"/>
      <c r="I738" s="490"/>
      <c r="J738" s="490"/>
      <c r="K738" s="237"/>
      <c r="L738" s="1009"/>
      <c r="M738" s="490"/>
      <c r="N738" s="490"/>
      <c r="O738" s="237"/>
      <c r="P738" s="1009"/>
      <c r="Q738" s="490"/>
      <c r="R738" s="490"/>
      <c r="S738" s="237"/>
      <c r="T738" s="1009"/>
      <c r="U738" s="490"/>
      <c r="AA738" s="496"/>
      <c r="AB738" s="446"/>
      <c r="AC738" s="496"/>
      <c r="AD738" s="446"/>
      <c r="AE738" s="496"/>
      <c r="AF738" s="496"/>
      <c r="AG738" s="446"/>
      <c r="AK738" s="7"/>
      <c r="AL738" s="7"/>
      <c r="AM738" s="7"/>
      <c r="AN738" s="7"/>
      <c r="AO738" s="7"/>
      <c r="AP738" s="7"/>
    </row>
    <row r="739" spans="1:42">
      <c r="A739" s="305" t="s">
        <v>440</v>
      </c>
      <c r="B739" s="305"/>
      <c r="C739" s="61">
        <f t="shared" ref="C739:C744" si="159">C793+C844</f>
        <v>3684.9125050247599</v>
      </c>
      <c r="D739" s="237">
        <v>0</v>
      </c>
      <c r="E739" s="1009"/>
      <c r="F739" s="490">
        <f>F793+F844</f>
        <v>0</v>
      </c>
      <c r="G739" s="237">
        <v>0</v>
      </c>
      <c r="H739" s="1009"/>
      <c r="I739" s="490">
        <f>I793+I844</f>
        <v>0</v>
      </c>
      <c r="J739" s="490"/>
      <c r="K739" s="237" t="e">
        <f>#REF!</f>
        <v>#REF!</v>
      </c>
      <c r="L739" s="1009"/>
      <c r="M739" s="490" t="e">
        <f>#REF!</f>
        <v>#REF!</v>
      </c>
      <c r="N739" s="490"/>
      <c r="O739" s="237" t="e">
        <f>#REF!</f>
        <v>#REF!</v>
      </c>
      <c r="P739" s="1009"/>
      <c r="Q739" s="490" t="e">
        <f>#REF!</f>
        <v>#REF!</v>
      </c>
      <c r="R739" s="490"/>
      <c r="S739" s="237" t="e">
        <f>#REF!</f>
        <v>#REF!</v>
      </c>
      <c r="T739" s="1009"/>
      <c r="U739" s="490" t="e">
        <f>#REF!</f>
        <v>#REF!</v>
      </c>
      <c r="V739" s="428"/>
      <c r="X739" s="444" t="s">
        <v>609</v>
      </c>
      <c r="Y739" s="444"/>
      <c r="AA739" s="496"/>
      <c r="AB739" s="446"/>
      <c r="AC739" s="496"/>
      <c r="AD739" s="446"/>
      <c r="AE739" s="496"/>
      <c r="AF739" s="496"/>
      <c r="AG739" s="446"/>
      <c r="AK739" s="7"/>
      <c r="AL739" s="7"/>
      <c r="AM739" s="7"/>
      <c r="AN739" s="7"/>
      <c r="AO739" s="7"/>
      <c r="AP739" s="7"/>
    </row>
    <row r="740" spans="1:42">
      <c r="A740" s="305" t="s">
        <v>441</v>
      </c>
      <c r="B740" s="305"/>
      <c r="C740" s="61">
        <f t="shared" si="159"/>
        <v>434.32336072732699</v>
      </c>
      <c r="D740" s="237">
        <v>379</v>
      </c>
      <c r="E740" s="1009"/>
      <c r="F740" s="490">
        <f>F794+F845</f>
        <v>164608</v>
      </c>
      <c r="G740" s="237">
        <f>ROUND(D740*(1+$X$768),0)</f>
        <v>379</v>
      </c>
      <c r="H740" s="1009"/>
      <c r="I740" s="490">
        <f>I794+I845</f>
        <v>164608</v>
      </c>
      <c r="J740" s="490"/>
      <c r="K740" s="237" t="e">
        <f>#REF!</f>
        <v>#REF!</v>
      </c>
      <c r="L740" s="1009"/>
      <c r="M740" s="490" t="e">
        <f>#REF!</f>
        <v>#REF!</v>
      </c>
      <c r="N740" s="490"/>
      <c r="O740" s="237" t="e">
        <f>#REF!</f>
        <v>#REF!</v>
      </c>
      <c r="P740" s="1009"/>
      <c r="Q740" s="490" t="e">
        <f>#REF!</f>
        <v>#REF!</v>
      </c>
      <c r="R740" s="490"/>
      <c r="S740" s="237" t="e">
        <f>#REF!</f>
        <v>#REF!</v>
      </c>
      <c r="T740" s="1009"/>
      <c r="U740" s="490" t="e">
        <f>#REF!</f>
        <v>#REF!</v>
      </c>
      <c r="V740" s="85"/>
      <c r="X740" s="54">
        <f>(G740-D740)/D740</f>
        <v>0</v>
      </c>
      <c r="Y740" s="54"/>
      <c r="Z740" s="985"/>
      <c r="AA740" s="496"/>
      <c r="AB740" s="870"/>
      <c r="AC740" s="496"/>
      <c r="AD740" s="870"/>
      <c r="AE740" s="496"/>
      <c r="AF740" s="496"/>
      <c r="AG740" s="540"/>
      <c r="AK740" s="7"/>
      <c r="AL740" s="7"/>
      <c r="AM740" s="7"/>
      <c r="AN740" s="7"/>
      <c r="AO740" s="7"/>
      <c r="AP740" s="7"/>
    </row>
    <row r="741" spans="1:42">
      <c r="A741" s="305" t="s">
        <v>442</v>
      </c>
      <c r="B741" s="305"/>
      <c r="C741" s="61">
        <f t="shared" si="159"/>
        <v>12.301399719748961</v>
      </c>
      <c r="D741" s="237">
        <v>1539</v>
      </c>
      <c r="E741" s="1009"/>
      <c r="F741" s="490">
        <f>F795+F846</f>
        <v>18932</v>
      </c>
      <c r="G741" s="237">
        <f>ROUND(D741*(1+$X$768),0)</f>
        <v>1539</v>
      </c>
      <c r="H741" s="1009"/>
      <c r="I741" s="490">
        <f>I795+I846</f>
        <v>18932</v>
      </c>
      <c r="J741" s="490"/>
      <c r="K741" s="237" t="e">
        <f>#REF!</f>
        <v>#REF!</v>
      </c>
      <c r="L741" s="1009"/>
      <c r="M741" s="490" t="e">
        <f>#REF!</f>
        <v>#REF!</v>
      </c>
      <c r="N741" s="490"/>
      <c r="O741" s="237" t="e">
        <f>#REF!</f>
        <v>#REF!</v>
      </c>
      <c r="P741" s="1009"/>
      <c r="Q741" s="490" t="e">
        <f>#REF!</f>
        <v>#REF!</v>
      </c>
      <c r="R741" s="490"/>
      <c r="S741" s="237" t="e">
        <f>#REF!</f>
        <v>#REF!</v>
      </c>
      <c r="T741" s="1009"/>
      <c r="U741" s="490" t="e">
        <f>#REF!</f>
        <v>#REF!</v>
      </c>
      <c r="V741" s="85"/>
      <c r="X741" s="54">
        <f>(G741-D741)/D741</f>
        <v>0</v>
      </c>
      <c r="Y741" s="54"/>
      <c r="AA741" s="496"/>
      <c r="AB741" s="496"/>
      <c r="AG741" s="7"/>
      <c r="AJ741" s="7"/>
      <c r="AK741" s="7"/>
      <c r="AL741" s="7"/>
      <c r="AM741" s="7"/>
      <c r="AN741" s="7"/>
      <c r="AO741" s="7"/>
      <c r="AP741" s="7"/>
    </row>
    <row r="742" spans="1:42">
      <c r="A742" s="305" t="s">
        <v>350</v>
      </c>
      <c r="B742" s="305"/>
      <c r="C742" s="61">
        <f t="shared" si="159"/>
        <v>5135.6966195907062</v>
      </c>
      <c r="D742" s="237"/>
      <c r="E742" s="1009"/>
      <c r="F742" s="490"/>
      <c r="G742" s="237"/>
      <c r="H742" s="1009"/>
      <c r="I742" s="490"/>
      <c r="J742" s="490"/>
      <c r="K742" s="237"/>
      <c r="L742" s="1009"/>
      <c r="M742" s="490"/>
      <c r="N742" s="490"/>
      <c r="O742" s="237"/>
      <c r="P742" s="1009"/>
      <c r="Q742" s="490"/>
      <c r="R742" s="490"/>
      <c r="S742" s="237"/>
      <c r="T742" s="1009"/>
      <c r="U742" s="490"/>
      <c r="V742" s="85"/>
      <c r="X742" s="870"/>
      <c r="Y742" s="870"/>
      <c r="Z742" s="85"/>
      <c r="AG742" s="985"/>
      <c r="AH742" s="985"/>
      <c r="AI742" s="7"/>
      <c r="AJ742" s="7"/>
      <c r="AK742" s="7"/>
      <c r="AL742" s="7"/>
      <c r="AM742" s="7"/>
      <c r="AN742" s="7"/>
      <c r="AO742" s="7"/>
      <c r="AP742" s="7"/>
    </row>
    <row r="743" spans="1:42">
      <c r="A743" s="305" t="s">
        <v>443</v>
      </c>
      <c r="B743" s="305"/>
      <c r="C743" s="61">
        <f t="shared" si="159"/>
        <v>29198.894444444468</v>
      </c>
      <c r="D743" s="237"/>
      <c r="E743" s="1009"/>
      <c r="F743" s="490"/>
      <c r="G743" s="237"/>
      <c r="H743" s="1009"/>
      <c r="I743" s="490"/>
      <c r="J743" s="490"/>
      <c r="K743" s="237"/>
      <c r="L743" s="1009"/>
      <c r="M743" s="490"/>
      <c r="N743" s="490"/>
      <c r="O743" s="237"/>
      <c r="P743" s="1009"/>
      <c r="Q743" s="490"/>
      <c r="R743" s="490"/>
      <c r="S743" s="237"/>
      <c r="T743" s="1009"/>
      <c r="U743" s="490"/>
      <c r="V743" s="85"/>
      <c r="Z743" s="85"/>
      <c r="AI743" s="7"/>
      <c r="AJ743" s="7"/>
      <c r="AK743" s="7"/>
      <c r="AL743" s="7"/>
      <c r="AM743" s="7"/>
      <c r="AN743" s="7"/>
      <c r="AO743" s="7"/>
      <c r="AP743" s="7"/>
    </row>
    <row r="744" spans="1:42">
      <c r="A744" s="305" t="s">
        <v>104</v>
      </c>
      <c r="B744" s="305"/>
      <c r="C744" s="61">
        <f t="shared" si="159"/>
        <v>20744</v>
      </c>
      <c r="D744" s="237"/>
      <c r="E744" s="490"/>
      <c r="F744" s="490"/>
      <c r="G744" s="237"/>
      <c r="H744" s="490"/>
      <c r="I744" s="237" t="s">
        <v>31</v>
      </c>
      <c r="J744" s="237"/>
      <c r="K744" s="237"/>
      <c r="L744" s="490"/>
      <c r="M744" s="237" t="s">
        <v>31</v>
      </c>
      <c r="N744" s="237"/>
      <c r="O744" s="237"/>
      <c r="P744" s="490"/>
      <c r="Q744" s="237" t="s">
        <v>31</v>
      </c>
      <c r="R744" s="237"/>
      <c r="S744" s="237"/>
      <c r="T744" s="490"/>
      <c r="U744" s="237" t="s">
        <v>31</v>
      </c>
      <c r="V744" s="85"/>
      <c r="X744" s="870"/>
      <c r="Y744" s="870"/>
      <c r="Z744" s="1028"/>
      <c r="AI744" s="7"/>
      <c r="AJ744" s="7"/>
      <c r="AK744" s="7"/>
      <c r="AL744" s="7"/>
      <c r="AM744" s="7"/>
      <c r="AN744" s="7"/>
      <c r="AO744" s="7"/>
      <c r="AP744" s="7"/>
    </row>
    <row r="745" spans="1:42">
      <c r="A745" s="305" t="s">
        <v>444</v>
      </c>
      <c r="B745" s="305"/>
      <c r="C745" s="61"/>
      <c r="D745" s="237"/>
      <c r="E745" s="1009"/>
      <c r="F745" s="490"/>
      <c r="G745" s="237"/>
      <c r="H745" s="1009"/>
      <c r="I745" s="490"/>
      <c r="J745" s="490"/>
      <c r="K745" s="237"/>
      <c r="L745" s="1009"/>
      <c r="M745" s="490"/>
      <c r="N745" s="490"/>
      <c r="O745" s="237"/>
      <c r="P745" s="1009"/>
      <c r="Q745" s="490"/>
      <c r="R745" s="490"/>
      <c r="S745" s="237"/>
      <c r="T745" s="1009"/>
      <c r="U745" s="490"/>
      <c r="V745" s="85"/>
      <c r="X745" s="870"/>
      <c r="Y745" s="870"/>
      <c r="Z745" s="85"/>
      <c r="AI745" s="7"/>
      <c r="AJ745" s="7"/>
      <c r="AK745" s="7"/>
      <c r="AL745" s="7"/>
      <c r="AM745" s="7"/>
      <c r="AN745" s="7"/>
      <c r="AO745" s="7"/>
      <c r="AP745" s="7"/>
    </row>
    <row r="746" spans="1:42">
      <c r="A746" s="305" t="s">
        <v>445</v>
      </c>
      <c r="B746" s="305"/>
      <c r="C746" s="61">
        <f>C800+C851</f>
        <v>3761.26073350857</v>
      </c>
      <c r="D746" s="237">
        <v>26.63</v>
      </c>
      <c r="E746" s="1009"/>
      <c r="F746" s="490">
        <f>F800+F851</f>
        <v>100163</v>
      </c>
      <c r="G746" s="237">
        <f>ROUND(D746*(1+$X$768),2)-0.02</f>
        <v>26.61</v>
      </c>
      <c r="H746" s="1009"/>
      <c r="I746" s="490">
        <f>I800+I851</f>
        <v>100087</v>
      </c>
      <c r="J746" s="490"/>
      <c r="K746" s="237" t="e">
        <f>#REF!</f>
        <v>#REF!</v>
      </c>
      <c r="L746" s="1009"/>
      <c r="M746" s="490" t="e">
        <f>#REF!</f>
        <v>#REF!</v>
      </c>
      <c r="N746" s="490"/>
      <c r="O746" s="237" t="e">
        <f>#REF!</f>
        <v>#REF!</v>
      </c>
      <c r="P746" s="1009"/>
      <c r="Q746" s="490" t="e">
        <f>#REF!</f>
        <v>#REF!</v>
      </c>
      <c r="R746" s="490"/>
      <c r="S746" s="237" t="e">
        <f>#REF!</f>
        <v>#REF!</v>
      </c>
      <c r="T746" s="1009"/>
      <c r="U746" s="490" t="e">
        <f>#REF!</f>
        <v>#REF!</v>
      </c>
      <c r="V746" s="1053"/>
      <c r="X746" s="54">
        <f>(G746-D746)/D746</f>
        <v>-7.5103266992112563E-4</v>
      </c>
      <c r="Y746" s="54"/>
      <c r="Z746" s="85"/>
      <c r="AK746" s="7"/>
      <c r="AL746" s="7"/>
      <c r="AM746" s="7"/>
      <c r="AN746" s="7"/>
      <c r="AO746" s="7"/>
      <c r="AP746" s="7"/>
    </row>
    <row r="747" spans="1:42">
      <c r="A747" s="305" t="s">
        <v>446</v>
      </c>
      <c r="B747" s="305"/>
      <c r="C747" s="61"/>
      <c r="D747" s="237"/>
      <c r="E747" s="1009"/>
      <c r="F747" s="490"/>
      <c r="G747" s="237"/>
      <c r="H747" s="1009"/>
      <c r="I747" s="490"/>
      <c r="J747" s="490"/>
      <c r="K747" s="237"/>
      <c r="L747" s="1009"/>
      <c r="M747" s="490"/>
      <c r="N747" s="490"/>
      <c r="O747" s="237"/>
      <c r="P747" s="1009"/>
      <c r="Q747" s="490"/>
      <c r="R747" s="490"/>
      <c r="S747" s="237"/>
      <c r="T747" s="1009"/>
      <c r="U747" s="490"/>
      <c r="V747" s="1053"/>
      <c r="X747" s="870"/>
      <c r="Y747" s="870"/>
      <c r="Z747" s="85"/>
      <c r="AK747" s="7"/>
      <c r="AL747" s="7"/>
      <c r="AM747" s="7"/>
      <c r="AN747" s="7"/>
      <c r="AO747" s="7"/>
      <c r="AP747" s="7"/>
    </row>
    <row r="748" spans="1:42">
      <c r="A748" s="305" t="s">
        <v>440</v>
      </c>
      <c r="B748" s="305"/>
      <c r="C748" s="61">
        <f>C802+C853</f>
        <v>53905.583708849605</v>
      </c>
      <c r="D748" s="237">
        <v>26.63</v>
      </c>
      <c r="E748" s="1009"/>
      <c r="F748" s="490">
        <f>F802+F853</f>
        <v>1435506</v>
      </c>
      <c r="G748" s="237">
        <f>ROUND(D748*(1+$X$768),2)+0.05</f>
        <v>26.68</v>
      </c>
      <c r="H748" s="1009"/>
      <c r="I748" s="490">
        <f>I802+I853</f>
        <v>1438201</v>
      </c>
      <c r="J748" s="490"/>
      <c r="K748" s="237" t="e">
        <f>#REF!</f>
        <v>#REF!</v>
      </c>
      <c r="L748" s="1009"/>
      <c r="M748" s="490" t="e">
        <f>#REF!</f>
        <v>#REF!</v>
      </c>
      <c r="N748" s="490"/>
      <c r="O748" s="237" t="e">
        <f>#REF!</f>
        <v>#REF!</v>
      </c>
      <c r="P748" s="1009"/>
      <c r="Q748" s="490" t="e">
        <f>#REF!</f>
        <v>#REF!</v>
      </c>
      <c r="R748" s="490"/>
      <c r="S748" s="237" t="e">
        <f>#REF!</f>
        <v>#REF!</v>
      </c>
      <c r="T748" s="1009"/>
      <c r="U748" s="490" t="e">
        <f>#REF!</f>
        <v>#REF!</v>
      </c>
      <c r="V748" s="1053"/>
      <c r="X748" s="54">
        <f>(G748-D748)/D748</f>
        <v>1.8775816748028806E-3</v>
      </c>
      <c r="Y748" s="54"/>
      <c r="Z748" s="85"/>
      <c r="AK748" s="7"/>
      <c r="AL748" s="7"/>
      <c r="AM748" s="7"/>
      <c r="AN748" s="7"/>
      <c r="AO748" s="7"/>
      <c r="AP748" s="7"/>
    </row>
    <row r="749" spans="1:42">
      <c r="A749" s="305" t="s">
        <v>441</v>
      </c>
      <c r="B749" s="305"/>
      <c r="C749" s="61">
        <f>C803+C854</f>
        <v>42010.213231439397</v>
      </c>
      <c r="D749" s="237">
        <v>18.53</v>
      </c>
      <c r="E749" s="1009"/>
      <c r="F749" s="490">
        <f>F803+F854</f>
        <v>778449</v>
      </c>
      <c r="G749" s="237">
        <f>D749*(1+$X$768)+0.01</f>
        <v>18.540000000000003</v>
      </c>
      <c r="H749" s="1009"/>
      <c r="I749" s="490">
        <f>I803+I854</f>
        <v>778869</v>
      </c>
      <c r="J749" s="490"/>
      <c r="K749" s="237" t="e">
        <f>#REF!</f>
        <v>#REF!</v>
      </c>
      <c r="L749" s="1009"/>
      <c r="M749" s="490" t="e">
        <f>#REF!</f>
        <v>#REF!</v>
      </c>
      <c r="N749" s="490"/>
      <c r="O749" s="237" t="e">
        <f>#REF!</f>
        <v>#REF!</v>
      </c>
      <c r="P749" s="1009"/>
      <c r="Q749" s="490" t="e">
        <f>#REF!</f>
        <v>#REF!</v>
      </c>
      <c r="R749" s="490"/>
      <c r="S749" s="237" t="e">
        <f>#REF!</f>
        <v>#REF!</v>
      </c>
      <c r="T749" s="1009"/>
      <c r="U749" s="490" t="e">
        <f>#REF!</f>
        <v>#REF!</v>
      </c>
      <c r="V749" s="1053"/>
      <c r="X749" s="54">
        <f>(G749-D749)/D749</f>
        <v>5.3966540744746698E-4</v>
      </c>
      <c r="Y749" s="54"/>
      <c r="Z749" s="85"/>
      <c r="AC749" s="496"/>
      <c r="AD749" s="496"/>
      <c r="AE749" s="496"/>
      <c r="AF749" s="496"/>
      <c r="AG749" s="496"/>
      <c r="AH749" s="446"/>
      <c r="AI749" s="7" t="s">
        <v>31</v>
      </c>
      <c r="AJ749" s="7"/>
      <c r="AK749" s="7"/>
      <c r="AL749" s="7"/>
      <c r="AM749" s="7"/>
      <c r="AN749" s="7"/>
      <c r="AO749" s="7"/>
      <c r="AP749" s="7"/>
    </row>
    <row r="750" spans="1:42">
      <c r="A750" s="305" t="s">
        <v>442</v>
      </c>
      <c r="B750" s="305" t="s">
        <v>31</v>
      </c>
      <c r="C750" s="61">
        <f>C804+C855</f>
        <v>4739.8709296392499</v>
      </c>
      <c r="D750" s="237">
        <v>14.49</v>
      </c>
      <c r="E750" s="1009"/>
      <c r="F750" s="490">
        <f>F804+F855</f>
        <v>68680</v>
      </c>
      <c r="G750" s="237">
        <f>D750*(1+$X$768)</f>
        <v>14.49</v>
      </c>
      <c r="H750" s="1009"/>
      <c r="I750" s="490">
        <f>I804+I855</f>
        <v>68680</v>
      </c>
      <c r="J750" s="490"/>
      <c r="K750" s="237" t="e">
        <f>#REF!</f>
        <v>#REF!</v>
      </c>
      <c r="L750" s="1009"/>
      <c r="M750" s="490" t="e">
        <f>#REF!</f>
        <v>#REF!</v>
      </c>
      <c r="N750" s="490"/>
      <c r="O750" s="237" t="e">
        <f>#REF!</f>
        <v>#REF!</v>
      </c>
      <c r="P750" s="1009"/>
      <c r="Q750" s="490" t="e">
        <f>#REF!</f>
        <v>#REF!</v>
      </c>
      <c r="R750" s="490"/>
      <c r="S750" s="237" t="e">
        <f>#REF!</f>
        <v>#REF!</v>
      </c>
      <c r="T750" s="1009"/>
      <c r="U750" s="490" t="e">
        <f>#REF!</f>
        <v>#REF!</v>
      </c>
      <c r="V750" s="1053"/>
      <c r="X750" s="54">
        <f>(G750-D750)/D750</f>
        <v>0</v>
      </c>
      <c r="Y750" s="54"/>
      <c r="Z750" s="85"/>
      <c r="AI750" s="7" t="s">
        <v>31</v>
      </c>
      <c r="AJ750" s="7"/>
      <c r="AK750" s="7"/>
      <c r="AL750" s="7"/>
      <c r="AM750" s="7"/>
      <c r="AN750" s="7"/>
      <c r="AO750" s="7"/>
      <c r="AP750" s="7"/>
    </row>
    <row r="751" spans="1:42">
      <c r="A751" s="305" t="s">
        <v>448</v>
      </c>
      <c r="B751" s="305"/>
      <c r="C751" s="61">
        <f>C805+C856</f>
        <v>525.633292205354</v>
      </c>
      <c r="D751" s="237">
        <f>3*D746</f>
        <v>79.89</v>
      </c>
      <c r="E751" s="1009"/>
      <c r="F751" s="490">
        <f>F805+F856</f>
        <v>41993</v>
      </c>
      <c r="G751" s="237">
        <f>3*G746</f>
        <v>79.83</v>
      </c>
      <c r="H751" s="1009"/>
      <c r="I751" s="490">
        <f>I805+I856</f>
        <v>41961</v>
      </c>
      <c r="J751" s="490"/>
      <c r="K751" s="237" t="e">
        <f>#REF!</f>
        <v>#REF!</v>
      </c>
      <c r="L751" s="1009"/>
      <c r="M751" s="490" t="e">
        <f>#REF!</f>
        <v>#REF!</v>
      </c>
      <c r="N751" s="490"/>
      <c r="O751" s="237" t="e">
        <f>#REF!</f>
        <v>#REF!</v>
      </c>
      <c r="P751" s="1009"/>
      <c r="Q751" s="490" t="e">
        <f>#REF!</f>
        <v>#REF!</v>
      </c>
      <c r="R751" s="490"/>
      <c r="S751" s="237" t="e">
        <f>#REF!</f>
        <v>#REF!</v>
      </c>
      <c r="T751" s="1009"/>
      <c r="U751" s="490" t="e">
        <f>#REF!</f>
        <v>#REF!</v>
      </c>
      <c r="V751" s="85"/>
      <c r="X751" s="54">
        <f>(G751-D751)/D751</f>
        <v>-7.5103266992116997E-4</v>
      </c>
      <c r="Y751" s="54"/>
      <c r="Z751" s="85"/>
      <c r="AI751" s="7"/>
      <c r="AJ751" s="7"/>
      <c r="AK751" s="7"/>
      <c r="AL751" s="7"/>
      <c r="AM751" s="7"/>
      <c r="AN751" s="7"/>
      <c r="AO751" s="7"/>
      <c r="AP751" s="7"/>
    </row>
    <row r="752" spans="1:42">
      <c r="A752" s="305" t="s">
        <v>449</v>
      </c>
      <c r="B752" s="305"/>
      <c r="C752" s="61">
        <f>C806+C857</f>
        <v>989.09305134899591</v>
      </c>
      <c r="D752" s="237">
        <f>6*D746</f>
        <v>159.78</v>
      </c>
      <c r="E752" s="1009"/>
      <c r="F752" s="490">
        <f>F806+F857</f>
        <v>158037</v>
      </c>
      <c r="G752" s="237">
        <f>6*G748</f>
        <v>160.07999999999998</v>
      </c>
      <c r="H752" s="1009"/>
      <c r="I752" s="490">
        <f>I806+I857</f>
        <v>158334</v>
      </c>
      <c r="J752" s="490"/>
      <c r="K752" s="237" t="e">
        <f>#REF!</f>
        <v>#REF!</v>
      </c>
      <c r="L752" s="1009"/>
      <c r="M752" s="490" t="e">
        <f>#REF!</f>
        <v>#REF!</v>
      </c>
      <c r="N752" s="490"/>
      <c r="O752" s="237" t="e">
        <f>#REF!</f>
        <v>#REF!</v>
      </c>
      <c r="P752" s="1009"/>
      <c r="Q752" s="490" t="e">
        <f>#REF!</f>
        <v>#REF!</v>
      </c>
      <c r="R752" s="490"/>
      <c r="S752" s="237" t="e">
        <f>#REF!</f>
        <v>#REF!</v>
      </c>
      <c r="T752" s="1009"/>
      <c r="U752" s="490" t="e">
        <f>#REF!</f>
        <v>#REF!</v>
      </c>
      <c r="V752" s="85"/>
      <c r="X752" s="54">
        <f>(G752-D752)/D752</f>
        <v>1.8775816748027472E-3</v>
      </c>
      <c r="Y752" s="54"/>
      <c r="Z752" s="85"/>
      <c r="AI752" s="7"/>
      <c r="AJ752" s="7"/>
      <c r="AK752" s="7"/>
      <c r="AL752" s="7"/>
      <c r="AM752" s="7"/>
      <c r="AN752" s="7"/>
      <c r="AO752" s="7"/>
      <c r="AP752" s="7"/>
    </row>
    <row r="753" spans="1:44">
      <c r="A753" s="305" t="s">
        <v>450</v>
      </c>
      <c r="B753" s="305"/>
      <c r="C753" s="61"/>
      <c r="D753" s="237"/>
      <c r="E753" s="1009"/>
      <c r="F753" s="490"/>
      <c r="G753" s="237"/>
      <c r="H753" s="1009"/>
      <c r="I753" s="490"/>
      <c r="J753" s="490"/>
      <c r="K753" s="237"/>
      <c r="L753" s="1009"/>
      <c r="M753" s="490"/>
      <c r="N753" s="490"/>
      <c r="O753" s="237"/>
      <c r="P753" s="1009"/>
      <c r="Q753" s="490"/>
      <c r="R753" s="490"/>
      <c r="S753" s="237"/>
      <c r="T753" s="1009"/>
      <c r="U753" s="490"/>
      <c r="V753" s="85"/>
      <c r="X753" s="4"/>
      <c r="Y753" s="4"/>
      <c r="Z753" s="85"/>
      <c r="AI753" s="7"/>
      <c r="AJ753" s="7"/>
      <c r="AK753" s="7"/>
      <c r="AL753" s="7"/>
      <c r="AM753" s="7"/>
      <c r="AN753" s="7"/>
      <c r="AO753" s="7"/>
      <c r="AP753" s="7"/>
    </row>
    <row r="754" spans="1:44">
      <c r="A754" s="305" t="s">
        <v>445</v>
      </c>
      <c r="B754" s="305"/>
      <c r="C754" s="61">
        <f>C808+C859</f>
        <v>499.05232194267103</v>
      </c>
      <c r="D754" s="237">
        <f>-D746</f>
        <v>-26.63</v>
      </c>
      <c r="E754" s="1009"/>
      <c r="F754" s="490">
        <f>F808+F859</f>
        <v>-13290</v>
      </c>
      <c r="G754" s="237">
        <f>-G746</f>
        <v>-26.61</v>
      </c>
      <c r="H754" s="1009"/>
      <c r="I754" s="490">
        <f>I808+I859</f>
        <v>-13280</v>
      </c>
      <c r="J754" s="490"/>
      <c r="K754" s="237" t="e">
        <f>-K746</f>
        <v>#REF!</v>
      </c>
      <c r="L754" s="1009"/>
      <c r="M754" s="490" t="e">
        <f>#REF!</f>
        <v>#REF!</v>
      </c>
      <c r="N754" s="490"/>
      <c r="O754" s="237" t="e">
        <f>-O746</f>
        <v>#REF!</v>
      </c>
      <c r="P754" s="1009"/>
      <c r="Q754" s="490" t="e">
        <f>#REF!</f>
        <v>#REF!</v>
      </c>
      <c r="R754" s="490"/>
      <c r="S754" s="237" t="e">
        <f>-S746</f>
        <v>#REF!</v>
      </c>
      <c r="T754" s="1009"/>
      <c r="U754" s="490" t="e">
        <f>#REF!</f>
        <v>#REF!</v>
      </c>
      <c r="V754" s="85"/>
      <c r="X754" s="4"/>
      <c r="Y754" s="4"/>
      <c r="Z754" s="85"/>
      <c r="AI754" s="7"/>
      <c r="AJ754" s="7"/>
      <c r="AK754" s="7"/>
      <c r="AL754" s="7"/>
      <c r="AM754" s="7"/>
      <c r="AN754" s="7"/>
      <c r="AO754" s="7"/>
      <c r="AP754" s="7"/>
    </row>
    <row r="755" spans="1:44">
      <c r="A755" s="305" t="s">
        <v>451</v>
      </c>
      <c r="B755" s="305"/>
      <c r="C755" s="61">
        <f>C809+C860</f>
        <v>1531.5181812492169</v>
      </c>
      <c r="D755" s="237">
        <f>-D748</f>
        <v>-26.63</v>
      </c>
      <c r="E755" s="1009"/>
      <c r="F755" s="490">
        <f>F809+F860</f>
        <v>-40784</v>
      </c>
      <c r="G755" s="237">
        <f>-G748</f>
        <v>-26.68</v>
      </c>
      <c r="H755" s="1009"/>
      <c r="I755" s="490">
        <f>I809+I860</f>
        <v>-40861</v>
      </c>
      <c r="J755" s="490"/>
      <c r="K755" s="237" t="e">
        <f>-K748</f>
        <v>#REF!</v>
      </c>
      <c r="L755" s="1009"/>
      <c r="M755" s="490" t="e">
        <f>#REF!</f>
        <v>#REF!</v>
      </c>
      <c r="N755" s="490"/>
      <c r="O755" s="237" t="e">
        <f>-O748</f>
        <v>#REF!</v>
      </c>
      <c r="P755" s="1009"/>
      <c r="Q755" s="490" t="e">
        <f>#REF!</f>
        <v>#REF!</v>
      </c>
      <c r="R755" s="490"/>
      <c r="S755" s="237" t="e">
        <f>-S748</f>
        <v>#REF!</v>
      </c>
      <c r="T755" s="1009"/>
      <c r="U755" s="490" t="e">
        <f>#REF!</f>
        <v>#REF!</v>
      </c>
      <c r="V755" s="85"/>
      <c r="X755" s="4"/>
      <c r="Y755" s="4"/>
      <c r="Z755" s="85"/>
      <c r="AI755" s="7"/>
      <c r="AJ755" s="7"/>
      <c r="AK755" s="7"/>
      <c r="AL755" s="7"/>
      <c r="AM755" s="7"/>
      <c r="AN755" s="7"/>
      <c r="AO755" s="7"/>
      <c r="AP755" s="7"/>
    </row>
    <row r="756" spans="1:44">
      <c r="A756" s="305" t="s">
        <v>414</v>
      </c>
      <c r="B756" s="305"/>
      <c r="C756" s="61">
        <f>C810+C861</f>
        <v>0</v>
      </c>
      <c r="D756" s="237"/>
      <c r="E756" s="490"/>
      <c r="F756" s="490"/>
      <c r="G756" s="237"/>
      <c r="H756" s="490"/>
      <c r="I756" s="490"/>
      <c r="J756" s="490"/>
      <c r="K756" s="237"/>
      <c r="L756" s="490"/>
      <c r="M756" s="490"/>
      <c r="N756" s="490" t="s">
        <v>31</v>
      </c>
      <c r="O756" s="237"/>
      <c r="P756" s="490"/>
      <c r="Q756" s="490"/>
      <c r="R756" s="490"/>
      <c r="S756" s="237"/>
      <c r="T756" s="490"/>
      <c r="U756" s="490"/>
      <c r="V756" s="85"/>
      <c r="X756" s="4"/>
      <c r="Y756" s="4"/>
      <c r="Z756" s="85"/>
      <c r="AA756" s="4" t="s">
        <v>31</v>
      </c>
      <c r="AI756" s="7"/>
      <c r="AJ756" s="7"/>
      <c r="AK756" s="7"/>
      <c r="AL756" s="7"/>
      <c r="AM756" s="7"/>
      <c r="AN756" s="7"/>
      <c r="AO756" s="7"/>
      <c r="AP756" s="7"/>
    </row>
    <row r="757" spans="1:44">
      <c r="A757" s="305" t="s">
        <v>452</v>
      </c>
      <c r="B757" s="305"/>
      <c r="C757" s="61">
        <f>C811+C862</f>
        <v>156050797.84020001</v>
      </c>
      <c r="D757" s="396">
        <v>7.2030000000000003</v>
      </c>
      <c r="E757" s="490" t="s">
        <v>362</v>
      </c>
      <c r="F757" s="490">
        <f>F811+F862</f>
        <v>11240339</v>
      </c>
      <c r="G757" s="396">
        <f>ROUND(D757+(D757*$X$768)-G759,3)</f>
        <v>7.2030000000000003</v>
      </c>
      <c r="H757" s="490" t="s">
        <v>362</v>
      </c>
      <c r="I757" s="490">
        <f>I811+I862</f>
        <v>11240339</v>
      </c>
      <c r="J757" s="490"/>
      <c r="K757" s="396" t="e">
        <f>#REF!</f>
        <v>#REF!</v>
      </c>
      <c r="L757" s="490" t="s">
        <v>31</v>
      </c>
      <c r="M757" s="490" t="e">
        <f>#REF!</f>
        <v>#REF!</v>
      </c>
      <c r="N757" s="490"/>
      <c r="O757" s="396" t="e">
        <f>#REF!</f>
        <v>#REF!</v>
      </c>
      <c r="P757" s="490" t="s">
        <v>362</v>
      </c>
      <c r="Q757" s="490" t="e">
        <f>#REF!</f>
        <v>#REF!</v>
      </c>
      <c r="R757" s="490"/>
      <c r="S757" s="396" t="e">
        <f>#REF!</f>
        <v>#REF!</v>
      </c>
      <c r="T757" s="490" t="s">
        <v>362</v>
      </c>
      <c r="U757" s="490" t="e">
        <f>#REF!</f>
        <v>#REF!</v>
      </c>
      <c r="V757" s="1054"/>
      <c r="X757" s="54">
        <f>((G757+G759)-D757)/D757</f>
        <v>0</v>
      </c>
      <c r="Y757" s="54"/>
      <c r="Z757" s="85"/>
      <c r="AI757" s="7"/>
      <c r="AJ757" s="7"/>
      <c r="AK757" s="7"/>
      <c r="AL757" s="7"/>
      <c r="AM757" s="7"/>
      <c r="AN757" s="7"/>
      <c r="AO757" s="7"/>
      <c r="AP757" s="7"/>
    </row>
    <row r="758" spans="1:44">
      <c r="A758" s="305" t="s">
        <v>388</v>
      </c>
      <c r="B758" s="305"/>
      <c r="C758" s="61">
        <f>C812+C863</f>
        <v>66643</v>
      </c>
      <c r="D758" s="1055">
        <v>58</v>
      </c>
      <c r="E758" s="305" t="s">
        <v>362</v>
      </c>
      <c r="F758" s="490">
        <f>F812+F863</f>
        <v>38653</v>
      </c>
      <c r="G758" s="1055">
        <f>ROUND(D758*(1+$X$768),0)</f>
        <v>58</v>
      </c>
      <c r="H758" s="305" t="s">
        <v>362</v>
      </c>
      <c r="I758" s="490">
        <f>I812+I863</f>
        <v>38653</v>
      </c>
      <c r="J758" s="490"/>
      <c r="K758" s="1055" t="e">
        <f>#REF!</f>
        <v>#REF!</v>
      </c>
      <c r="L758" s="305" t="s">
        <v>31</v>
      </c>
      <c r="M758" s="490" t="e">
        <f>#REF!</f>
        <v>#REF!</v>
      </c>
      <c r="N758" s="490"/>
      <c r="O758" s="1055" t="e">
        <f>#REF!</f>
        <v>#REF!</v>
      </c>
      <c r="P758" s="305" t="s">
        <v>362</v>
      </c>
      <c r="Q758" s="490" t="e">
        <f>#REF!</f>
        <v>#REF!</v>
      </c>
      <c r="R758" s="490"/>
      <c r="S758" s="1055" t="e">
        <f>#REF!</f>
        <v>#REF!</v>
      </c>
      <c r="T758" s="305" t="s">
        <v>362</v>
      </c>
      <c r="U758" s="490" t="e">
        <f>#REF!</f>
        <v>#REF!</v>
      </c>
      <c r="X758" s="54">
        <f>(G758-D758)/D758</f>
        <v>0</v>
      </c>
      <c r="Y758" s="54"/>
      <c r="Z758" s="85"/>
      <c r="AI758" s="7"/>
      <c r="AJ758" s="7"/>
      <c r="AK758" s="7"/>
      <c r="AL758" s="7"/>
      <c r="AM758" s="7"/>
      <c r="AN758" s="7"/>
      <c r="AO758" s="7"/>
      <c r="AP758" s="7"/>
    </row>
    <row r="759" spans="1:44" s="588" customFormat="1" hidden="1">
      <c r="A759" s="588" t="s">
        <v>774</v>
      </c>
      <c r="C759" s="604">
        <f>C757</f>
        <v>156050797.84020001</v>
      </c>
      <c r="D759" s="987">
        <v>0</v>
      </c>
      <c r="E759" s="592" t="s">
        <v>362</v>
      </c>
      <c r="F759" s="616"/>
      <c r="G759" s="987">
        <v>0</v>
      </c>
      <c r="H759" s="592" t="s">
        <v>362</v>
      </c>
      <c r="I759" s="616" t="e">
        <f>#REF!+I864</f>
        <v>#REF!</v>
      </c>
      <c r="J759" s="616"/>
      <c r="K759" s="987" t="e">
        <f>#REF!</f>
        <v>#REF!</v>
      </c>
      <c r="L759" s="592" t="s">
        <v>31</v>
      </c>
      <c r="M759" s="490" t="e">
        <f>#REF!</f>
        <v>#REF!</v>
      </c>
      <c r="N759" s="616"/>
      <c r="O759" s="987" t="e">
        <f>#REF!</f>
        <v>#REF!</v>
      </c>
      <c r="P759" s="592" t="s">
        <v>31</v>
      </c>
      <c r="Q759" s="616" t="e">
        <f>#REF!+Q864</f>
        <v>#REF!</v>
      </c>
      <c r="R759" s="616"/>
      <c r="S759" s="987" t="e">
        <f>#REF!</f>
        <v>#REF!</v>
      </c>
      <c r="T759" s="592" t="s">
        <v>362</v>
      </c>
      <c r="U759" s="490" t="e">
        <f>#REF!</f>
        <v>#REF!</v>
      </c>
      <c r="V759" s="988" t="e">
        <f>#REF!</f>
        <v>#REF!</v>
      </c>
      <c r="W759" s="450" t="s">
        <v>752</v>
      </c>
      <c r="Z759" s="989"/>
      <c r="AA759" s="989"/>
      <c r="AF759" s="635"/>
      <c r="AG759" s="635"/>
      <c r="AH759" s="635"/>
      <c r="AI759" s="635"/>
      <c r="AJ759" s="635"/>
      <c r="AK759" s="635"/>
      <c r="AL759" s="635"/>
      <c r="AM759" s="635"/>
      <c r="AN759" s="635"/>
      <c r="AO759" s="635"/>
      <c r="AP759" s="635"/>
      <c r="AR759" s="988"/>
    </row>
    <row r="760" spans="1:44" s="588" customFormat="1" hidden="1">
      <c r="A760" s="588" t="s">
        <v>760</v>
      </c>
      <c r="C760" s="604"/>
      <c r="D760" s="396">
        <f>D757</f>
        <v>7.2030000000000003</v>
      </c>
      <c r="E760" s="592" t="s">
        <v>362</v>
      </c>
      <c r="F760" s="616"/>
      <c r="G760" s="987">
        <f>G757+G759</f>
        <v>7.2030000000000003</v>
      </c>
      <c r="H760" s="592" t="s">
        <v>362</v>
      </c>
      <c r="I760" s="616"/>
      <c r="J760" s="616"/>
      <c r="K760" s="987" t="e">
        <f>K757+K759</f>
        <v>#REF!</v>
      </c>
      <c r="L760" s="592" t="s">
        <v>362</v>
      </c>
      <c r="M760" s="616"/>
      <c r="N760" s="616"/>
      <c r="O760" s="987" t="e">
        <f>O757+O759</f>
        <v>#REF!</v>
      </c>
      <c r="P760" s="592" t="s">
        <v>362</v>
      </c>
      <c r="Q760" s="616"/>
      <c r="R760" s="616"/>
      <c r="S760" s="987" t="e">
        <f>S757+S759</f>
        <v>#REF!</v>
      </c>
      <c r="T760" s="592" t="s">
        <v>362</v>
      </c>
      <c r="U760" s="616"/>
      <c r="V760" s="988"/>
      <c r="W760" s="450"/>
      <c r="X760" s="54">
        <f>(G760-D760)/D760</f>
        <v>0</v>
      </c>
      <c r="Z760" s="989"/>
      <c r="AA760" s="989"/>
      <c r="AF760" s="635"/>
      <c r="AG760" s="635"/>
      <c r="AH760" s="635"/>
      <c r="AI760" s="635"/>
      <c r="AJ760" s="635"/>
      <c r="AK760" s="635"/>
      <c r="AL760" s="635"/>
      <c r="AM760" s="635"/>
      <c r="AN760" s="635"/>
      <c r="AO760" s="635"/>
      <c r="AP760" s="635"/>
      <c r="AR760" s="988"/>
    </row>
    <row r="761" spans="1:44">
      <c r="A761" s="244" t="s">
        <v>389</v>
      </c>
      <c r="B761" s="305"/>
      <c r="C761" s="61"/>
      <c r="D761" s="1023">
        <v>-0.01</v>
      </c>
      <c r="E761" s="305"/>
      <c r="F761" s="490"/>
      <c r="G761" s="1023">
        <v>-0.01</v>
      </c>
      <c r="H761" s="305"/>
      <c r="I761" s="490"/>
      <c r="J761" s="490"/>
      <c r="K761" s="1023">
        <v>-0.01</v>
      </c>
      <c r="L761" s="305"/>
      <c r="M761" s="490"/>
      <c r="N761" s="490"/>
      <c r="O761" s="1023">
        <v>-0.01</v>
      </c>
      <c r="P761" s="305"/>
      <c r="Q761" s="490"/>
      <c r="R761" s="490"/>
      <c r="S761" s="1023">
        <v>-0.01</v>
      </c>
      <c r="T761" s="305"/>
      <c r="U761" s="490"/>
      <c r="AI761" s="7"/>
      <c r="AJ761" s="7"/>
      <c r="AK761" s="7"/>
      <c r="AL761" s="7"/>
      <c r="AM761" s="7"/>
      <c r="AN761" s="7"/>
      <c r="AO761" s="7"/>
      <c r="AP761" s="7"/>
    </row>
    <row r="762" spans="1:44">
      <c r="A762" s="305" t="s">
        <v>378</v>
      </c>
      <c r="B762" s="305"/>
      <c r="C762" s="61">
        <f>C814+C866</f>
        <v>0</v>
      </c>
      <c r="D762" s="237">
        <f>D737</f>
        <v>0</v>
      </c>
      <c r="E762" s="1009"/>
      <c r="F762" s="490">
        <f>F814+F866</f>
        <v>0</v>
      </c>
      <c r="G762" s="237">
        <f>G737</f>
        <v>0</v>
      </c>
      <c r="H762" s="1009"/>
      <c r="I762" s="490">
        <f>I814+I866</f>
        <v>0</v>
      </c>
      <c r="J762" s="490"/>
      <c r="K762" s="237" t="e">
        <f>K737</f>
        <v>#REF!</v>
      </c>
      <c r="L762" s="1009"/>
      <c r="M762" s="490" t="e">
        <f>#REF!</f>
        <v>#REF!</v>
      </c>
      <c r="N762" s="490"/>
      <c r="O762" s="237" t="e">
        <f>O737</f>
        <v>#REF!</v>
      </c>
      <c r="P762" s="1009"/>
      <c r="Q762" s="490" t="e">
        <f>#REF!</f>
        <v>#REF!</v>
      </c>
      <c r="R762" s="490"/>
      <c r="S762" s="237" t="e">
        <f>S737</f>
        <v>#REF!</v>
      </c>
      <c r="T762" s="1009"/>
      <c r="U762" s="490" t="e">
        <f>#REF!</f>
        <v>#REF!</v>
      </c>
      <c r="AI762" s="7"/>
      <c r="AJ762" s="7"/>
      <c r="AK762" s="7"/>
      <c r="AL762" s="7"/>
      <c r="AM762" s="7"/>
      <c r="AN762" s="7"/>
      <c r="AO762" s="7"/>
      <c r="AP762" s="7"/>
    </row>
    <row r="763" spans="1:44">
      <c r="A763" s="305" t="s">
        <v>379</v>
      </c>
      <c r="B763" s="305"/>
      <c r="C763" s="61"/>
      <c r="D763" s="237"/>
      <c r="E763" s="1009"/>
      <c r="F763" s="490"/>
      <c r="G763" s="237"/>
      <c r="H763" s="1009"/>
      <c r="I763" s="490"/>
      <c r="J763" s="490"/>
      <c r="K763" s="237"/>
      <c r="L763" s="1009"/>
      <c r="M763" s="490"/>
      <c r="N763" s="490"/>
      <c r="O763" s="237"/>
      <c r="P763" s="1009"/>
      <c r="Q763" s="490"/>
      <c r="R763" s="490"/>
      <c r="S763" s="237"/>
      <c r="T763" s="1009"/>
      <c r="U763" s="490"/>
      <c r="AI763" s="7"/>
      <c r="AJ763" s="7"/>
      <c r="AK763" s="7"/>
      <c r="AL763" s="7"/>
      <c r="AM763" s="7"/>
      <c r="AN763" s="7"/>
      <c r="AO763" s="7"/>
      <c r="AP763" s="7"/>
    </row>
    <row r="764" spans="1:44">
      <c r="A764" s="305" t="s">
        <v>440</v>
      </c>
      <c r="B764" s="305"/>
      <c r="C764" s="61">
        <f>C816+C868</f>
        <v>1</v>
      </c>
      <c r="D764" s="237">
        <f>D739</f>
        <v>0</v>
      </c>
      <c r="E764" s="1009"/>
      <c r="F764" s="490">
        <f>F816+F868</f>
        <v>0</v>
      </c>
      <c r="G764" s="237">
        <f>G739</f>
        <v>0</v>
      </c>
      <c r="H764" s="1009"/>
      <c r="I764" s="490">
        <f>I816+I868</f>
        <v>0</v>
      </c>
      <c r="J764" s="490"/>
      <c r="K764" s="237" t="e">
        <f>K739</f>
        <v>#REF!</v>
      </c>
      <c r="L764" s="1009"/>
      <c r="M764" s="490" t="e">
        <f>#REF!</f>
        <v>#REF!</v>
      </c>
      <c r="N764" s="490"/>
      <c r="O764" s="237" t="e">
        <f>O739</f>
        <v>#REF!</v>
      </c>
      <c r="P764" s="1009"/>
      <c r="Q764" s="490" t="e">
        <f>#REF!</f>
        <v>#REF!</v>
      </c>
      <c r="R764" s="490"/>
      <c r="S764" s="237" t="e">
        <f>S739</f>
        <v>#REF!</v>
      </c>
      <c r="T764" s="1009"/>
      <c r="U764" s="490" t="e">
        <f>#REF!</f>
        <v>#REF!</v>
      </c>
      <c r="AI764" s="7"/>
      <c r="AJ764" s="7"/>
      <c r="AK764" s="7"/>
      <c r="AL764" s="7"/>
      <c r="AM764" s="7"/>
      <c r="AN764" s="7"/>
      <c r="AO764" s="7"/>
      <c r="AP764" s="7"/>
    </row>
    <row r="765" spans="1:44">
      <c r="A765" s="305" t="s">
        <v>441</v>
      </c>
      <c r="B765" s="305"/>
      <c r="C765" s="61">
        <f>C817+C869</f>
        <v>0</v>
      </c>
      <c r="D765" s="237">
        <f>D740</f>
        <v>379</v>
      </c>
      <c r="E765" s="1009"/>
      <c r="F765" s="490">
        <f>F817+F869</f>
        <v>0</v>
      </c>
      <c r="G765" s="237">
        <f>G740</f>
        <v>379</v>
      </c>
      <c r="H765" s="1009"/>
      <c r="I765" s="490">
        <f>I817+I869</f>
        <v>0</v>
      </c>
      <c r="J765" s="490"/>
      <c r="K765" s="237" t="e">
        <f>K740</f>
        <v>#REF!</v>
      </c>
      <c r="L765" s="1009"/>
      <c r="M765" s="490" t="e">
        <f>#REF!</f>
        <v>#REF!</v>
      </c>
      <c r="N765" s="490"/>
      <c r="O765" s="237" t="e">
        <f>O740</f>
        <v>#REF!</v>
      </c>
      <c r="P765" s="1009"/>
      <c r="Q765" s="490" t="e">
        <f>#REF!</f>
        <v>#REF!</v>
      </c>
      <c r="R765" s="490"/>
      <c r="S765" s="237" t="e">
        <f>S740</f>
        <v>#REF!</v>
      </c>
      <c r="T765" s="1009"/>
      <c r="U765" s="490" t="e">
        <f>#REF!</f>
        <v>#REF!</v>
      </c>
      <c r="AI765" s="7"/>
      <c r="AJ765" s="7"/>
      <c r="AK765" s="7"/>
      <c r="AL765" s="7"/>
      <c r="AM765" s="7"/>
      <c r="AN765" s="7"/>
      <c r="AO765" s="7"/>
      <c r="AP765" s="7"/>
    </row>
    <row r="766" spans="1:44">
      <c r="A766" s="305" t="s">
        <v>442</v>
      </c>
      <c r="B766" s="305"/>
      <c r="C766" s="61">
        <f>C818+C870</f>
        <v>0</v>
      </c>
      <c r="D766" s="237">
        <f>D741</f>
        <v>1539</v>
      </c>
      <c r="E766" s="1009"/>
      <c r="F766" s="490">
        <f>F818+F870</f>
        <v>0</v>
      </c>
      <c r="G766" s="237">
        <f>G741</f>
        <v>1539</v>
      </c>
      <c r="H766" s="1009"/>
      <c r="I766" s="490">
        <f>I818+I870</f>
        <v>0</v>
      </c>
      <c r="J766" s="490"/>
      <c r="K766" s="237" t="e">
        <f>K741</f>
        <v>#REF!</v>
      </c>
      <c r="L766" s="1009"/>
      <c r="M766" s="490" t="e">
        <f>#REF!</f>
        <v>#REF!</v>
      </c>
      <c r="N766" s="490"/>
      <c r="O766" s="237" t="e">
        <f>O741</f>
        <v>#REF!</v>
      </c>
      <c r="P766" s="1009"/>
      <c r="Q766" s="490" t="e">
        <f>#REF!</f>
        <v>#REF!</v>
      </c>
      <c r="R766" s="490"/>
      <c r="S766" s="237" t="e">
        <f>S741</f>
        <v>#REF!</v>
      </c>
      <c r="T766" s="1009"/>
      <c r="U766" s="490" t="e">
        <f>#REF!</f>
        <v>#REF!</v>
      </c>
      <c r="AI766" s="7"/>
      <c r="AJ766" s="7"/>
      <c r="AK766" s="7"/>
      <c r="AL766" s="7"/>
      <c r="AM766" s="7"/>
      <c r="AN766" s="7"/>
      <c r="AO766" s="7"/>
      <c r="AP766" s="7"/>
    </row>
    <row r="767" spans="1:44">
      <c r="A767" s="305" t="s">
        <v>378</v>
      </c>
      <c r="B767" s="305"/>
      <c r="C767" s="61">
        <f>C819+C871</f>
        <v>0</v>
      </c>
      <c r="D767" s="237">
        <f>D746</f>
        <v>26.63</v>
      </c>
      <c r="E767" s="1009"/>
      <c r="F767" s="490">
        <f>F819+F871</f>
        <v>0</v>
      </c>
      <c r="G767" s="237">
        <f>G746</f>
        <v>26.61</v>
      </c>
      <c r="H767" s="1009"/>
      <c r="I767" s="490">
        <f>I819+I871</f>
        <v>0</v>
      </c>
      <c r="J767" s="490"/>
      <c r="K767" s="237" t="e">
        <f>K746</f>
        <v>#REF!</v>
      </c>
      <c r="L767" s="1009"/>
      <c r="M767" s="490" t="e">
        <f>#REF!</f>
        <v>#REF!</v>
      </c>
      <c r="N767" s="490"/>
      <c r="O767" s="237" t="e">
        <f>O746</f>
        <v>#REF!</v>
      </c>
      <c r="P767" s="1009"/>
      <c r="Q767" s="490" t="e">
        <f>#REF!</f>
        <v>#REF!</v>
      </c>
      <c r="R767" s="490"/>
      <c r="S767" s="237" t="e">
        <f>S746</f>
        <v>#REF!</v>
      </c>
      <c r="T767" s="1009"/>
      <c r="U767" s="490" t="e">
        <f>#REF!</f>
        <v>#REF!</v>
      </c>
      <c r="AI767" s="7"/>
      <c r="AJ767" s="7"/>
      <c r="AK767" s="7"/>
      <c r="AL767" s="7"/>
      <c r="AM767" s="7"/>
      <c r="AN767" s="7"/>
      <c r="AO767" s="7"/>
      <c r="AP767" s="7"/>
    </row>
    <row r="768" spans="1:44">
      <c r="A768" s="305" t="s">
        <v>379</v>
      </c>
      <c r="B768" s="305"/>
      <c r="C768" s="61"/>
      <c r="D768" s="237"/>
      <c r="E768" s="1009"/>
      <c r="F768" s="490"/>
      <c r="G768" s="237"/>
      <c r="H768" s="1009"/>
      <c r="I768" s="490"/>
      <c r="J768" s="490"/>
      <c r="K768" s="237"/>
      <c r="L768" s="1009"/>
      <c r="M768" s="490"/>
      <c r="N768" s="490"/>
      <c r="O768" s="237"/>
      <c r="P768" s="1009"/>
      <c r="Q768" s="490"/>
      <c r="R768" s="490"/>
      <c r="S768" s="237"/>
      <c r="T768" s="1009"/>
      <c r="U768" s="490"/>
      <c r="AI768" s="7"/>
      <c r="AJ768" s="7"/>
      <c r="AK768" s="7"/>
      <c r="AL768" s="7"/>
      <c r="AM768" s="7"/>
      <c r="AN768" s="7"/>
      <c r="AO768" s="7"/>
      <c r="AP768" s="7"/>
    </row>
    <row r="769" spans="1:44">
      <c r="A769" s="305" t="s">
        <v>440</v>
      </c>
      <c r="B769" s="305"/>
      <c r="C769" s="61">
        <f>C821+C873</f>
        <v>39</v>
      </c>
      <c r="D769" s="237">
        <f>D748</f>
        <v>26.63</v>
      </c>
      <c r="E769" s="1009"/>
      <c r="F769" s="490">
        <f>F821+F873</f>
        <v>-10</v>
      </c>
      <c r="G769" s="237">
        <f>G748</f>
        <v>26.68</v>
      </c>
      <c r="H769" s="1009"/>
      <c r="I769" s="490">
        <f>I821+I873</f>
        <v>-10</v>
      </c>
      <c r="J769" s="490"/>
      <c r="K769" s="237" t="e">
        <f>K748</f>
        <v>#REF!</v>
      </c>
      <c r="L769" s="1009"/>
      <c r="M769" s="490" t="e">
        <f>#REF!</f>
        <v>#REF!</v>
      </c>
      <c r="N769" s="490"/>
      <c r="O769" s="237" t="e">
        <f>O748</f>
        <v>#REF!</v>
      </c>
      <c r="P769" s="1009"/>
      <c r="Q769" s="490" t="e">
        <f>#REF!</f>
        <v>#REF!</v>
      </c>
      <c r="R769" s="490"/>
      <c r="S769" s="237" t="e">
        <f>S748</f>
        <v>#REF!</v>
      </c>
      <c r="T769" s="1009"/>
      <c r="U769" s="490" t="e">
        <f>#REF!</f>
        <v>#REF!</v>
      </c>
      <c r="AI769" s="7"/>
      <c r="AJ769" s="7"/>
      <c r="AK769" s="7"/>
      <c r="AL769" s="7"/>
      <c r="AM769" s="7"/>
      <c r="AN769" s="7"/>
      <c r="AO769" s="7"/>
      <c r="AP769" s="7"/>
    </row>
    <row r="770" spans="1:44">
      <c r="A770" s="305" t="s">
        <v>441</v>
      </c>
      <c r="B770" s="305"/>
      <c r="C770" s="61">
        <f>C822+C874</f>
        <v>0</v>
      </c>
      <c r="D770" s="237">
        <f>D749</f>
        <v>18.53</v>
      </c>
      <c r="E770" s="1009"/>
      <c r="F770" s="490">
        <f>F822+F874</f>
        <v>0</v>
      </c>
      <c r="G770" s="237">
        <f>G749</f>
        <v>18.540000000000003</v>
      </c>
      <c r="H770" s="1009"/>
      <c r="I770" s="490">
        <f>I822+I874</f>
        <v>0</v>
      </c>
      <c r="J770" s="490"/>
      <c r="K770" s="237" t="e">
        <f>K749</f>
        <v>#REF!</v>
      </c>
      <c r="L770" s="1009"/>
      <c r="M770" s="490" t="e">
        <f>#REF!</f>
        <v>#REF!</v>
      </c>
      <c r="N770" s="490"/>
      <c r="O770" s="237" t="e">
        <f>O749</f>
        <v>#REF!</v>
      </c>
      <c r="P770" s="1009"/>
      <c r="Q770" s="490" t="e">
        <f>#REF!</f>
        <v>#REF!</v>
      </c>
      <c r="R770" s="490"/>
      <c r="S770" s="237" t="e">
        <f>S749</f>
        <v>#REF!</v>
      </c>
      <c r="T770" s="1009"/>
      <c r="U770" s="490" t="e">
        <f>#REF!</f>
        <v>#REF!</v>
      </c>
      <c r="AI770" s="7"/>
      <c r="AJ770" s="7"/>
      <c r="AK770" s="7"/>
      <c r="AL770" s="7"/>
      <c r="AM770" s="7"/>
      <c r="AN770" s="7"/>
      <c r="AO770" s="7"/>
      <c r="AP770" s="7"/>
    </row>
    <row r="771" spans="1:44">
      <c r="A771" s="305" t="s">
        <v>442</v>
      </c>
      <c r="B771" s="305"/>
      <c r="C771" s="61">
        <f>C823+C875</f>
        <v>0</v>
      </c>
      <c r="D771" s="237">
        <f>D750</f>
        <v>14.49</v>
      </c>
      <c r="E771" s="1009"/>
      <c r="F771" s="490">
        <f>F823+F875</f>
        <v>0</v>
      </c>
      <c r="G771" s="237">
        <f>G750</f>
        <v>14.49</v>
      </c>
      <c r="H771" s="1009"/>
      <c r="I771" s="490">
        <f>I823+I875</f>
        <v>0</v>
      </c>
      <c r="J771" s="490"/>
      <c r="K771" s="237" t="e">
        <f>K750</f>
        <v>#REF!</v>
      </c>
      <c r="L771" s="1009"/>
      <c r="M771" s="490" t="e">
        <f>#REF!</f>
        <v>#REF!</v>
      </c>
      <c r="N771" s="490"/>
      <c r="O771" s="237" t="e">
        <f>O750</f>
        <v>#REF!</v>
      </c>
      <c r="P771" s="1009"/>
      <c r="Q771" s="490" t="e">
        <f>#REF!</f>
        <v>#REF!</v>
      </c>
      <c r="R771" s="490"/>
      <c r="S771" s="237" t="e">
        <f>S750</f>
        <v>#REF!</v>
      </c>
      <c r="T771" s="1009"/>
      <c r="U771" s="490" t="e">
        <f>#REF!</f>
        <v>#REF!</v>
      </c>
      <c r="AI771" s="7"/>
      <c r="AJ771" s="7"/>
      <c r="AK771" s="7"/>
      <c r="AL771" s="7"/>
      <c r="AM771" s="7"/>
      <c r="AN771" s="7"/>
      <c r="AO771" s="7"/>
      <c r="AP771" s="7"/>
    </row>
    <row r="772" spans="1:44">
      <c r="A772" s="305" t="s">
        <v>453</v>
      </c>
      <c r="B772" s="305"/>
      <c r="C772" s="61">
        <f>C824+C876</f>
        <v>0</v>
      </c>
      <c r="D772" s="237">
        <f>D751</f>
        <v>79.89</v>
      </c>
      <c r="E772" s="1009"/>
      <c r="F772" s="490">
        <f>F824+F876</f>
        <v>0</v>
      </c>
      <c r="G772" s="237">
        <f>G751</f>
        <v>79.83</v>
      </c>
      <c r="H772" s="1009"/>
      <c r="I772" s="490">
        <f>I824+I876</f>
        <v>0</v>
      </c>
      <c r="J772" s="490"/>
      <c r="K772" s="237" t="e">
        <f>K751</f>
        <v>#REF!</v>
      </c>
      <c r="L772" s="1009"/>
      <c r="M772" s="490" t="e">
        <f>#REF!</f>
        <v>#REF!</v>
      </c>
      <c r="N772" s="490"/>
      <c r="O772" s="237" t="e">
        <f>O751</f>
        <v>#REF!</v>
      </c>
      <c r="P772" s="1009"/>
      <c r="Q772" s="490" t="e">
        <f>#REF!</f>
        <v>#REF!</v>
      </c>
      <c r="R772" s="490"/>
      <c r="S772" s="237" t="e">
        <f>S751</f>
        <v>#REF!</v>
      </c>
      <c r="T772" s="1009"/>
      <c r="U772" s="490" t="e">
        <f>#REF!</f>
        <v>#REF!</v>
      </c>
      <c r="AI772" s="7"/>
      <c r="AJ772" s="7"/>
      <c r="AK772" s="7"/>
      <c r="AL772" s="7"/>
      <c r="AM772" s="7"/>
      <c r="AN772" s="7"/>
      <c r="AO772" s="7"/>
      <c r="AP772" s="7"/>
    </row>
    <row r="773" spans="1:44">
      <c r="A773" s="305" t="s">
        <v>454</v>
      </c>
      <c r="B773" s="305"/>
      <c r="C773" s="61">
        <f>C825+C877</f>
        <v>0</v>
      </c>
      <c r="D773" s="237">
        <f>D752</f>
        <v>159.78</v>
      </c>
      <c r="E773" s="1009"/>
      <c r="F773" s="490">
        <f>F825+F877</f>
        <v>0</v>
      </c>
      <c r="G773" s="237">
        <f>G752</f>
        <v>160.07999999999998</v>
      </c>
      <c r="H773" s="1009"/>
      <c r="I773" s="490">
        <f>I825+I877</f>
        <v>0</v>
      </c>
      <c r="J773" s="490"/>
      <c r="K773" s="237" t="e">
        <f>K752</f>
        <v>#REF!</v>
      </c>
      <c r="L773" s="1009"/>
      <c r="M773" s="490" t="e">
        <f>#REF!</f>
        <v>#REF!</v>
      </c>
      <c r="N773" s="490"/>
      <c r="O773" s="237" t="e">
        <f>O752</f>
        <v>#REF!</v>
      </c>
      <c r="P773" s="1009"/>
      <c r="Q773" s="490" t="e">
        <f>#REF!</f>
        <v>#REF!</v>
      </c>
      <c r="R773" s="490"/>
      <c r="S773" s="237" t="e">
        <f>S752</f>
        <v>#REF!</v>
      </c>
      <c r="T773" s="1009"/>
      <c r="U773" s="490" t="e">
        <f>#REF!</f>
        <v>#REF!</v>
      </c>
      <c r="AI773" s="7"/>
      <c r="AJ773" s="7"/>
      <c r="AK773" s="7"/>
      <c r="AL773" s="7"/>
      <c r="AM773" s="7"/>
      <c r="AN773" s="7"/>
      <c r="AO773" s="7"/>
      <c r="AP773" s="7"/>
    </row>
    <row r="774" spans="1:44">
      <c r="A774" s="305" t="s">
        <v>450</v>
      </c>
      <c r="B774" s="305"/>
      <c r="C774" s="61"/>
      <c r="D774" s="237"/>
      <c r="E774" s="1009"/>
      <c r="F774" s="490"/>
      <c r="G774" s="237"/>
      <c r="H774" s="1009"/>
      <c r="I774" s="490"/>
      <c r="J774" s="490"/>
      <c r="K774" s="237"/>
      <c r="L774" s="1009"/>
      <c r="M774" s="490"/>
      <c r="N774" s="490"/>
      <c r="O774" s="237"/>
      <c r="P774" s="1009"/>
      <c r="Q774" s="490"/>
      <c r="R774" s="490"/>
      <c r="S774" s="237"/>
      <c r="T774" s="1009"/>
      <c r="U774" s="490"/>
      <c r="AI774" s="7"/>
      <c r="AJ774" s="7"/>
      <c r="AK774" s="7"/>
      <c r="AL774" s="7"/>
      <c r="AM774" s="7"/>
      <c r="AN774" s="7"/>
      <c r="AO774" s="7"/>
      <c r="AP774" s="7"/>
    </row>
    <row r="775" spans="1:44">
      <c r="A775" s="305" t="s">
        <v>445</v>
      </c>
      <c r="B775" s="305"/>
      <c r="C775" s="61">
        <f>C827+C879</f>
        <v>0</v>
      </c>
      <c r="D775" s="237">
        <f>D754</f>
        <v>-26.63</v>
      </c>
      <c r="E775" s="1009"/>
      <c r="F775" s="490">
        <f>F827+F879</f>
        <v>0</v>
      </c>
      <c r="G775" s="237">
        <f>G754</f>
        <v>-26.61</v>
      </c>
      <c r="H775" s="1009"/>
      <c r="I775" s="490">
        <f>I827+I879</f>
        <v>0</v>
      </c>
      <c r="J775" s="490"/>
      <c r="K775" s="237" t="e">
        <f>K754</f>
        <v>#REF!</v>
      </c>
      <c r="L775" s="1009"/>
      <c r="M775" s="490" t="e">
        <f>#REF!</f>
        <v>#REF!</v>
      </c>
      <c r="N775" s="490"/>
      <c r="O775" s="237" t="e">
        <f>O754</f>
        <v>#REF!</v>
      </c>
      <c r="P775" s="1009"/>
      <c r="Q775" s="490" t="e">
        <f>#REF!</f>
        <v>#REF!</v>
      </c>
      <c r="R775" s="490"/>
      <c r="S775" s="237" t="e">
        <f>S754</f>
        <v>#REF!</v>
      </c>
      <c r="T775" s="1009"/>
      <c r="U775" s="490" t="e">
        <f>#REF!</f>
        <v>#REF!</v>
      </c>
      <c r="AI775" s="7"/>
      <c r="AJ775" s="7"/>
      <c r="AK775" s="7"/>
      <c r="AL775" s="7"/>
      <c r="AM775" s="7"/>
      <c r="AN775" s="7"/>
      <c r="AO775" s="7"/>
      <c r="AP775" s="7"/>
    </row>
    <row r="776" spans="1:44">
      <c r="A776" s="305" t="s">
        <v>451</v>
      </c>
      <c r="B776" s="305"/>
      <c r="C776" s="61">
        <f>C828+C880</f>
        <v>0</v>
      </c>
      <c r="D776" s="237">
        <f>D755</f>
        <v>-26.63</v>
      </c>
      <c r="E776" s="1009"/>
      <c r="F776" s="490">
        <f>F828+F880</f>
        <v>0</v>
      </c>
      <c r="G776" s="237">
        <f>G755</f>
        <v>-26.68</v>
      </c>
      <c r="H776" s="1009"/>
      <c r="I776" s="490">
        <f>I828+I880</f>
        <v>0</v>
      </c>
      <c r="J776" s="490"/>
      <c r="K776" s="237" t="e">
        <f>K755</f>
        <v>#REF!</v>
      </c>
      <c r="L776" s="1009"/>
      <c r="M776" s="490" t="e">
        <f>#REF!</f>
        <v>#REF!</v>
      </c>
      <c r="N776" s="490"/>
      <c r="O776" s="237" t="e">
        <f>O755</f>
        <v>#REF!</v>
      </c>
      <c r="P776" s="1009"/>
      <c r="Q776" s="490" t="e">
        <f>#REF!</f>
        <v>#REF!</v>
      </c>
      <c r="R776" s="490"/>
      <c r="S776" s="237" t="e">
        <f>S755</f>
        <v>#REF!</v>
      </c>
      <c r="T776" s="1009"/>
      <c r="U776" s="490" t="e">
        <f>#REF!</f>
        <v>#REF!</v>
      </c>
      <c r="AI776" s="7"/>
      <c r="AJ776" s="7"/>
      <c r="AK776" s="7"/>
      <c r="AL776" s="7"/>
      <c r="AM776" s="7"/>
      <c r="AN776" s="7"/>
      <c r="AO776" s="7"/>
      <c r="AP776" s="7"/>
    </row>
    <row r="777" spans="1:44">
      <c r="A777" s="305" t="s">
        <v>414</v>
      </c>
      <c r="B777" s="305"/>
      <c r="C777" s="61"/>
      <c r="D777" s="237"/>
      <c r="E777" s="490"/>
      <c r="F777" s="490"/>
      <c r="G777" s="237"/>
      <c r="H777" s="490"/>
      <c r="I777" s="490"/>
      <c r="J777" s="490"/>
      <c r="K777" s="237"/>
      <c r="L777" s="490"/>
      <c r="M777" s="490"/>
      <c r="N777" s="490"/>
      <c r="O777" s="237"/>
      <c r="P777" s="490"/>
      <c r="Q777" s="490"/>
      <c r="R777" s="490"/>
      <c r="S777" s="237"/>
      <c r="T777" s="490"/>
      <c r="U777" s="490"/>
      <c r="AI777" s="7"/>
      <c r="AJ777" s="7"/>
      <c r="AK777" s="7"/>
      <c r="AL777" s="7"/>
      <c r="AM777" s="7"/>
      <c r="AN777" s="7"/>
      <c r="AO777" s="7"/>
      <c r="AP777" s="7"/>
    </row>
    <row r="778" spans="1:44">
      <c r="A778" s="305" t="s">
        <v>452</v>
      </c>
      <c r="B778" s="305"/>
      <c r="C778" s="61">
        <f>C830+C882</f>
        <v>9458</v>
      </c>
      <c r="D778" s="308">
        <f>D757</f>
        <v>7.2030000000000003</v>
      </c>
      <c r="E778" s="490" t="s">
        <v>362</v>
      </c>
      <c r="F778" s="490">
        <f>F830+F882</f>
        <v>-7</v>
      </c>
      <c r="G778" s="308">
        <f>G757</f>
        <v>7.2030000000000003</v>
      </c>
      <c r="H778" s="490" t="s">
        <v>362</v>
      </c>
      <c r="I778" s="490">
        <f>I830+I882</f>
        <v>-7</v>
      </c>
      <c r="J778" s="490"/>
      <c r="K778" s="308" t="e">
        <f>K757</f>
        <v>#REF!</v>
      </c>
      <c r="L778" s="490" t="s">
        <v>31</v>
      </c>
      <c r="M778" s="490" t="e">
        <f>#REF!</f>
        <v>#REF!</v>
      </c>
      <c r="N778" s="490"/>
      <c r="O778" s="308" t="e">
        <f>O757</f>
        <v>#REF!</v>
      </c>
      <c r="P778" s="490" t="s">
        <v>362</v>
      </c>
      <c r="Q778" s="490" t="e">
        <f>#REF!</f>
        <v>#REF!</v>
      </c>
      <c r="R778" s="490"/>
      <c r="S778" s="308" t="e">
        <f>S757</f>
        <v>#REF!</v>
      </c>
      <c r="T778" s="490" t="s">
        <v>362</v>
      </c>
      <c r="U778" s="490" t="e">
        <f>#REF!</f>
        <v>#REF!</v>
      </c>
      <c r="AI778" s="7"/>
      <c r="AJ778" s="7"/>
      <c r="AK778" s="7"/>
      <c r="AL778" s="7"/>
      <c r="AM778" s="7"/>
      <c r="AN778" s="7"/>
      <c r="AO778" s="7"/>
      <c r="AP778" s="7"/>
    </row>
    <row r="779" spans="1:44">
      <c r="A779" s="305" t="s">
        <v>388</v>
      </c>
      <c r="B779" s="305"/>
      <c r="C779" s="61">
        <f>C831+C883</f>
        <v>0</v>
      </c>
      <c r="D779" s="1021">
        <f>D758</f>
        <v>58</v>
      </c>
      <c r="E779" s="305" t="s">
        <v>362</v>
      </c>
      <c r="F779" s="490">
        <f>F831+F883</f>
        <v>0</v>
      </c>
      <c r="G779" s="1021">
        <f>G758</f>
        <v>58</v>
      </c>
      <c r="H779" s="305" t="s">
        <v>362</v>
      </c>
      <c r="I779" s="490">
        <f>I831+I883</f>
        <v>0</v>
      </c>
      <c r="J779" s="490"/>
      <c r="K779" s="1021" t="e">
        <f>K758</f>
        <v>#REF!</v>
      </c>
      <c r="L779" s="305" t="s">
        <v>31</v>
      </c>
      <c r="M779" s="490" t="e">
        <f>#REF!</f>
        <v>#REF!</v>
      </c>
      <c r="N779" s="490"/>
      <c r="O779" s="1021" t="e">
        <f>O758</f>
        <v>#REF!</v>
      </c>
      <c r="P779" s="305" t="s">
        <v>362</v>
      </c>
      <c r="Q779" s="490" t="e">
        <f>#REF!</f>
        <v>#REF!</v>
      </c>
      <c r="R779" s="490"/>
      <c r="S779" s="1021" t="e">
        <f>S758</f>
        <v>#REF!</v>
      </c>
      <c r="T779" s="305" t="s">
        <v>362</v>
      </c>
      <c r="U779" s="490" t="e">
        <f>#REF!</f>
        <v>#REF!</v>
      </c>
      <c r="AI779" s="7"/>
      <c r="AJ779" s="7"/>
      <c r="AK779" s="7"/>
      <c r="AL779" s="7"/>
      <c r="AM779" s="7"/>
      <c r="AN779" s="7"/>
      <c r="AO779" s="7"/>
      <c r="AP779" s="7"/>
    </row>
    <row r="780" spans="1:44">
      <c r="A780" s="305" t="s">
        <v>431</v>
      </c>
      <c r="B780" s="305"/>
      <c r="C780" s="61">
        <f>C832+C884</f>
        <v>12</v>
      </c>
      <c r="D780" s="237">
        <v>60</v>
      </c>
      <c r="E780" s="305"/>
      <c r="F780" s="490">
        <f>F832+F884</f>
        <v>720</v>
      </c>
      <c r="G780" s="237">
        <f>'Blocking - detail'!I623</f>
        <v>60</v>
      </c>
      <c r="H780" s="305"/>
      <c r="I780" s="490">
        <f>I832+I884</f>
        <v>720</v>
      </c>
      <c r="J780" s="490"/>
      <c r="K780" s="237" t="e">
        <f>#REF!</f>
        <v>#REF!</v>
      </c>
      <c r="L780" s="305"/>
      <c r="M780" s="490" t="e">
        <f>#REF!</f>
        <v>#REF!</v>
      </c>
      <c r="N780" s="490"/>
      <c r="O780" s="237" t="e">
        <f>#REF!</f>
        <v>#REF!</v>
      </c>
      <c r="P780" s="305"/>
      <c r="Q780" s="490" t="e">
        <f>#REF!</f>
        <v>#REF!</v>
      </c>
      <c r="R780" s="490"/>
      <c r="S780" s="237" t="e">
        <f>#REF!</f>
        <v>#REF!</v>
      </c>
      <c r="T780" s="305"/>
      <c r="U780" s="490" t="e">
        <f>#REF!</f>
        <v>#REF!</v>
      </c>
      <c r="AI780" s="7"/>
      <c r="AJ780" s="7"/>
      <c r="AK780" s="7"/>
      <c r="AL780" s="7"/>
      <c r="AM780" s="7"/>
      <c r="AN780" s="7"/>
      <c r="AO780" s="7"/>
      <c r="AP780" s="7"/>
    </row>
    <row r="781" spans="1:44">
      <c r="A781" s="305" t="s">
        <v>432</v>
      </c>
      <c r="B781" s="305"/>
      <c r="C781" s="61">
        <f>C833+C885</f>
        <v>468</v>
      </c>
      <c r="D781" s="1055">
        <v>-30</v>
      </c>
      <c r="E781" s="490" t="s">
        <v>362</v>
      </c>
      <c r="F781" s="490">
        <f>F833+F885</f>
        <v>-140</v>
      </c>
      <c r="G781" s="1056">
        <f>D781</f>
        <v>-30</v>
      </c>
      <c r="H781" s="490" t="s">
        <v>362</v>
      </c>
      <c r="I781" s="490">
        <f>I833+I885</f>
        <v>-140</v>
      </c>
      <c r="J781" s="490"/>
      <c r="K781" s="1056" t="e">
        <f>#REF!</f>
        <v>#REF!</v>
      </c>
      <c r="L781" s="490" t="s">
        <v>362</v>
      </c>
      <c r="M781" s="490" t="e">
        <f>#REF!</f>
        <v>#REF!</v>
      </c>
      <c r="N781" s="490"/>
      <c r="O781" s="1056">
        <f>'Blocking - detail'!Q624</f>
        <v>0</v>
      </c>
      <c r="P781" s="490" t="s">
        <v>31</v>
      </c>
      <c r="Q781" s="490" t="e">
        <f>#REF!</f>
        <v>#REF!</v>
      </c>
      <c r="R781" s="490"/>
      <c r="S781" s="1056">
        <f>'Blocking - detail'!U624</f>
        <v>0</v>
      </c>
      <c r="T781" s="490" t="s">
        <v>31</v>
      </c>
      <c r="U781" s="490" t="e">
        <f>#REF!</f>
        <v>#REF!</v>
      </c>
      <c r="AI781" s="7"/>
      <c r="AJ781" s="7"/>
      <c r="AK781" s="7"/>
      <c r="AL781" s="7"/>
      <c r="AM781" s="7"/>
      <c r="AN781" s="7"/>
      <c r="AO781" s="7"/>
      <c r="AP781" s="7"/>
    </row>
    <row r="782" spans="1:44" s="588" customFormat="1" hidden="1">
      <c r="A782" s="588" t="s">
        <v>774</v>
      </c>
      <c r="C782" s="604">
        <f>C778</f>
        <v>9458</v>
      </c>
      <c r="D782" s="990">
        <v>0</v>
      </c>
      <c r="E782" s="635"/>
      <c r="F782" s="616"/>
      <c r="G782" s="987">
        <f>G759</f>
        <v>0</v>
      </c>
      <c r="H782" s="616" t="s">
        <v>362</v>
      </c>
      <c r="I782" s="616">
        <f>I886</f>
        <v>0</v>
      </c>
      <c r="J782" s="616"/>
      <c r="K782" s="987" t="e">
        <f>K759</f>
        <v>#REF!</v>
      </c>
      <c r="L782" s="616" t="s">
        <v>31</v>
      </c>
      <c r="M782" s="490" t="e">
        <f>#REF!</f>
        <v>#REF!</v>
      </c>
      <c r="N782" s="616"/>
      <c r="O782" s="987" t="e">
        <f>O759</f>
        <v>#REF!</v>
      </c>
      <c r="P782" s="616" t="s">
        <v>31</v>
      </c>
      <c r="Q782" s="490" t="e">
        <f>#REF!</f>
        <v>#REF!</v>
      </c>
      <c r="R782" s="616"/>
      <c r="S782" s="987" t="e">
        <f>S759</f>
        <v>#REF!</v>
      </c>
      <c r="T782" s="616" t="s">
        <v>362</v>
      </c>
      <c r="U782" s="490" t="e">
        <f>#REF!</f>
        <v>#REF!</v>
      </c>
      <c r="W782" s="450"/>
      <c r="X782" s="588" t="s">
        <v>31</v>
      </c>
      <c r="Z782" s="989"/>
      <c r="AA782" s="989"/>
      <c r="AF782" s="635"/>
      <c r="AG782" s="635"/>
      <c r="AH782" s="635"/>
      <c r="AI782" s="635"/>
      <c r="AJ782" s="635"/>
      <c r="AK782" s="635"/>
      <c r="AL782" s="635"/>
      <c r="AM782" s="635"/>
      <c r="AN782" s="635"/>
      <c r="AO782" s="635"/>
      <c r="AP782" s="635"/>
      <c r="AR782" s="988"/>
    </row>
    <row r="783" spans="1:44">
      <c r="A783" s="305" t="s">
        <v>369</v>
      </c>
      <c r="B783" s="305"/>
      <c r="C783" s="61">
        <f>C834+C887</f>
        <v>156050797.84020001</v>
      </c>
      <c r="D783" s="1009"/>
      <c r="E783" s="305"/>
      <c r="F783" s="490">
        <f>F834+F887</f>
        <v>13991849</v>
      </c>
      <c r="G783" s="490"/>
      <c r="H783" s="305"/>
      <c r="I783" s="616">
        <f>I834+I887</f>
        <v>13995086</v>
      </c>
      <c r="J783" s="616"/>
      <c r="K783" s="490"/>
      <c r="L783" s="305"/>
      <c r="M783" s="616" t="e">
        <f>SUM(M737:M782)</f>
        <v>#REF!</v>
      </c>
      <c r="N783" s="616"/>
      <c r="O783" s="490"/>
      <c r="P783" s="305"/>
      <c r="Q783" s="616" t="e">
        <f>SUM(Q737:Q782)</f>
        <v>#REF!</v>
      </c>
      <c r="R783" s="616"/>
      <c r="S783" s="490"/>
      <c r="T783" s="305"/>
      <c r="U783" s="616" t="e">
        <f>SUM(U737:U782)</f>
        <v>#REF!</v>
      </c>
      <c r="X783" s="1003"/>
      <c r="Y783" s="1003"/>
      <c r="AI783" s="7"/>
      <c r="AJ783" s="7"/>
      <c r="AK783" s="7"/>
      <c r="AL783" s="7"/>
      <c r="AM783" s="7"/>
      <c r="AN783" s="7"/>
      <c r="AO783" s="7"/>
      <c r="AP783" s="7"/>
    </row>
    <row r="784" spans="1:44" ht="14.25" customHeight="1">
      <c r="A784" s="305" t="s">
        <v>351</v>
      </c>
      <c r="B784" s="305"/>
      <c r="C784" s="1011">
        <f ca="1">C835+C888</f>
        <v>8745000</v>
      </c>
      <c r="D784" s="305"/>
      <c r="E784" s="305"/>
      <c r="F784" s="993">
        <f>F835+F888</f>
        <v>1173000</v>
      </c>
      <c r="G784" s="305"/>
      <c r="H784" s="305"/>
      <c r="I784" s="713">
        <f>I835+I888</f>
        <v>1173000</v>
      </c>
      <c r="J784" s="615"/>
      <c r="K784" s="305"/>
      <c r="L784" s="305"/>
      <c r="M784" s="713" t="e">
        <f>#REF!</f>
        <v>#REF!</v>
      </c>
      <c r="N784" s="723"/>
      <c r="O784" s="305"/>
      <c r="P784" s="305"/>
      <c r="Q784" s="713" t="e">
        <f>#REF!</f>
        <v>#REF!</v>
      </c>
      <c r="R784" s="723"/>
      <c r="S784" s="305"/>
      <c r="T784" s="305"/>
      <c r="U784" s="713" t="e">
        <f>#REF!</f>
        <v>#REF!</v>
      </c>
      <c r="AI784" s="7"/>
      <c r="AJ784" s="7"/>
      <c r="AK784" s="7"/>
      <c r="AL784" s="7"/>
      <c r="AM784" s="7"/>
      <c r="AN784" s="7"/>
      <c r="AO784" s="7"/>
      <c r="AP784" s="7"/>
    </row>
    <row r="785" spans="1:42" ht="17.25" customHeight="1" thickBot="1">
      <c r="A785" s="305" t="s">
        <v>370</v>
      </c>
      <c r="B785" s="305"/>
      <c r="C785" s="1012">
        <f ca="1">SUM(C783:C784)</f>
        <v>164795797.84020001</v>
      </c>
      <c r="D785" s="1036"/>
      <c r="E785" s="1030"/>
      <c r="F785" s="995">
        <f>F783+F784</f>
        <v>15164849</v>
      </c>
      <c r="G785" s="1036"/>
      <c r="H785" s="1030"/>
      <c r="I785" s="995">
        <f>I836+I889</f>
        <v>15168086</v>
      </c>
      <c r="J785" s="995"/>
      <c r="K785" s="1036"/>
      <c r="L785" s="1030"/>
      <c r="M785" s="995" t="e">
        <f>SUM(M783:M784)</f>
        <v>#REF!</v>
      </c>
      <c r="N785" s="995"/>
      <c r="O785" s="1036"/>
      <c r="P785" s="1030"/>
      <c r="Q785" s="995" t="e">
        <f>SUM(Q783:Q784)</f>
        <v>#REF!</v>
      </c>
      <c r="R785" s="995"/>
      <c r="S785" s="1036"/>
      <c r="T785" s="1030"/>
      <c r="U785" s="995" t="e">
        <f>SUM(U783:U784)</f>
        <v>#REF!</v>
      </c>
      <c r="V785" s="442" t="s">
        <v>352</v>
      </c>
      <c r="W785" s="997">
        <f ca="1">'Rate Spread targets'!Q27*1000</f>
        <v>15423248.902369449</v>
      </c>
      <c r="X785" s="998">
        <f>(I785-F785)/F785</f>
        <v>2.134541530878415E-4</v>
      </c>
      <c r="Y785" s="453"/>
      <c r="Z785" s="870" t="s">
        <v>31</v>
      </c>
      <c r="AA785" s="870"/>
      <c r="AI785" s="7"/>
      <c r="AJ785" s="7"/>
      <c r="AK785" s="7"/>
      <c r="AL785" s="7"/>
      <c r="AM785" s="7"/>
      <c r="AN785" s="7"/>
      <c r="AO785" s="7"/>
      <c r="AP785" s="7"/>
    </row>
    <row r="786" spans="1:42" ht="16.5" thickTop="1">
      <c r="A786" s="305"/>
      <c r="B786" s="305"/>
      <c r="C786" s="999"/>
      <c r="D786" s="1037" t="s">
        <v>31</v>
      </c>
      <c r="E786" s="1033"/>
      <c r="F786" s="723"/>
      <c r="G786" s="1037" t="s">
        <v>31</v>
      </c>
      <c r="H786" s="1033"/>
      <c r="I786" s="723" t="s">
        <v>31</v>
      </c>
      <c r="J786" s="723"/>
      <c r="K786" s="1037" t="s">
        <v>31</v>
      </c>
      <c r="L786" s="1033"/>
      <c r="M786" s="723" t="s">
        <v>31</v>
      </c>
      <c r="N786" s="723"/>
      <c r="O786" s="1037" t="s">
        <v>31</v>
      </c>
      <c r="P786" s="1033"/>
      <c r="Q786" s="723" t="s">
        <v>31</v>
      </c>
      <c r="R786" s="723"/>
      <c r="S786" s="1037" t="s">
        <v>31</v>
      </c>
      <c r="T786" s="1033"/>
      <c r="U786" s="723" t="s">
        <v>31</v>
      </c>
      <c r="V786" s="568" t="s">
        <v>256</v>
      </c>
      <c r="W786" s="1001">
        <f ca="1">W785-I785</f>
        <v>255162.90236944892</v>
      </c>
      <c r="X786" s="1057" t="s">
        <v>31</v>
      </c>
      <c r="Y786" s="546"/>
      <c r="AI786" s="7"/>
      <c r="AJ786" s="7"/>
      <c r="AK786" s="7"/>
      <c r="AL786" s="7"/>
      <c r="AM786" s="7"/>
      <c r="AN786" s="7"/>
      <c r="AO786" s="7"/>
      <c r="AP786" s="7"/>
    </row>
    <row r="787" spans="1:42">
      <c r="A787" s="305" t="s">
        <v>435</v>
      </c>
      <c r="B787" s="305"/>
      <c r="C787" s="61"/>
      <c r="D787" s="237"/>
      <c r="E787" s="305"/>
      <c r="F787" s="490"/>
      <c r="G787" s="237"/>
      <c r="H787" s="305"/>
      <c r="I787" s="490"/>
      <c r="J787" s="490"/>
      <c r="K787" s="237"/>
      <c r="L787" s="305"/>
      <c r="M787" s="490"/>
      <c r="N787" s="490"/>
      <c r="O787" s="237"/>
      <c r="P787" s="305"/>
      <c r="Q787" s="490"/>
      <c r="R787" s="490"/>
      <c r="S787" s="237"/>
      <c r="T787" s="305"/>
      <c r="U787" s="490" t="s">
        <v>31</v>
      </c>
      <c r="AI787" s="7"/>
      <c r="AJ787" s="7"/>
      <c r="AK787" s="7"/>
      <c r="AL787" s="7"/>
      <c r="AM787" s="7"/>
      <c r="AN787" s="7"/>
      <c r="AO787" s="7"/>
      <c r="AP787" s="7"/>
    </row>
    <row r="788" spans="1:42">
      <c r="A788" s="305" t="s">
        <v>189</v>
      </c>
      <c r="B788" s="305"/>
      <c r="C788" s="61"/>
      <c r="D788" s="237"/>
      <c r="E788" s="305"/>
      <c r="F788" s="490"/>
      <c r="G788" s="237"/>
      <c r="H788" s="305"/>
      <c r="I788" s="490"/>
      <c r="J788" s="490"/>
      <c r="K788" s="237"/>
      <c r="L788" s="305"/>
      <c r="M788" s="490"/>
      <c r="N788" s="490"/>
      <c r="O788" s="237"/>
      <c r="P788" s="305"/>
      <c r="Q788" s="490"/>
      <c r="R788" s="490"/>
      <c r="S788" s="237"/>
      <c r="T788" s="305"/>
      <c r="U788" s="490"/>
      <c r="V788" s="496"/>
      <c r="W788" s="1035" t="s">
        <v>31</v>
      </c>
      <c r="X788" s="446"/>
      <c r="Y788" s="446"/>
      <c r="AI788" s="7"/>
      <c r="AJ788" s="7"/>
      <c r="AK788" s="7"/>
      <c r="AL788" s="7"/>
      <c r="AM788" s="7"/>
      <c r="AN788" s="7"/>
      <c r="AO788" s="7"/>
      <c r="AP788" s="7"/>
    </row>
    <row r="789" spans="1:42">
      <c r="A789" s="305"/>
      <c r="B789" s="305"/>
      <c r="C789" s="61"/>
      <c r="D789" s="237"/>
      <c r="E789" s="305"/>
      <c r="F789" s="237"/>
      <c r="G789" s="237"/>
      <c r="H789" s="305"/>
      <c r="I789" s="1052"/>
      <c r="J789" s="1052"/>
      <c r="K789" s="237"/>
      <c r="L789" s="305"/>
      <c r="M789" s="1052"/>
      <c r="N789" s="1052"/>
      <c r="O789" s="237"/>
      <c r="P789" s="305"/>
      <c r="Q789" s="1052"/>
      <c r="R789" s="1052"/>
      <c r="S789" s="237"/>
      <c r="T789" s="305"/>
      <c r="U789" s="1052"/>
      <c r="V789" s="7"/>
      <c r="W789" s="31"/>
      <c r="X789" s="31"/>
      <c r="Y789" s="31"/>
      <c r="Z789" s="7"/>
      <c r="AA789" s="7"/>
      <c r="AB789" s="7"/>
      <c r="AC789" s="7"/>
      <c r="AD789" s="7"/>
      <c r="AE789" s="7"/>
      <c r="AF789" s="7"/>
      <c r="AG789" s="7"/>
      <c r="AH789" s="7"/>
      <c r="AI789" s="7"/>
      <c r="AJ789" s="7"/>
      <c r="AK789" s="7"/>
      <c r="AL789" s="7"/>
      <c r="AM789" s="7"/>
      <c r="AN789" s="7"/>
      <c r="AO789" s="7"/>
      <c r="AP789" s="7"/>
    </row>
    <row r="790" spans="1:42">
      <c r="A790" s="305" t="s">
        <v>437</v>
      </c>
      <c r="B790" s="305"/>
      <c r="C790" s="61"/>
      <c r="D790" s="490" t="s">
        <v>31</v>
      </c>
      <c r="E790" s="305"/>
      <c r="F790" s="305"/>
      <c r="G790" s="490" t="s">
        <v>31</v>
      </c>
      <c r="H790" s="305"/>
      <c r="I790" s="305"/>
      <c r="J790" s="305"/>
      <c r="K790" s="490" t="s">
        <v>31</v>
      </c>
      <c r="L790" s="305"/>
      <c r="M790" s="305"/>
      <c r="N790" s="305"/>
      <c r="O790" s="490" t="s">
        <v>31</v>
      </c>
      <c r="P790" s="305"/>
      <c r="Q790" s="305"/>
      <c r="R790" s="305"/>
      <c r="S790" s="490" t="s">
        <v>31</v>
      </c>
      <c r="T790" s="305"/>
      <c r="U790" s="305"/>
      <c r="V790" s="7"/>
      <c r="W790" s="31"/>
      <c r="X790" s="31"/>
      <c r="Y790" s="31"/>
      <c r="Z790" s="7"/>
      <c r="AA790" s="7"/>
      <c r="AB790" s="7"/>
      <c r="AC790" s="7"/>
      <c r="AD790" s="7"/>
      <c r="AE790" s="7"/>
      <c r="AF790" s="7"/>
      <c r="AG790" s="7"/>
      <c r="AH790" s="7"/>
      <c r="AI790" s="7"/>
      <c r="AJ790" s="7"/>
      <c r="AK790" s="7"/>
      <c r="AL790" s="7"/>
      <c r="AM790" s="7"/>
      <c r="AN790" s="7"/>
      <c r="AO790" s="7"/>
      <c r="AP790" s="7"/>
    </row>
    <row r="791" spans="1:42">
      <c r="A791" s="305" t="s">
        <v>438</v>
      </c>
      <c r="B791" s="305"/>
      <c r="C791" s="61">
        <v>466.03559951751799</v>
      </c>
      <c r="D791" s="237">
        <f>D737</f>
        <v>0</v>
      </c>
      <c r="E791" s="1009"/>
      <c r="F791" s="490">
        <f>ROUND(D791*C791,0)</f>
        <v>0</v>
      </c>
      <c r="G791" s="237">
        <f>$G$737</f>
        <v>0</v>
      </c>
      <c r="H791" s="1009"/>
      <c r="I791" s="490">
        <f>ROUND(G791*$C791,0)</f>
        <v>0</v>
      </c>
      <c r="J791" s="490"/>
      <c r="K791" s="237">
        <f>$G$737</f>
        <v>0</v>
      </c>
      <c r="L791" s="1009"/>
      <c r="M791" s="490">
        <f>ROUND(K791*$C791,0)</f>
        <v>0</v>
      </c>
      <c r="N791" s="490"/>
      <c r="O791" s="237" t="e">
        <f>$O$737</f>
        <v>#REF!</v>
      </c>
      <c r="P791" s="1009"/>
      <c r="Q791" s="490" t="e">
        <f>ROUND(O791*$C791,0)</f>
        <v>#REF!</v>
      </c>
      <c r="R791" s="490"/>
      <c r="S791" s="237" t="e">
        <f>$S$737</f>
        <v>#REF!</v>
      </c>
      <c r="T791" s="1009"/>
      <c r="U791" s="490" t="e">
        <f>ROUND(S791*$C791,0)</f>
        <v>#REF!</v>
      </c>
      <c r="V791" s="7"/>
      <c r="W791" s="31"/>
      <c r="X791" s="31"/>
      <c r="Y791" s="31"/>
      <c r="Z791" s="7"/>
      <c r="AA791" s="7"/>
      <c r="AB791" s="7"/>
      <c r="AC791" s="7"/>
      <c r="AD791" s="7"/>
      <c r="AE791" s="7"/>
      <c r="AF791" s="7"/>
      <c r="AG791" s="7"/>
      <c r="AH791" s="7"/>
      <c r="AI791" s="7"/>
      <c r="AJ791" s="7"/>
      <c r="AK791" s="7"/>
      <c r="AL791" s="7"/>
      <c r="AM791" s="7"/>
      <c r="AN791" s="7"/>
      <c r="AO791" s="7"/>
      <c r="AP791" s="7"/>
    </row>
    <row r="792" spans="1:42">
      <c r="A792" s="305" t="s">
        <v>439</v>
      </c>
      <c r="B792" s="305"/>
      <c r="C792" s="61"/>
      <c r="D792" s="237"/>
      <c r="E792" s="1009"/>
      <c r="F792" s="490"/>
      <c r="G792" s="237"/>
      <c r="H792" s="1009"/>
      <c r="I792" s="490"/>
      <c r="J792" s="490"/>
      <c r="K792" s="237"/>
      <c r="L792" s="1009"/>
      <c r="M792" s="490"/>
      <c r="N792" s="490"/>
      <c r="O792" s="237"/>
      <c r="P792" s="1009"/>
      <c r="Q792" s="490"/>
      <c r="R792" s="490"/>
      <c r="S792" s="237"/>
      <c r="T792" s="1009"/>
      <c r="U792" s="490"/>
      <c r="V792" s="7"/>
      <c r="W792" s="31"/>
      <c r="X792" s="31"/>
      <c r="Y792" s="31"/>
      <c r="Z792" s="7"/>
      <c r="AA792" s="7"/>
      <c r="AB792" s="7"/>
      <c r="AC792" s="7"/>
      <c r="AD792" s="7"/>
      <c r="AE792" s="7"/>
      <c r="AF792" s="7"/>
      <c r="AG792" s="7"/>
      <c r="AH792" s="7"/>
      <c r="AI792" s="7"/>
      <c r="AJ792" s="7"/>
      <c r="AK792" s="7"/>
      <c r="AL792" s="7"/>
      <c r="AM792" s="7"/>
      <c r="AN792" s="7"/>
      <c r="AO792" s="7"/>
      <c r="AP792" s="7"/>
    </row>
    <row r="793" spans="1:42">
      <c r="A793" s="305" t="s">
        <v>440</v>
      </c>
      <c r="B793" s="305"/>
      <c r="C793" s="61">
        <v>2192.4547848167499</v>
      </c>
      <c r="D793" s="237">
        <f>D739</f>
        <v>0</v>
      </c>
      <c r="E793" s="1009"/>
      <c r="F793" s="490">
        <f>ROUND(D793*C793,0)</f>
        <v>0</v>
      </c>
      <c r="G793" s="237">
        <f>$G$739</f>
        <v>0</v>
      </c>
      <c r="H793" s="1009"/>
      <c r="I793" s="490">
        <f>ROUND(G793*$C793,0)</f>
        <v>0</v>
      </c>
      <c r="J793" s="490"/>
      <c r="K793" s="237">
        <f>$G$739</f>
        <v>0</v>
      </c>
      <c r="L793" s="1009"/>
      <c r="M793" s="490">
        <f>ROUND(K793*$C793,0)</f>
        <v>0</v>
      </c>
      <c r="N793" s="490"/>
      <c r="O793" s="237" t="e">
        <f>$O$739</f>
        <v>#REF!</v>
      </c>
      <c r="P793" s="1009"/>
      <c r="Q793" s="490" t="e">
        <f>ROUND(O793*$C793,0)</f>
        <v>#REF!</v>
      </c>
      <c r="R793" s="490"/>
      <c r="S793" s="237" t="e">
        <f>$S$739</f>
        <v>#REF!</v>
      </c>
      <c r="T793" s="1009"/>
      <c r="U793" s="490" t="e">
        <f>ROUND(S793*$C793,0)</f>
        <v>#REF!</v>
      </c>
      <c r="V793" s="7"/>
      <c r="W793" s="31"/>
      <c r="X793" s="31"/>
      <c r="Y793" s="31"/>
      <c r="Z793" s="7"/>
      <c r="AA793" s="7"/>
      <c r="AB793" s="7"/>
      <c r="AC793" s="7"/>
      <c r="AD793" s="7"/>
      <c r="AE793" s="7"/>
      <c r="AF793" s="7"/>
      <c r="AG793" s="7"/>
      <c r="AH793" s="7"/>
      <c r="AI793" s="7"/>
      <c r="AJ793" s="7"/>
      <c r="AK793" s="7"/>
      <c r="AL793" s="7"/>
      <c r="AM793" s="7"/>
      <c r="AN793" s="7"/>
      <c r="AO793" s="7"/>
      <c r="AP793" s="7"/>
    </row>
    <row r="794" spans="1:42">
      <c r="A794" s="305" t="s">
        <v>441</v>
      </c>
      <c r="B794" s="305"/>
      <c r="C794" s="61">
        <v>273.57538142360301</v>
      </c>
      <c r="D794" s="237">
        <f t="shared" ref="D794:D795" si="160">D740</f>
        <v>379</v>
      </c>
      <c r="E794" s="1009"/>
      <c r="F794" s="490">
        <f>ROUND(D794*C794,0)</f>
        <v>103685</v>
      </c>
      <c r="G794" s="237">
        <f>$G$740</f>
        <v>379</v>
      </c>
      <c r="H794" s="1009"/>
      <c r="I794" s="490">
        <f>ROUND(G794*$C794,0)</f>
        <v>103685</v>
      </c>
      <c r="J794" s="490"/>
      <c r="K794" s="237">
        <f>$G$740</f>
        <v>379</v>
      </c>
      <c r="L794" s="1009"/>
      <c r="M794" s="490">
        <f>ROUND(K794*$C794,0)</f>
        <v>103685</v>
      </c>
      <c r="N794" s="490"/>
      <c r="O794" s="237" t="e">
        <f>$O$740</f>
        <v>#REF!</v>
      </c>
      <c r="P794" s="1009"/>
      <c r="Q794" s="490" t="e">
        <f>ROUND(O794*$C794,0)</f>
        <v>#REF!</v>
      </c>
      <c r="R794" s="490"/>
      <c r="S794" s="237" t="e">
        <f>$S$740</f>
        <v>#REF!</v>
      </c>
      <c r="T794" s="1009"/>
      <c r="U794" s="490" t="e">
        <f>ROUND(S794*$C794,0)</f>
        <v>#REF!</v>
      </c>
      <c r="V794" s="7"/>
      <c r="W794" s="31"/>
      <c r="X794" s="31"/>
      <c r="Y794" s="31"/>
      <c r="Z794" s="7"/>
      <c r="AA794" s="7"/>
      <c r="AB794" s="7"/>
      <c r="AC794" s="7"/>
      <c r="AD794" s="7"/>
      <c r="AE794" s="7"/>
      <c r="AF794" s="7"/>
      <c r="AG794" s="7"/>
      <c r="AH794" s="7"/>
      <c r="AI794" s="7"/>
      <c r="AJ794" s="7"/>
      <c r="AK794" s="7"/>
      <c r="AL794" s="7"/>
      <c r="AM794" s="7"/>
      <c r="AN794" s="7"/>
      <c r="AO794" s="7"/>
      <c r="AP794" s="7"/>
    </row>
    <row r="795" spans="1:42">
      <c r="A795" s="305" t="s">
        <v>442</v>
      </c>
      <c r="B795" s="305"/>
      <c r="C795" s="61">
        <v>8.0192081482092199</v>
      </c>
      <c r="D795" s="237">
        <f t="shared" si="160"/>
        <v>1539</v>
      </c>
      <c r="E795" s="1009"/>
      <c r="F795" s="490">
        <f>ROUND(D795*C795,0)</f>
        <v>12342</v>
      </c>
      <c r="G795" s="237">
        <f>$G$741</f>
        <v>1539</v>
      </c>
      <c r="H795" s="1009"/>
      <c r="I795" s="490">
        <f>ROUND(G795*$C795,0)</f>
        <v>12342</v>
      </c>
      <c r="J795" s="490"/>
      <c r="K795" s="237">
        <f>$G$741</f>
        <v>1539</v>
      </c>
      <c r="L795" s="1009"/>
      <c r="M795" s="490">
        <f>ROUND(K795*$C795,0)</f>
        <v>12342</v>
      </c>
      <c r="N795" s="490"/>
      <c r="O795" s="237" t="e">
        <f>$O$741</f>
        <v>#REF!</v>
      </c>
      <c r="P795" s="1009"/>
      <c r="Q795" s="490" t="e">
        <f>ROUND(O795*$C795,0)</f>
        <v>#REF!</v>
      </c>
      <c r="R795" s="490"/>
      <c r="S795" s="237" t="e">
        <f>$S$741</f>
        <v>#REF!</v>
      </c>
      <c r="T795" s="1009"/>
      <c r="U795" s="490" t="e">
        <f>ROUND(S795*$C795,0)</f>
        <v>#REF!</v>
      </c>
      <c r="V795" s="7"/>
      <c r="W795" s="31"/>
      <c r="X795" s="31"/>
      <c r="Y795" s="31"/>
      <c r="Z795" s="7"/>
      <c r="AA795" s="7"/>
      <c r="AB795" s="7"/>
      <c r="AC795" s="7"/>
      <c r="AD795" s="7"/>
      <c r="AE795" s="7"/>
      <c r="AF795" s="7"/>
      <c r="AG795" s="7"/>
      <c r="AH795" s="7"/>
      <c r="AI795" s="7"/>
      <c r="AJ795" s="7"/>
      <c r="AK795" s="7"/>
      <c r="AL795" s="7"/>
      <c r="AM795" s="7"/>
      <c r="AN795" s="7"/>
      <c r="AO795" s="7"/>
      <c r="AP795" s="7"/>
    </row>
    <row r="796" spans="1:42">
      <c r="A796" s="305" t="s">
        <v>350</v>
      </c>
      <c r="B796" s="305"/>
      <c r="C796" s="61">
        <f>SUM(C791:C795)</f>
        <v>2940.0849739060804</v>
      </c>
      <c r="D796" s="237"/>
      <c r="E796" s="1009"/>
      <c r="F796" s="490"/>
      <c r="G796" s="237"/>
      <c r="H796" s="1009"/>
      <c r="I796" s="490"/>
      <c r="J796" s="490"/>
      <c r="K796" s="237"/>
      <c r="L796" s="1009"/>
      <c r="M796" s="490"/>
      <c r="N796" s="490"/>
      <c r="O796" s="237"/>
      <c r="P796" s="1009"/>
      <c r="Q796" s="490"/>
      <c r="R796" s="490"/>
      <c r="S796" s="237"/>
      <c r="T796" s="1009"/>
      <c r="U796" s="490"/>
      <c r="V796" s="7"/>
      <c r="W796" s="31"/>
      <c r="X796" s="31"/>
      <c r="Y796" s="31"/>
      <c r="Z796" s="7"/>
      <c r="AA796" s="7"/>
      <c r="AB796" s="7"/>
      <c r="AC796" s="7"/>
      <c r="AD796" s="7"/>
      <c r="AE796" s="7"/>
      <c r="AF796" s="7"/>
      <c r="AG796" s="7"/>
      <c r="AH796" s="7"/>
      <c r="AI796" s="7"/>
      <c r="AJ796" s="7"/>
      <c r="AK796" s="7"/>
      <c r="AL796" s="7"/>
      <c r="AM796" s="7"/>
      <c r="AN796" s="7"/>
      <c r="AO796" s="7"/>
      <c r="AP796" s="7"/>
    </row>
    <row r="797" spans="1:42">
      <c r="A797" s="305" t="s">
        <v>443</v>
      </c>
      <c r="B797" s="305"/>
      <c r="C797" s="61">
        <v>22331</v>
      </c>
      <c r="D797" s="237"/>
      <c r="E797" s="490"/>
      <c r="F797" s="490"/>
      <c r="G797" s="237"/>
      <c r="H797" s="490"/>
      <c r="I797" s="490"/>
      <c r="J797" s="490"/>
      <c r="K797" s="237"/>
      <c r="L797" s="490"/>
      <c r="M797" s="490"/>
      <c r="N797" s="490"/>
      <c r="O797" s="237"/>
      <c r="P797" s="490"/>
      <c r="Q797" s="490"/>
      <c r="R797" s="490"/>
      <c r="S797" s="237"/>
      <c r="T797" s="490"/>
      <c r="U797" s="490"/>
      <c r="V797" s="7"/>
      <c r="W797" s="31"/>
      <c r="X797" s="31"/>
      <c r="Y797" s="31"/>
      <c r="Z797" s="7"/>
      <c r="AA797" s="7"/>
      <c r="AB797" s="7"/>
      <c r="AC797" s="7"/>
      <c r="AD797" s="7"/>
      <c r="AE797" s="7"/>
      <c r="AF797" s="7"/>
      <c r="AG797" s="7"/>
      <c r="AH797" s="7"/>
      <c r="AI797" s="7"/>
      <c r="AJ797" s="7"/>
      <c r="AK797" s="7"/>
      <c r="AL797" s="7"/>
      <c r="AM797" s="7"/>
      <c r="AN797" s="7"/>
      <c r="AO797" s="7"/>
      <c r="AP797" s="7"/>
    </row>
    <row r="798" spans="1:42">
      <c r="A798" s="305" t="s">
        <v>104</v>
      </c>
      <c r="B798" s="305"/>
      <c r="C798" s="61">
        <v>3002</v>
      </c>
      <c r="D798" s="237"/>
      <c r="E798" s="490"/>
      <c r="F798" s="490"/>
      <c r="G798" s="237"/>
      <c r="H798" s="490"/>
      <c r="I798" s="490"/>
      <c r="J798" s="490"/>
      <c r="K798" s="237"/>
      <c r="L798" s="490"/>
      <c r="M798" s="490"/>
      <c r="N798" s="490"/>
      <c r="O798" s="237"/>
      <c r="P798" s="490"/>
      <c r="Q798" s="490"/>
      <c r="R798" s="490"/>
      <c r="S798" s="237"/>
      <c r="T798" s="490"/>
      <c r="U798" s="490"/>
      <c r="V798" s="7"/>
      <c r="W798" s="31"/>
      <c r="X798" s="31"/>
      <c r="Y798" s="31"/>
      <c r="Z798" s="7"/>
      <c r="AA798" s="7"/>
      <c r="AB798" s="7"/>
      <c r="AC798" s="7"/>
      <c r="AD798" s="7"/>
      <c r="AE798" s="7"/>
      <c r="AF798" s="7"/>
      <c r="AG798" s="7"/>
      <c r="AH798" s="7"/>
      <c r="AI798" s="7"/>
      <c r="AJ798" s="7"/>
      <c r="AK798" s="7"/>
      <c r="AL798" s="7"/>
      <c r="AM798" s="7"/>
      <c r="AN798" s="7"/>
      <c r="AO798" s="7"/>
      <c r="AP798" s="7"/>
    </row>
    <row r="799" spans="1:42">
      <c r="A799" s="305" t="s">
        <v>444</v>
      </c>
      <c r="B799" s="305"/>
      <c r="C799" s="61"/>
      <c r="D799" s="237"/>
      <c r="E799" s="1009"/>
      <c r="F799" s="490"/>
      <c r="G799" s="237"/>
      <c r="H799" s="1009"/>
      <c r="I799" s="490"/>
      <c r="J799" s="490"/>
      <c r="K799" s="237"/>
      <c r="L799" s="1009"/>
      <c r="M799" s="490"/>
      <c r="N799" s="490"/>
      <c r="O799" s="237"/>
      <c r="P799" s="1009"/>
      <c r="Q799" s="490"/>
      <c r="R799" s="490"/>
      <c r="S799" s="237"/>
      <c r="T799" s="1009"/>
      <c r="U799" s="490"/>
      <c r="V799" s="7"/>
      <c r="W799" s="31"/>
      <c r="X799" s="31"/>
      <c r="Y799" s="31"/>
      <c r="Z799" s="7"/>
      <c r="AA799" s="7"/>
      <c r="AB799" s="7"/>
      <c r="AC799" s="7"/>
      <c r="AD799" s="7"/>
      <c r="AE799" s="7"/>
      <c r="AF799" s="7"/>
      <c r="AG799" s="7"/>
      <c r="AH799" s="7"/>
      <c r="AI799" s="7"/>
      <c r="AJ799" s="7"/>
      <c r="AK799" s="7"/>
      <c r="AL799" s="7"/>
      <c r="AM799" s="7"/>
      <c r="AN799" s="7"/>
      <c r="AO799" s="7"/>
      <c r="AP799" s="7"/>
    </row>
    <row r="800" spans="1:42">
      <c r="A800" s="305" t="s">
        <v>445</v>
      </c>
      <c r="B800" s="305"/>
      <c r="C800" s="61">
        <v>1822.6373138064801</v>
      </c>
      <c r="D800" s="237">
        <f>D746</f>
        <v>26.63</v>
      </c>
      <c r="E800" s="1009"/>
      <c r="F800" s="490">
        <f>ROUND(D800*C800,0)</f>
        <v>48537</v>
      </c>
      <c r="G800" s="237">
        <f>$G$746</f>
        <v>26.61</v>
      </c>
      <c r="H800" s="1009"/>
      <c r="I800" s="490">
        <f>ROUND(G800*$C800,0)</f>
        <v>48500</v>
      </c>
      <c r="J800" s="490"/>
      <c r="K800" s="237" t="e">
        <f>$K$746</f>
        <v>#REF!</v>
      </c>
      <c r="L800" s="1009"/>
      <c r="M800" s="490" t="e">
        <f>ROUND(K800*$C800,0)</f>
        <v>#REF!</v>
      </c>
      <c r="N800" s="490"/>
      <c r="O800" s="237" t="e">
        <f>$O$746</f>
        <v>#REF!</v>
      </c>
      <c r="P800" s="1009"/>
      <c r="Q800" s="490" t="e">
        <f>ROUND(O800*$C800,0)</f>
        <v>#REF!</v>
      </c>
      <c r="R800" s="490"/>
      <c r="S800" s="237" t="e">
        <f>$S$746</f>
        <v>#REF!</v>
      </c>
      <c r="T800" s="1009"/>
      <c r="U800" s="490" t="e">
        <f>ROUND(S800*$C800,0)</f>
        <v>#REF!</v>
      </c>
      <c r="V800" s="7"/>
      <c r="W800" s="31"/>
      <c r="X800" s="31"/>
      <c r="Y800" s="31"/>
      <c r="Z800" s="7"/>
      <c r="AA800" s="7"/>
      <c r="AB800" s="7"/>
      <c r="AC800" s="7"/>
      <c r="AD800" s="7"/>
      <c r="AE800" s="7"/>
      <c r="AF800" s="7"/>
      <c r="AG800" s="7"/>
      <c r="AH800" s="7"/>
      <c r="AI800" s="7"/>
      <c r="AJ800" s="7"/>
      <c r="AK800" s="7"/>
      <c r="AL800" s="7"/>
      <c r="AM800" s="7"/>
      <c r="AN800" s="7"/>
      <c r="AO800" s="7"/>
      <c r="AP800" s="7"/>
    </row>
    <row r="801" spans="1:42">
      <c r="A801" s="305" t="s">
        <v>446</v>
      </c>
      <c r="B801" s="305"/>
      <c r="C801" s="61"/>
      <c r="D801" s="237"/>
      <c r="E801" s="1009"/>
      <c r="F801" s="490"/>
      <c r="G801" s="237"/>
      <c r="H801" s="1009"/>
      <c r="I801" s="490"/>
      <c r="J801" s="490"/>
      <c r="K801" s="237"/>
      <c r="L801" s="1009"/>
      <c r="M801" s="490"/>
      <c r="N801" s="490"/>
      <c r="O801" s="237"/>
      <c r="P801" s="1009"/>
      <c r="Q801" s="490"/>
      <c r="R801" s="490"/>
      <c r="S801" s="237"/>
      <c r="T801" s="1009"/>
      <c r="U801" s="490"/>
      <c r="V801" s="7"/>
      <c r="W801" s="31"/>
      <c r="X801" s="31"/>
      <c r="Y801" s="31"/>
      <c r="Z801" s="7"/>
      <c r="AA801" s="7"/>
      <c r="AB801" s="7"/>
      <c r="AC801" s="7"/>
      <c r="AD801" s="7"/>
      <c r="AE801" s="7"/>
      <c r="AF801" s="7"/>
      <c r="AG801" s="7"/>
      <c r="AH801" s="7"/>
      <c r="AI801" s="7"/>
      <c r="AJ801" s="7"/>
      <c r="AK801" s="7"/>
      <c r="AL801" s="7"/>
      <c r="AM801" s="7"/>
      <c r="AN801" s="7"/>
      <c r="AO801" s="7"/>
      <c r="AP801" s="7"/>
    </row>
    <row r="802" spans="1:42">
      <c r="A802" s="305" t="s">
        <v>440</v>
      </c>
      <c r="B802" s="305"/>
      <c r="C802" s="61">
        <v>34411.773720115103</v>
      </c>
      <c r="D802" s="237">
        <f>D748</f>
        <v>26.63</v>
      </c>
      <c r="E802" s="1009"/>
      <c r="F802" s="490">
        <f>ROUND(D802*C802,0)</f>
        <v>916386</v>
      </c>
      <c r="G802" s="237">
        <f>$G$748</f>
        <v>26.68</v>
      </c>
      <c r="H802" s="1009"/>
      <c r="I802" s="490">
        <f>ROUND(G802*$C802,0)</f>
        <v>918106</v>
      </c>
      <c r="J802" s="490"/>
      <c r="K802" s="237" t="e">
        <f>$K$748</f>
        <v>#REF!</v>
      </c>
      <c r="L802" s="1009"/>
      <c r="M802" s="490" t="e">
        <f>ROUND(K802*$C802,0)</f>
        <v>#REF!</v>
      </c>
      <c r="N802" s="490"/>
      <c r="O802" s="237" t="e">
        <f>$O$748</f>
        <v>#REF!</v>
      </c>
      <c r="P802" s="1009"/>
      <c r="Q802" s="490" t="e">
        <f>ROUND(O802*$C802,0)</f>
        <v>#REF!</v>
      </c>
      <c r="R802" s="490"/>
      <c r="S802" s="237" t="e">
        <f>$S$748</f>
        <v>#REF!</v>
      </c>
      <c r="T802" s="1009"/>
      <c r="U802" s="490" t="e">
        <f>ROUND(S802*$C802,0)</f>
        <v>#REF!</v>
      </c>
      <c r="V802" s="7"/>
      <c r="W802" s="31"/>
      <c r="X802" s="31"/>
      <c r="Y802" s="31"/>
      <c r="Z802" s="7"/>
      <c r="AA802" s="7"/>
      <c r="AB802" s="7"/>
      <c r="AC802" s="7"/>
      <c r="AD802" s="7"/>
      <c r="AE802" s="7"/>
      <c r="AF802" s="7"/>
      <c r="AG802" s="7"/>
      <c r="AH802" s="7"/>
      <c r="AI802" s="7"/>
      <c r="AJ802" s="7"/>
      <c r="AK802" s="7"/>
      <c r="AL802" s="7"/>
      <c r="AM802" s="7"/>
      <c r="AN802" s="7"/>
      <c r="AO802" s="7"/>
      <c r="AP802" s="7"/>
    </row>
    <row r="803" spans="1:42">
      <c r="A803" s="305" t="s">
        <v>441</v>
      </c>
      <c r="B803" s="305"/>
      <c r="C803" s="61">
        <v>26713.8204399559</v>
      </c>
      <c r="D803" s="237">
        <f t="shared" ref="D803:D806" si="161">D749</f>
        <v>18.53</v>
      </c>
      <c r="E803" s="1009"/>
      <c r="F803" s="490">
        <f>ROUND(D803*C803,0)</f>
        <v>495007</v>
      </c>
      <c r="G803" s="237">
        <f>$G$749</f>
        <v>18.540000000000003</v>
      </c>
      <c r="H803" s="1009"/>
      <c r="I803" s="490">
        <f>ROUND(G803*$C803,0)</f>
        <v>495274</v>
      </c>
      <c r="J803" s="490"/>
      <c r="K803" s="237" t="e">
        <f>$K$749</f>
        <v>#REF!</v>
      </c>
      <c r="L803" s="1009"/>
      <c r="M803" s="490" t="e">
        <f>ROUND(K803*$C803,0)</f>
        <v>#REF!</v>
      </c>
      <c r="N803" s="490"/>
      <c r="O803" s="237" t="e">
        <f>$O$749</f>
        <v>#REF!</v>
      </c>
      <c r="P803" s="1009"/>
      <c r="Q803" s="490" t="e">
        <f>ROUND(O803*$C803,0)</f>
        <v>#REF!</v>
      </c>
      <c r="R803" s="490"/>
      <c r="S803" s="237" t="e">
        <f>$S$749</f>
        <v>#REF!</v>
      </c>
      <c r="T803" s="1009"/>
      <c r="U803" s="490" t="e">
        <f>ROUND(S803*$C803,0)</f>
        <v>#REF!</v>
      </c>
      <c r="V803" s="7"/>
      <c r="W803" s="31"/>
      <c r="X803" s="31"/>
      <c r="Y803" s="31"/>
      <c r="Z803" s="7"/>
      <c r="AA803" s="7"/>
      <c r="AB803" s="7"/>
      <c r="AC803" s="7"/>
      <c r="AD803" s="7"/>
      <c r="AE803" s="7"/>
      <c r="AF803" s="7"/>
      <c r="AG803" s="7"/>
      <c r="AH803" s="7"/>
      <c r="AI803" s="7"/>
      <c r="AJ803" s="7"/>
      <c r="AK803" s="7"/>
      <c r="AL803" s="7"/>
      <c r="AM803" s="7"/>
      <c r="AN803" s="7"/>
      <c r="AO803" s="7"/>
      <c r="AP803" s="7"/>
    </row>
    <row r="804" spans="1:42">
      <c r="A804" s="305" t="s">
        <v>442</v>
      </c>
      <c r="B804" s="305"/>
      <c r="C804" s="61">
        <v>3107.6765078724902</v>
      </c>
      <c r="D804" s="237">
        <f t="shared" si="161"/>
        <v>14.49</v>
      </c>
      <c r="E804" s="1009"/>
      <c r="F804" s="490">
        <f>ROUND(D804*C804,0)</f>
        <v>45030</v>
      </c>
      <c r="G804" s="237">
        <f>$G$750</f>
        <v>14.49</v>
      </c>
      <c r="H804" s="1009"/>
      <c r="I804" s="490">
        <f>ROUND(G804*$C804,0)</f>
        <v>45030</v>
      </c>
      <c r="J804" s="490"/>
      <c r="K804" s="237" t="e">
        <f>$K$750</f>
        <v>#REF!</v>
      </c>
      <c r="L804" s="1009"/>
      <c r="M804" s="490" t="e">
        <f>ROUND(K804*$C804,0)</f>
        <v>#REF!</v>
      </c>
      <c r="N804" s="490"/>
      <c r="O804" s="237" t="e">
        <f>$O$750</f>
        <v>#REF!</v>
      </c>
      <c r="P804" s="1009"/>
      <c r="Q804" s="490" t="e">
        <f>ROUND(O804*$C804,0)</f>
        <v>#REF!</v>
      </c>
      <c r="R804" s="490"/>
      <c r="S804" s="237" t="e">
        <f>$S$750</f>
        <v>#REF!</v>
      </c>
      <c r="T804" s="1009"/>
      <c r="U804" s="490" t="e">
        <f>ROUND(S804*$C804,0)</f>
        <v>#REF!</v>
      </c>
      <c r="V804" s="7"/>
      <c r="W804" s="31"/>
      <c r="X804" s="31"/>
      <c r="Y804" s="31"/>
      <c r="Z804" s="7"/>
      <c r="AA804" s="7"/>
      <c r="AB804" s="7"/>
      <c r="AC804" s="7"/>
      <c r="AD804" s="7"/>
      <c r="AE804" s="7"/>
      <c r="AF804" s="7"/>
      <c r="AG804" s="7"/>
      <c r="AH804" s="7"/>
      <c r="AI804" s="7"/>
      <c r="AJ804" s="7"/>
      <c r="AK804" s="7"/>
      <c r="AL804" s="7"/>
      <c r="AM804" s="7"/>
      <c r="AN804" s="7"/>
      <c r="AO804" s="7"/>
      <c r="AP804" s="7"/>
    </row>
    <row r="805" spans="1:42">
      <c r="A805" s="305" t="s">
        <v>448</v>
      </c>
      <c r="B805" s="305"/>
      <c r="C805" s="61">
        <v>226.93694454875501</v>
      </c>
      <c r="D805" s="237">
        <f t="shared" si="161"/>
        <v>79.89</v>
      </c>
      <c r="E805" s="1009"/>
      <c r="F805" s="490">
        <f>ROUND(D805*C805,0)</f>
        <v>18130</v>
      </c>
      <c r="G805" s="237">
        <f>$G$751</f>
        <v>79.83</v>
      </c>
      <c r="H805" s="1009"/>
      <c r="I805" s="490">
        <f>ROUND(G805*$C805,0)</f>
        <v>18116</v>
      </c>
      <c r="J805" s="490"/>
      <c r="K805" s="237" t="e">
        <f>$K$751</f>
        <v>#REF!</v>
      </c>
      <c r="L805" s="1009"/>
      <c r="M805" s="490" t="e">
        <f>ROUND(K805*$C805,0)</f>
        <v>#REF!</v>
      </c>
      <c r="N805" s="490"/>
      <c r="O805" s="237" t="e">
        <f>$O$751</f>
        <v>#REF!</v>
      </c>
      <c r="P805" s="1009"/>
      <c r="Q805" s="490" t="e">
        <f>ROUND(O805*$C805,0)</f>
        <v>#REF!</v>
      </c>
      <c r="R805" s="490"/>
      <c r="S805" s="237" t="e">
        <f>$S$751</f>
        <v>#REF!</v>
      </c>
      <c r="T805" s="1009"/>
      <c r="U805" s="490" t="e">
        <f>ROUND(S805*$C805,0)</f>
        <v>#REF!</v>
      </c>
      <c r="V805" s="7"/>
      <c r="W805" s="31"/>
      <c r="X805" s="31"/>
      <c r="Y805" s="31"/>
      <c r="Z805" s="7"/>
      <c r="AA805" s="7"/>
      <c r="AB805" s="7"/>
      <c r="AC805" s="7"/>
      <c r="AD805" s="7"/>
      <c r="AE805" s="7"/>
      <c r="AF805" s="7"/>
      <c r="AG805" s="7"/>
      <c r="AH805" s="7"/>
      <c r="AI805" s="7"/>
      <c r="AJ805" s="7"/>
      <c r="AK805" s="7"/>
      <c r="AL805" s="7"/>
      <c r="AM805" s="7"/>
      <c r="AN805" s="7"/>
      <c r="AO805" s="7"/>
      <c r="AP805" s="7"/>
    </row>
    <row r="806" spans="1:42">
      <c r="A806" s="305" t="s">
        <v>449</v>
      </c>
      <c r="B806" s="305"/>
      <c r="C806" s="61">
        <v>503.25743779564999</v>
      </c>
      <c r="D806" s="237">
        <f t="shared" si="161"/>
        <v>159.78</v>
      </c>
      <c r="E806" s="1009"/>
      <c r="F806" s="490">
        <f>ROUND(D806*C806,0)</f>
        <v>80410</v>
      </c>
      <c r="G806" s="237">
        <f>$G$752</f>
        <v>160.07999999999998</v>
      </c>
      <c r="H806" s="1009"/>
      <c r="I806" s="490">
        <f>ROUND(G806*$C806,0)</f>
        <v>80561</v>
      </c>
      <c r="J806" s="490"/>
      <c r="K806" s="237" t="e">
        <f>$K$752</f>
        <v>#REF!</v>
      </c>
      <c r="L806" s="1009"/>
      <c r="M806" s="490" t="e">
        <f>ROUND(K806*$C806,0)</f>
        <v>#REF!</v>
      </c>
      <c r="N806" s="490"/>
      <c r="O806" s="237" t="e">
        <f>$O$752</f>
        <v>#REF!</v>
      </c>
      <c r="P806" s="1009"/>
      <c r="Q806" s="490" t="e">
        <f>ROUND(O806*$C806,0)</f>
        <v>#REF!</v>
      </c>
      <c r="R806" s="490"/>
      <c r="S806" s="237" t="e">
        <f>$S$752</f>
        <v>#REF!</v>
      </c>
      <c r="T806" s="1009"/>
      <c r="U806" s="490" t="e">
        <f>ROUND(S806*$C806,0)</f>
        <v>#REF!</v>
      </c>
      <c r="V806" s="7"/>
      <c r="W806" s="31"/>
      <c r="X806" s="31"/>
      <c r="Y806" s="31"/>
      <c r="Z806" s="7"/>
      <c r="AA806" s="7"/>
      <c r="AB806" s="7"/>
      <c r="AC806" s="7"/>
      <c r="AD806" s="7"/>
      <c r="AE806" s="7"/>
      <c r="AF806" s="7"/>
      <c r="AG806" s="7"/>
      <c r="AH806" s="7"/>
      <c r="AI806" s="7"/>
      <c r="AJ806" s="7"/>
      <c r="AK806" s="7"/>
      <c r="AL806" s="7"/>
      <c r="AM806" s="7"/>
      <c r="AN806" s="7"/>
      <c r="AO806" s="7"/>
      <c r="AP806" s="7"/>
    </row>
    <row r="807" spans="1:42">
      <c r="A807" s="305" t="s">
        <v>450</v>
      </c>
      <c r="B807" s="305"/>
      <c r="C807" s="61"/>
      <c r="D807" s="237"/>
      <c r="E807" s="1009"/>
      <c r="F807" s="490"/>
      <c r="G807" s="237"/>
      <c r="H807" s="1009"/>
      <c r="I807" s="490"/>
      <c r="J807" s="490"/>
      <c r="K807" s="237"/>
      <c r="L807" s="1009"/>
      <c r="M807" s="490"/>
      <c r="N807" s="490"/>
      <c r="O807" s="237"/>
      <c r="P807" s="1009"/>
      <c r="Q807" s="490"/>
      <c r="R807" s="490"/>
      <c r="S807" s="237"/>
      <c r="T807" s="1009"/>
      <c r="U807" s="490"/>
      <c r="V807" s="7"/>
      <c r="W807" s="31"/>
      <c r="X807" s="31"/>
      <c r="Y807" s="31"/>
      <c r="Z807" s="7"/>
      <c r="AA807" s="7"/>
      <c r="AB807" s="7"/>
      <c r="AC807" s="7"/>
      <c r="AD807" s="7"/>
      <c r="AE807" s="7"/>
      <c r="AF807" s="7"/>
      <c r="AG807" s="7"/>
      <c r="AH807" s="7"/>
      <c r="AI807" s="7"/>
      <c r="AJ807" s="7"/>
      <c r="AK807" s="7"/>
      <c r="AL807" s="7"/>
      <c r="AM807" s="7"/>
      <c r="AN807" s="7"/>
      <c r="AO807" s="7"/>
      <c r="AP807" s="7"/>
    </row>
    <row r="808" spans="1:42">
      <c r="A808" s="305" t="s">
        <v>445</v>
      </c>
      <c r="B808" s="305"/>
      <c r="C808" s="61">
        <v>204.883652522218</v>
      </c>
      <c r="D808" s="237">
        <f>D775</f>
        <v>-26.63</v>
      </c>
      <c r="E808" s="1009"/>
      <c r="F808" s="490">
        <f>ROUND(D808*C808,0)</f>
        <v>-5456</v>
      </c>
      <c r="G808" s="237">
        <f>-G800</f>
        <v>-26.61</v>
      </c>
      <c r="H808" s="1009"/>
      <c r="I808" s="490">
        <f>ROUND(G808*$C808,0)</f>
        <v>-5452</v>
      </c>
      <c r="J808" s="490"/>
      <c r="K808" s="237" t="e">
        <f>-K800</f>
        <v>#REF!</v>
      </c>
      <c r="L808" s="1009"/>
      <c r="M808" s="490" t="e">
        <f>ROUND(K808*$C808,0)</f>
        <v>#REF!</v>
      </c>
      <c r="N808" s="490"/>
      <c r="O808" s="237" t="e">
        <f>-O800</f>
        <v>#REF!</v>
      </c>
      <c r="P808" s="1009"/>
      <c r="Q808" s="490" t="e">
        <f>ROUND(O808*$C808,0)</f>
        <v>#REF!</v>
      </c>
      <c r="R808" s="490"/>
      <c r="S808" s="237" t="e">
        <f>-S800</f>
        <v>#REF!</v>
      </c>
      <c r="T808" s="1009"/>
      <c r="U808" s="490" t="e">
        <f>ROUND(S808*$C808,0)</f>
        <v>#REF!</v>
      </c>
      <c r="V808" s="7"/>
      <c r="W808" s="31"/>
      <c r="X808" s="31"/>
      <c r="Y808" s="31"/>
      <c r="Z808" s="7"/>
      <c r="AA808" s="7"/>
      <c r="AB808" s="7"/>
      <c r="AC808" s="7"/>
      <c r="AD808" s="7"/>
      <c r="AE808" s="7"/>
      <c r="AF808" s="7"/>
      <c r="AG808" s="7"/>
      <c r="AH808" s="7"/>
      <c r="AI808" s="7"/>
      <c r="AJ808" s="7"/>
      <c r="AK808" s="7"/>
      <c r="AL808" s="7"/>
      <c r="AM808" s="7"/>
      <c r="AN808" s="7"/>
      <c r="AO808" s="7"/>
      <c r="AP808" s="7"/>
    </row>
    <row r="809" spans="1:42">
      <c r="A809" s="305" t="s">
        <v>451</v>
      </c>
      <c r="B809" s="305"/>
      <c r="C809" s="61">
        <v>708.61337464013002</v>
      </c>
      <c r="D809" s="237">
        <f>D755</f>
        <v>-26.63</v>
      </c>
      <c r="E809" s="1009"/>
      <c r="F809" s="490">
        <f>ROUND(D809*C809,0)</f>
        <v>-18870</v>
      </c>
      <c r="G809" s="237">
        <f>-G802</f>
        <v>-26.68</v>
      </c>
      <c r="H809" s="1009"/>
      <c r="I809" s="490">
        <f>ROUND(G809*$C809,0)</f>
        <v>-18906</v>
      </c>
      <c r="J809" s="490"/>
      <c r="K809" s="237" t="e">
        <f>-K802</f>
        <v>#REF!</v>
      </c>
      <c r="L809" s="1009"/>
      <c r="M809" s="490" t="e">
        <f>ROUND(K809*$C809,0)</f>
        <v>#REF!</v>
      </c>
      <c r="N809" s="490"/>
      <c r="O809" s="237" t="e">
        <f>-O802</f>
        <v>#REF!</v>
      </c>
      <c r="P809" s="1009"/>
      <c r="Q809" s="490" t="e">
        <f>ROUND(O809*$C809,0)</f>
        <v>#REF!</v>
      </c>
      <c r="R809" s="490"/>
      <c r="S809" s="237" t="e">
        <f>-S802</f>
        <v>#REF!</v>
      </c>
      <c r="T809" s="1009"/>
      <c r="U809" s="490" t="e">
        <f>ROUND(S809*$C809,0)</f>
        <v>#REF!</v>
      </c>
      <c r="V809" s="7"/>
      <c r="W809" s="31"/>
      <c r="X809" s="31"/>
      <c r="Y809" s="31"/>
      <c r="Z809" s="7"/>
      <c r="AA809" s="7"/>
      <c r="AB809" s="7"/>
      <c r="AC809" s="7"/>
      <c r="AD809" s="7"/>
      <c r="AE809" s="7"/>
      <c r="AF809" s="7"/>
      <c r="AG809" s="7"/>
      <c r="AH809" s="7"/>
      <c r="AI809" s="7"/>
      <c r="AJ809" s="7"/>
      <c r="AK809" s="7"/>
      <c r="AL809" s="7"/>
      <c r="AM809" s="7"/>
      <c r="AN809" s="7"/>
      <c r="AO809" s="7"/>
      <c r="AP809" s="7"/>
    </row>
    <row r="810" spans="1:42">
      <c r="A810" s="305" t="s">
        <v>414</v>
      </c>
      <c r="B810" s="305"/>
      <c r="C810" s="61" t="s">
        <v>31</v>
      </c>
      <c r="D810" s="237"/>
      <c r="E810" s="490"/>
      <c r="F810" s="490"/>
      <c r="G810" s="237"/>
      <c r="H810" s="490"/>
      <c r="I810" s="490"/>
      <c r="J810" s="490"/>
      <c r="K810" s="237"/>
      <c r="L810" s="490"/>
      <c r="M810" s="490"/>
      <c r="N810" s="490"/>
      <c r="O810" s="237"/>
      <c r="P810" s="490"/>
      <c r="Q810" s="490"/>
      <c r="R810" s="490"/>
      <c r="S810" s="237"/>
      <c r="T810" s="490"/>
      <c r="U810" s="490"/>
      <c r="V810" s="7"/>
      <c r="W810" s="31"/>
      <c r="X810" s="31"/>
      <c r="Y810" s="31"/>
      <c r="Z810" s="7"/>
      <c r="AA810" s="7"/>
      <c r="AB810" s="7"/>
      <c r="AC810" s="7"/>
      <c r="AD810" s="7"/>
      <c r="AE810" s="7"/>
      <c r="AF810" s="7"/>
      <c r="AG810" s="7"/>
      <c r="AH810" s="7"/>
      <c r="AI810" s="7"/>
      <c r="AJ810" s="7"/>
      <c r="AK810" s="7"/>
      <c r="AL810" s="7"/>
      <c r="AM810" s="7"/>
      <c r="AN810" s="7"/>
      <c r="AO810" s="7"/>
      <c r="AP810" s="7"/>
    </row>
    <row r="811" spans="1:42">
      <c r="A811" s="305" t="s">
        <v>452</v>
      </c>
      <c r="B811" s="305"/>
      <c r="C811" s="61">
        <v>95695835.840200007</v>
      </c>
      <c r="D811" s="308">
        <f>D757</f>
        <v>7.2030000000000003</v>
      </c>
      <c r="E811" s="490" t="s">
        <v>362</v>
      </c>
      <c r="F811" s="490">
        <f>ROUND(D811/100*C811,0)</f>
        <v>6892971</v>
      </c>
      <c r="G811" s="308">
        <f>$G$757</f>
        <v>7.2030000000000003</v>
      </c>
      <c r="H811" s="490" t="s">
        <v>362</v>
      </c>
      <c r="I811" s="490">
        <f>ROUND(G811/100*$C811,0)</f>
        <v>6892971</v>
      </c>
      <c r="J811" s="490"/>
      <c r="K811" s="308" t="e">
        <f>$K$757</f>
        <v>#REF!</v>
      </c>
      <c r="L811" s="490" t="s">
        <v>362</v>
      </c>
      <c r="M811" s="490" t="e">
        <f>ROUND(K811/100*$C811,0)</f>
        <v>#REF!</v>
      </c>
      <c r="N811" s="490"/>
      <c r="O811" s="308" t="e">
        <f>$O$757</f>
        <v>#REF!</v>
      </c>
      <c r="P811" s="490" t="s">
        <v>362</v>
      </c>
      <c r="Q811" s="490" t="e">
        <f>ROUND(O811/100*$C811,0)</f>
        <v>#REF!</v>
      </c>
      <c r="R811" s="490"/>
      <c r="S811" s="308" t="e">
        <f>$S$757</f>
        <v>#REF!</v>
      </c>
      <c r="T811" s="490" t="s">
        <v>362</v>
      </c>
      <c r="U811" s="490" t="e">
        <f>ROUND(S811/100*$C811,0)</f>
        <v>#REF!</v>
      </c>
      <c r="V811" s="7"/>
      <c r="W811" s="31"/>
      <c r="X811" s="31"/>
      <c r="Y811" s="31"/>
      <c r="Z811" s="7"/>
      <c r="AA811" s="7"/>
      <c r="AB811" s="7"/>
      <c r="AC811" s="7"/>
      <c r="AD811" s="7"/>
      <c r="AE811" s="7"/>
      <c r="AF811" s="7"/>
      <c r="AG811" s="7"/>
      <c r="AH811" s="7"/>
      <c r="AI811" s="7"/>
      <c r="AJ811" s="7"/>
      <c r="AK811" s="7"/>
      <c r="AL811" s="7"/>
      <c r="AM811" s="7"/>
      <c r="AN811" s="7"/>
      <c r="AO811" s="7"/>
      <c r="AP811" s="7"/>
    </row>
    <row r="812" spans="1:42">
      <c r="A812" s="305" t="s">
        <v>388</v>
      </c>
      <c r="B812" s="305"/>
      <c r="C812" s="61">
        <v>43479</v>
      </c>
      <c r="D812" s="1027">
        <f>D758</f>
        <v>58</v>
      </c>
      <c r="E812" s="305" t="s">
        <v>362</v>
      </c>
      <c r="F812" s="490">
        <f>ROUND(D812/100*C812,0)</f>
        <v>25218</v>
      </c>
      <c r="G812" s="1027">
        <f>$G$758</f>
        <v>58</v>
      </c>
      <c r="H812" s="305" t="s">
        <v>362</v>
      </c>
      <c r="I812" s="490">
        <f>ROUND(G812*$C812/100,0)</f>
        <v>25218</v>
      </c>
      <c r="J812" s="490"/>
      <c r="K812" s="1027" t="e">
        <f>$K$758</f>
        <v>#REF!</v>
      </c>
      <c r="L812" s="305" t="s">
        <v>362</v>
      </c>
      <c r="M812" s="490" t="e">
        <f>ROUND(K812*$C812/100,0)</f>
        <v>#REF!</v>
      </c>
      <c r="N812" s="490"/>
      <c r="O812" s="1027" t="e">
        <f>$O$758</f>
        <v>#REF!</v>
      </c>
      <c r="P812" s="305" t="s">
        <v>362</v>
      </c>
      <c r="Q812" s="490" t="e">
        <f>ROUND(O812*$C812/100,0)</f>
        <v>#REF!</v>
      </c>
      <c r="R812" s="490"/>
      <c r="S812" s="1027" t="e">
        <f>$S$758</f>
        <v>#REF!</v>
      </c>
      <c r="T812" s="305" t="s">
        <v>362</v>
      </c>
      <c r="U812" s="490" t="e">
        <f>ROUND(S812*$C812/100,0)</f>
        <v>#REF!</v>
      </c>
      <c r="V812" s="7"/>
      <c r="W812" s="31"/>
      <c r="X812" s="31"/>
      <c r="Y812" s="31"/>
      <c r="Z812" s="7"/>
      <c r="AA812" s="7"/>
      <c r="AB812" s="7"/>
      <c r="AC812" s="7"/>
      <c r="AD812" s="7"/>
      <c r="AE812" s="7"/>
      <c r="AF812" s="7"/>
      <c r="AG812" s="7"/>
      <c r="AH812" s="7"/>
      <c r="AI812" s="7"/>
      <c r="AJ812" s="7"/>
      <c r="AK812" s="7"/>
      <c r="AL812" s="7"/>
      <c r="AM812" s="7"/>
      <c r="AN812" s="7"/>
      <c r="AO812" s="7"/>
      <c r="AP812" s="7"/>
    </row>
    <row r="813" spans="1:42">
      <c r="A813" s="244" t="s">
        <v>389</v>
      </c>
      <c r="B813" s="305"/>
      <c r="C813" s="61"/>
      <c r="D813" s="1023">
        <v>-0.01</v>
      </c>
      <c r="E813" s="305"/>
      <c r="F813" s="490"/>
      <c r="G813" s="1023">
        <v>-0.01</v>
      </c>
      <c r="H813" s="305"/>
      <c r="I813" s="490"/>
      <c r="J813" s="490"/>
      <c r="K813" s="1023">
        <v>-0.01</v>
      </c>
      <c r="L813" s="305"/>
      <c r="M813" s="490"/>
      <c r="N813" s="490"/>
      <c r="O813" s="1023">
        <v>-0.01</v>
      </c>
      <c r="P813" s="305"/>
      <c r="Q813" s="490"/>
      <c r="R813" s="490"/>
      <c r="S813" s="1023">
        <v>-0.01</v>
      </c>
      <c r="T813" s="305"/>
      <c r="U813" s="490"/>
      <c r="V813" s="7"/>
      <c r="W813" s="31"/>
      <c r="X813" s="31"/>
      <c r="Y813" s="31"/>
      <c r="Z813" s="7"/>
      <c r="AA813" s="7"/>
      <c r="AB813" s="7"/>
      <c r="AC813" s="7"/>
      <c r="AD813" s="7"/>
      <c r="AE813" s="7"/>
      <c r="AF813" s="7"/>
      <c r="AG813" s="7"/>
      <c r="AH813" s="7"/>
      <c r="AI813" s="7"/>
      <c r="AJ813" s="7"/>
      <c r="AK813" s="7"/>
      <c r="AL813" s="7"/>
      <c r="AM813" s="7"/>
      <c r="AN813" s="7"/>
      <c r="AO813" s="7"/>
      <c r="AP813" s="7"/>
    </row>
    <row r="814" spans="1:42">
      <c r="A814" s="305" t="s">
        <v>378</v>
      </c>
      <c r="B814" s="305"/>
      <c r="C814" s="61">
        <v>0</v>
      </c>
      <c r="D814" s="237">
        <v>0</v>
      </c>
      <c r="E814" s="1009"/>
      <c r="F814" s="490">
        <f>ROUND(D814*C814*$D$761,0)</f>
        <v>0</v>
      </c>
      <c r="G814" s="237">
        <f>G791</f>
        <v>0</v>
      </c>
      <c r="H814" s="1009"/>
      <c r="I814" s="490">
        <f>ROUND(G814*$C814*$G$813,0)</f>
        <v>0</v>
      </c>
      <c r="J814" s="490"/>
      <c r="K814" s="237">
        <f>K791</f>
        <v>0</v>
      </c>
      <c r="L814" s="1009"/>
      <c r="M814" s="490">
        <f>ROUND(K814*$C814*$G$813,0)</f>
        <v>0</v>
      </c>
      <c r="N814" s="490"/>
      <c r="O814" s="237" t="e">
        <f>O791</f>
        <v>#REF!</v>
      </c>
      <c r="P814" s="1009"/>
      <c r="Q814" s="490" t="e">
        <f>ROUND(O814*$C814*$G$813,0)</f>
        <v>#REF!</v>
      </c>
      <c r="R814" s="490"/>
      <c r="S814" s="237" t="e">
        <f>S791</f>
        <v>#REF!</v>
      </c>
      <c r="T814" s="1009"/>
      <c r="U814" s="490" t="e">
        <f>ROUND(S814*$C814*$G$813,0)</f>
        <v>#REF!</v>
      </c>
      <c r="V814" s="7"/>
      <c r="W814" s="31"/>
      <c r="X814" s="31"/>
      <c r="Y814" s="31"/>
      <c r="Z814" s="7"/>
      <c r="AA814" s="7"/>
      <c r="AB814" s="7"/>
      <c r="AC814" s="7"/>
      <c r="AD814" s="7"/>
      <c r="AE814" s="7"/>
      <c r="AF814" s="7"/>
      <c r="AG814" s="7"/>
      <c r="AH814" s="7"/>
      <c r="AI814" s="7"/>
      <c r="AJ814" s="7"/>
      <c r="AK814" s="7"/>
      <c r="AL814" s="7"/>
      <c r="AM814" s="7"/>
      <c r="AN814" s="7"/>
      <c r="AO814" s="7"/>
      <c r="AP814" s="7"/>
    </row>
    <row r="815" spans="1:42">
      <c r="A815" s="305" t="s">
        <v>379</v>
      </c>
      <c r="B815" s="305"/>
      <c r="C815" s="61"/>
      <c r="D815" s="237"/>
      <c r="E815" s="1009"/>
      <c r="F815" s="490"/>
      <c r="G815" s="237"/>
      <c r="H815" s="1009"/>
      <c r="I815" s="490"/>
      <c r="J815" s="490"/>
      <c r="K815" s="237"/>
      <c r="L815" s="1009"/>
      <c r="M815" s="490"/>
      <c r="N815" s="490"/>
      <c r="O815" s="237"/>
      <c r="P815" s="1009"/>
      <c r="Q815" s="490"/>
      <c r="R815" s="490"/>
      <c r="S815" s="237"/>
      <c r="T815" s="1009"/>
      <c r="U815" s="490"/>
      <c r="V815" s="7"/>
      <c r="W815" s="31"/>
      <c r="X815" s="31"/>
      <c r="Y815" s="31"/>
      <c r="Z815" s="7"/>
      <c r="AA815" s="7"/>
      <c r="AB815" s="7"/>
      <c r="AC815" s="7"/>
      <c r="AD815" s="7"/>
      <c r="AE815" s="7"/>
      <c r="AF815" s="7"/>
      <c r="AG815" s="7"/>
      <c r="AH815" s="7"/>
      <c r="AI815" s="7"/>
      <c r="AJ815" s="7"/>
      <c r="AK815" s="7"/>
      <c r="AL815" s="7"/>
      <c r="AM815" s="7"/>
      <c r="AN815" s="7"/>
      <c r="AO815" s="7"/>
      <c r="AP815" s="7"/>
    </row>
    <row r="816" spans="1:42">
      <c r="A816" s="305" t="s">
        <v>440</v>
      </c>
      <c r="B816" s="305"/>
      <c r="C816" s="61">
        <v>1</v>
      </c>
      <c r="D816" s="237">
        <f>D793</f>
        <v>0</v>
      </c>
      <c r="E816" s="1009"/>
      <c r="F816" s="490">
        <f>ROUND(D816*C816*$D$761,0)</f>
        <v>0</v>
      </c>
      <c r="G816" s="237">
        <f>G793</f>
        <v>0</v>
      </c>
      <c r="H816" s="1009"/>
      <c r="I816" s="490">
        <f>ROUND(G816*$C816*$G$813,0)</f>
        <v>0</v>
      </c>
      <c r="J816" s="490"/>
      <c r="K816" s="237">
        <f>K793</f>
        <v>0</v>
      </c>
      <c r="L816" s="1009"/>
      <c r="M816" s="490">
        <f>ROUND(K816*$C816*$G$813,0)</f>
        <v>0</v>
      </c>
      <c r="N816" s="490"/>
      <c r="O816" s="237" t="e">
        <f>O793</f>
        <v>#REF!</v>
      </c>
      <c r="P816" s="1009"/>
      <c r="Q816" s="490" t="e">
        <f>ROUND(O816*$C816*$G$813,0)</f>
        <v>#REF!</v>
      </c>
      <c r="R816" s="490"/>
      <c r="S816" s="237" t="e">
        <f>S793</f>
        <v>#REF!</v>
      </c>
      <c r="T816" s="1009"/>
      <c r="U816" s="490" t="e">
        <f>ROUND(S816*$C816*$G$813,0)</f>
        <v>#REF!</v>
      </c>
      <c r="V816" s="7"/>
      <c r="W816" s="31"/>
      <c r="X816" s="31"/>
      <c r="Y816" s="31"/>
      <c r="Z816" s="7"/>
      <c r="AA816" s="7"/>
      <c r="AB816" s="7"/>
      <c r="AC816" s="7"/>
      <c r="AD816" s="7"/>
      <c r="AE816" s="7"/>
      <c r="AF816" s="7"/>
      <c r="AG816" s="7"/>
      <c r="AH816" s="7"/>
      <c r="AI816" s="7"/>
      <c r="AJ816" s="7"/>
      <c r="AK816" s="7"/>
      <c r="AL816" s="7"/>
      <c r="AM816" s="7"/>
      <c r="AN816" s="7"/>
      <c r="AO816" s="7"/>
      <c r="AP816" s="7"/>
    </row>
    <row r="817" spans="1:42">
      <c r="A817" s="305" t="s">
        <v>441</v>
      </c>
      <c r="B817" s="305"/>
      <c r="C817" s="61">
        <v>0</v>
      </c>
      <c r="D817" s="237">
        <f t="shared" ref="D817:D818" si="162">D794</f>
        <v>379</v>
      </c>
      <c r="E817" s="1009"/>
      <c r="F817" s="490">
        <f>ROUND(D817*C817*$D$761,0)</f>
        <v>0</v>
      </c>
      <c r="G817" s="237">
        <f>G794</f>
        <v>379</v>
      </c>
      <c r="H817" s="1009"/>
      <c r="I817" s="490">
        <f>ROUND(G817*$C817*$G$813,0)</f>
        <v>0</v>
      </c>
      <c r="J817" s="490"/>
      <c r="K817" s="237">
        <f>K794</f>
        <v>379</v>
      </c>
      <c r="L817" s="1009"/>
      <c r="M817" s="490">
        <f>ROUND(K817*$C817*$G$813,0)</f>
        <v>0</v>
      </c>
      <c r="N817" s="490"/>
      <c r="O817" s="237" t="e">
        <f>O794</f>
        <v>#REF!</v>
      </c>
      <c r="P817" s="1009"/>
      <c r="Q817" s="490" t="e">
        <f>ROUND(O817*$C817*$G$813,0)</f>
        <v>#REF!</v>
      </c>
      <c r="R817" s="490"/>
      <c r="S817" s="237" t="e">
        <f>S794</f>
        <v>#REF!</v>
      </c>
      <c r="T817" s="1009"/>
      <c r="U817" s="490" t="e">
        <f>ROUND(S817*$C817*$G$813,0)</f>
        <v>#REF!</v>
      </c>
      <c r="V817" s="7"/>
      <c r="W817" s="31"/>
      <c r="X817" s="31"/>
      <c r="Y817" s="31"/>
      <c r="Z817" s="7"/>
      <c r="AA817" s="7"/>
      <c r="AB817" s="7"/>
      <c r="AC817" s="7"/>
      <c r="AD817" s="7"/>
      <c r="AE817" s="7"/>
      <c r="AF817" s="7"/>
      <c r="AG817" s="7"/>
      <c r="AH817" s="7"/>
      <c r="AI817" s="7"/>
      <c r="AJ817" s="7"/>
      <c r="AK817" s="7"/>
      <c r="AL817" s="7"/>
      <c r="AM817" s="7"/>
      <c r="AN817" s="7"/>
      <c r="AO817" s="7"/>
      <c r="AP817" s="7"/>
    </row>
    <row r="818" spans="1:42">
      <c r="A818" s="305" t="s">
        <v>442</v>
      </c>
      <c r="B818" s="305"/>
      <c r="C818" s="61">
        <v>0</v>
      </c>
      <c r="D818" s="237">
        <f t="shared" si="162"/>
        <v>1539</v>
      </c>
      <c r="E818" s="1009"/>
      <c r="F818" s="490">
        <f>ROUND(D818*C818*$D$761,0)</f>
        <v>0</v>
      </c>
      <c r="G818" s="237">
        <f>G795</f>
        <v>1539</v>
      </c>
      <c r="H818" s="1009"/>
      <c r="I818" s="490">
        <f>ROUND(G818*$C818*$G$813,0)</f>
        <v>0</v>
      </c>
      <c r="J818" s="490"/>
      <c r="K818" s="237">
        <f>K795</f>
        <v>1539</v>
      </c>
      <c r="L818" s="1009"/>
      <c r="M818" s="490">
        <f>ROUND(K818*$C818*$G$813,0)</f>
        <v>0</v>
      </c>
      <c r="N818" s="490"/>
      <c r="O818" s="237" t="e">
        <f>O795</f>
        <v>#REF!</v>
      </c>
      <c r="P818" s="1009"/>
      <c r="Q818" s="490" t="e">
        <f>ROUND(O818*$C818*$G$813,0)</f>
        <v>#REF!</v>
      </c>
      <c r="R818" s="490"/>
      <c r="S818" s="237" t="e">
        <f>S795</f>
        <v>#REF!</v>
      </c>
      <c r="T818" s="1009"/>
      <c r="U818" s="490" t="e">
        <f>ROUND(S818*$C818*$G$813,0)</f>
        <v>#REF!</v>
      </c>
      <c r="V818" s="7"/>
      <c r="W818" s="31"/>
      <c r="X818" s="31"/>
      <c r="Y818" s="31"/>
      <c r="Z818" s="7"/>
      <c r="AA818" s="7"/>
      <c r="AB818" s="7"/>
      <c r="AC818" s="7"/>
      <c r="AD818" s="7"/>
      <c r="AE818" s="7"/>
      <c r="AF818" s="7"/>
      <c r="AG818" s="7"/>
      <c r="AH818" s="7"/>
      <c r="AI818" s="7"/>
      <c r="AJ818" s="7"/>
      <c r="AK818" s="7"/>
      <c r="AL818" s="7"/>
      <c r="AM818" s="7"/>
      <c r="AN818" s="7"/>
      <c r="AO818" s="7"/>
      <c r="AP818" s="7"/>
    </row>
    <row r="819" spans="1:42">
      <c r="A819" s="305" t="s">
        <v>378</v>
      </c>
      <c r="B819" s="305"/>
      <c r="C819" s="61">
        <v>0</v>
      </c>
      <c r="D819" s="237">
        <f>D791</f>
        <v>0</v>
      </c>
      <c r="E819" s="1009"/>
      <c r="F819" s="490">
        <f>ROUND(D819*C819*$D$761,0)</f>
        <v>0</v>
      </c>
      <c r="G819" s="237">
        <f>G800</f>
        <v>26.61</v>
      </c>
      <c r="H819" s="1009"/>
      <c r="I819" s="490">
        <f>ROUND(G819*$C819*$G$813,0)</f>
        <v>0</v>
      </c>
      <c r="J819" s="490"/>
      <c r="K819" s="237" t="e">
        <f>K800</f>
        <v>#REF!</v>
      </c>
      <c r="L819" s="1009"/>
      <c r="M819" s="490" t="e">
        <f>ROUND(K819*$C819*$G$813,0)</f>
        <v>#REF!</v>
      </c>
      <c r="N819" s="490"/>
      <c r="O819" s="237" t="e">
        <f>O800</f>
        <v>#REF!</v>
      </c>
      <c r="P819" s="1009"/>
      <c r="Q819" s="490" t="e">
        <f>ROUND(O819*$C819*$G$813,0)</f>
        <v>#REF!</v>
      </c>
      <c r="R819" s="490"/>
      <c r="S819" s="237" t="e">
        <f>S800</f>
        <v>#REF!</v>
      </c>
      <c r="T819" s="1009"/>
      <c r="U819" s="490" t="e">
        <f>ROUND(S819*$C819*$G$813,0)</f>
        <v>#REF!</v>
      </c>
      <c r="V819" s="7"/>
      <c r="W819" s="31"/>
      <c r="X819" s="31"/>
      <c r="Y819" s="31"/>
      <c r="Z819" s="7"/>
      <c r="AA819" s="7"/>
      <c r="AB819" s="7"/>
      <c r="AC819" s="7"/>
      <c r="AD819" s="7"/>
      <c r="AE819" s="7"/>
      <c r="AF819" s="7"/>
      <c r="AG819" s="7"/>
      <c r="AH819" s="7"/>
      <c r="AI819" s="7"/>
      <c r="AJ819" s="7"/>
      <c r="AK819" s="7"/>
      <c r="AL819" s="7"/>
      <c r="AM819" s="7"/>
      <c r="AN819" s="7"/>
      <c r="AO819" s="7"/>
      <c r="AP819" s="7"/>
    </row>
    <row r="820" spans="1:42">
      <c r="A820" s="305" t="s">
        <v>379</v>
      </c>
      <c r="B820" s="305"/>
      <c r="C820" s="61"/>
      <c r="D820" s="237"/>
      <c r="E820" s="1009"/>
      <c r="F820" s="490"/>
      <c r="G820" s="237"/>
      <c r="H820" s="1009"/>
      <c r="I820" s="490"/>
      <c r="J820" s="490"/>
      <c r="K820" s="237"/>
      <c r="L820" s="1009"/>
      <c r="M820" s="490"/>
      <c r="N820" s="490"/>
      <c r="O820" s="237"/>
      <c r="P820" s="1009"/>
      <c r="Q820" s="490"/>
      <c r="R820" s="490"/>
      <c r="S820" s="237"/>
      <c r="T820" s="1009"/>
      <c r="U820" s="490"/>
      <c r="V820" s="7"/>
      <c r="W820" s="31"/>
      <c r="X820" s="31"/>
      <c r="Y820" s="31"/>
      <c r="Z820" s="7"/>
      <c r="AA820" s="7"/>
      <c r="AB820" s="7"/>
      <c r="AC820" s="7"/>
      <c r="AD820" s="7"/>
      <c r="AE820" s="7"/>
      <c r="AF820" s="7"/>
      <c r="AG820" s="7"/>
      <c r="AH820" s="7"/>
      <c r="AI820" s="7"/>
      <c r="AJ820" s="7"/>
      <c r="AK820" s="7"/>
      <c r="AL820" s="7"/>
      <c r="AM820" s="7"/>
      <c r="AN820" s="7"/>
      <c r="AO820" s="7"/>
      <c r="AP820" s="7"/>
    </row>
    <row r="821" spans="1:42">
      <c r="A821" s="305" t="s">
        <v>440</v>
      </c>
      <c r="B821" s="305"/>
      <c r="C821" s="61">
        <v>39</v>
      </c>
      <c r="D821" s="237">
        <f>D802</f>
        <v>26.63</v>
      </c>
      <c r="E821" s="1009"/>
      <c r="F821" s="490">
        <f>ROUND(D821*C821*$D$761,0)</f>
        <v>-10</v>
      </c>
      <c r="G821" s="237">
        <f>G802</f>
        <v>26.68</v>
      </c>
      <c r="H821" s="1009"/>
      <c r="I821" s="490">
        <f>ROUND(G821*$C821*$G$813,0)</f>
        <v>-10</v>
      </c>
      <c r="J821" s="490"/>
      <c r="K821" s="237" t="e">
        <f>K802</f>
        <v>#REF!</v>
      </c>
      <c r="L821" s="1009"/>
      <c r="M821" s="490" t="e">
        <f>ROUND(K821*$C821*$G$813,0)</f>
        <v>#REF!</v>
      </c>
      <c r="N821" s="490"/>
      <c r="O821" s="237" t="e">
        <f>O802</f>
        <v>#REF!</v>
      </c>
      <c r="P821" s="1009"/>
      <c r="Q821" s="490" t="e">
        <f>ROUND(O821*$C821*$G$813,0)</f>
        <v>#REF!</v>
      </c>
      <c r="R821" s="490"/>
      <c r="S821" s="237" t="e">
        <f>S802</f>
        <v>#REF!</v>
      </c>
      <c r="T821" s="1009"/>
      <c r="U821" s="490" t="e">
        <f>ROUND(S821*$C821*$G$813,0)</f>
        <v>#REF!</v>
      </c>
      <c r="V821" s="7"/>
      <c r="W821" s="31"/>
      <c r="X821" s="31"/>
      <c r="Y821" s="31"/>
      <c r="Z821" s="7"/>
      <c r="AA821" s="7"/>
      <c r="AB821" s="7"/>
      <c r="AC821" s="7"/>
      <c r="AD821" s="7"/>
      <c r="AE821" s="7"/>
      <c r="AF821" s="7"/>
      <c r="AG821" s="7"/>
      <c r="AH821" s="7"/>
      <c r="AI821" s="7"/>
      <c r="AJ821" s="7"/>
      <c r="AK821" s="7"/>
      <c r="AL821" s="7"/>
      <c r="AM821" s="7"/>
      <c r="AN821" s="7"/>
      <c r="AO821" s="7"/>
      <c r="AP821" s="7"/>
    </row>
    <row r="822" spans="1:42">
      <c r="A822" s="305" t="s">
        <v>441</v>
      </c>
      <c r="B822" s="305"/>
      <c r="C822" s="61">
        <v>0</v>
      </c>
      <c r="D822" s="237">
        <f t="shared" ref="D822:D825" si="163">D803</f>
        <v>18.53</v>
      </c>
      <c r="E822" s="1009"/>
      <c r="F822" s="490">
        <f>ROUND(D822*C822*$D$761,0)</f>
        <v>0</v>
      </c>
      <c r="G822" s="237">
        <f>G803</f>
        <v>18.540000000000003</v>
      </c>
      <c r="H822" s="1009"/>
      <c r="I822" s="490">
        <f>ROUND(G822*$C822*$G$813,0)</f>
        <v>0</v>
      </c>
      <c r="J822" s="490"/>
      <c r="K822" s="237" t="e">
        <f>K803</f>
        <v>#REF!</v>
      </c>
      <c r="L822" s="1009"/>
      <c r="M822" s="490" t="e">
        <f>ROUND(K822*$C822*$G$813,0)</f>
        <v>#REF!</v>
      </c>
      <c r="N822" s="490"/>
      <c r="O822" s="237" t="e">
        <f>O803</f>
        <v>#REF!</v>
      </c>
      <c r="P822" s="1009"/>
      <c r="Q822" s="490" t="e">
        <f>ROUND(O822*$C822*$G$813,0)</f>
        <v>#REF!</v>
      </c>
      <c r="R822" s="490"/>
      <c r="S822" s="237" t="e">
        <f>S803</f>
        <v>#REF!</v>
      </c>
      <c r="T822" s="1009"/>
      <c r="U822" s="490" t="e">
        <f>ROUND(S822*$C822*$G$813,0)</f>
        <v>#REF!</v>
      </c>
      <c r="V822" s="7"/>
      <c r="W822" s="31"/>
      <c r="X822" s="31"/>
      <c r="Y822" s="31"/>
      <c r="Z822" s="7"/>
      <c r="AA822" s="7"/>
      <c r="AB822" s="7"/>
      <c r="AC822" s="7"/>
      <c r="AD822" s="7"/>
      <c r="AE822" s="7"/>
      <c r="AF822" s="7"/>
      <c r="AG822" s="7"/>
      <c r="AH822" s="7"/>
      <c r="AI822" s="7"/>
      <c r="AJ822" s="7"/>
      <c r="AK822" s="7"/>
      <c r="AL822" s="7"/>
      <c r="AM822" s="7"/>
      <c r="AN822" s="7"/>
      <c r="AO822" s="7"/>
      <c r="AP822" s="7"/>
    </row>
    <row r="823" spans="1:42">
      <c r="A823" s="305" t="s">
        <v>442</v>
      </c>
      <c r="B823" s="305"/>
      <c r="C823" s="61">
        <v>0</v>
      </c>
      <c r="D823" s="237">
        <f t="shared" si="163"/>
        <v>14.49</v>
      </c>
      <c r="E823" s="1009"/>
      <c r="F823" s="490">
        <f>ROUND(D823*C823*$D$761,0)</f>
        <v>0</v>
      </c>
      <c r="G823" s="237">
        <f>G804</f>
        <v>14.49</v>
      </c>
      <c r="H823" s="1009"/>
      <c r="I823" s="490">
        <f>ROUND(G823*$C823*$G$813,0)</f>
        <v>0</v>
      </c>
      <c r="J823" s="490"/>
      <c r="K823" s="237" t="e">
        <f>K804</f>
        <v>#REF!</v>
      </c>
      <c r="L823" s="1009"/>
      <c r="M823" s="490" t="e">
        <f>ROUND(K823*$C823*$G$813,0)</f>
        <v>#REF!</v>
      </c>
      <c r="N823" s="490"/>
      <c r="O823" s="237" t="e">
        <f>O804</f>
        <v>#REF!</v>
      </c>
      <c r="P823" s="1009"/>
      <c r="Q823" s="490" t="e">
        <f>ROUND(O823*$C823*$G$813,0)</f>
        <v>#REF!</v>
      </c>
      <c r="R823" s="490"/>
      <c r="S823" s="237" t="e">
        <f>S804</f>
        <v>#REF!</v>
      </c>
      <c r="T823" s="1009"/>
      <c r="U823" s="490" t="e">
        <f>ROUND(S823*$C823*$G$813,0)</f>
        <v>#REF!</v>
      </c>
      <c r="V823" s="7"/>
      <c r="W823" s="31"/>
      <c r="X823" s="31"/>
      <c r="Y823" s="31"/>
      <c r="Z823" s="7"/>
      <c r="AA823" s="7"/>
      <c r="AB823" s="7"/>
      <c r="AC823" s="7"/>
      <c r="AD823" s="7"/>
      <c r="AE823" s="7"/>
      <c r="AF823" s="7"/>
      <c r="AG823" s="7"/>
      <c r="AH823" s="7"/>
      <c r="AI823" s="7"/>
      <c r="AJ823" s="7"/>
      <c r="AK823" s="7"/>
      <c r="AL823" s="7"/>
      <c r="AM823" s="7"/>
      <c r="AN823" s="7"/>
      <c r="AO823" s="7"/>
      <c r="AP823" s="7"/>
    </row>
    <row r="824" spans="1:42">
      <c r="A824" s="305" t="s">
        <v>453</v>
      </c>
      <c r="B824" s="305"/>
      <c r="C824" s="61">
        <v>0</v>
      </c>
      <c r="D824" s="237">
        <f t="shared" si="163"/>
        <v>79.89</v>
      </c>
      <c r="E824" s="1009"/>
      <c r="F824" s="490">
        <f>ROUND(D824*C824*$D$761,0)</f>
        <v>0</v>
      </c>
      <c r="G824" s="237">
        <f>G805</f>
        <v>79.83</v>
      </c>
      <c r="H824" s="1009"/>
      <c r="I824" s="490">
        <f>ROUND(G824*$C824*$G$813,0)</f>
        <v>0</v>
      </c>
      <c r="J824" s="490"/>
      <c r="K824" s="237" t="e">
        <f>K805</f>
        <v>#REF!</v>
      </c>
      <c r="L824" s="1009"/>
      <c r="M824" s="490" t="e">
        <f>ROUND(K824*$C824*$G$813,0)</f>
        <v>#REF!</v>
      </c>
      <c r="N824" s="490"/>
      <c r="O824" s="237" t="e">
        <f>O805</f>
        <v>#REF!</v>
      </c>
      <c r="P824" s="1009"/>
      <c r="Q824" s="490" t="e">
        <f>ROUND(O824*$C824*$G$813,0)</f>
        <v>#REF!</v>
      </c>
      <c r="R824" s="490"/>
      <c r="S824" s="237" t="e">
        <f>S805</f>
        <v>#REF!</v>
      </c>
      <c r="T824" s="1009"/>
      <c r="U824" s="490" t="e">
        <f>ROUND(S824*$C824*$G$813,0)</f>
        <v>#REF!</v>
      </c>
      <c r="V824" s="7"/>
      <c r="W824" s="31"/>
      <c r="X824" s="31"/>
      <c r="Y824" s="31"/>
      <c r="Z824" s="7"/>
      <c r="AA824" s="7"/>
      <c r="AB824" s="7"/>
      <c r="AC824" s="7"/>
      <c r="AD824" s="7"/>
      <c r="AE824" s="7"/>
      <c r="AF824" s="7"/>
      <c r="AG824" s="7"/>
      <c r="AH824" s="7"/>
      <c r="AI824" s="7"/>
      <c r="AJ824" s="7"/>
      <c r="AK824" s="7"/>
      <c r="AL824" s="7"/>
      <c r="AM824" s="7"/>
      <c r="AN824" s="7"/>
      <c r="AO824" s="7"/>
      <c r="AP824" s="7"/>
    </row>
    <row r="825" spans="1:42">
      <c r="A825" s="305" t="s">
        <v>454</v>
      </c>
      <c r="B825" s="305"/>
      <c r="C825" s="61">
        <v>0</v>
      </c>
      <c r="D825" s="237">
        <f t="shared" si="163"/>
        <v>159.78</v>
      </c>
      <c r="E825" s="1009"/>
      <c r="F825" s="490">
        <f>ROUND(D825*C825*$D$761,0)</f>
        <v>0</v>
      </c>
      <c r="G825" s="237">
        <f>G806</f>
        <v>160.07999999999998</v>
      </c>
      <c r="H825" s="1009"/>
      <c r="I825" s="490">
        <f>ROUND(G825*$C825*$G$813,0)</f>
        <v>0</v>
      </c>
      <c r="J825" s="490"/>
      <c r="K825" s="237" t="e">
        <f>K806</f>
        <v>#REF!</v>
      </c>
      <c r="L825" s="1009"/>
      <c r="M825" s="490" t="e">
        <f>ROUND(K825*$C825*$G$813,0)</f>
        <v>#REF!</v>
      </c>
      <c r="N825" s="490"/>
      <c r="O825" s="237" t="e">
        <f>O806</f>
        <v>#REF!</v>
      </c>
      <c r="P825" s="1009"/>
      <c r="Q825" s="490" t="e">
        <f>ROUND(O825*$C825*$G$813,0)</f>
        <v>#REF!</v>
      </c>
      <c r="R825" s="490"/>
      <c r="S825" s="237" t="e">
        <f>S806</f>
        <v>#REF!</v>
      </c>
      <c r="T825" s="1009"/>
      <c r="U825" s="490" t="e">
        <f>ROUND(S825*$C825*$G$813,0)</f>
        <v>#REF!</v>
      </c>
      <c r="V825" s="7"/>
      <c r="W825" s="31"/>
      <c r="X825" s="31"/>
      <c r="Y825" s="31"/>
      <c r="Z825" s="7"/>
      <c r="AA825" s="7"/>
      <c r="AB825" s="7"/>
      <c r="AC825" s="7"/>
      <c r="AD825" s="7"/>
      <c r="AE825" s="7"/>
      <c r="AF825" s="7"/>
      <c r="AG825" s="7"/>
      <c r="AH825" s="7"/>
      <c r="AI825" s="7"/>
      <c r="AJ825" s="7"/>
      <c r="AK825" s="7"/>
      <c r="AL825" s="7"/>
      <c r="AM825" s="7"/>
      <c r="AN825" s="7"/>
      <c r="AO825" s="7"/>
      <c r="AP825" s="7"/>
    </row>
    <row r="826" spans="1:42">
      <c r="A826" s="305" t="s">
        <v>450</v>
      </c>
      <c r="B826" s="305"/>
      <c r="C826" s="61"/>
      <c r="D826" s="237"/>
      <c r="E826" s="1009"/>
      <c r="F826" s="490"/>
      <c r="G826" s="237"/>
      <c r="H826" s="1009"/>
      <c r="I826" s="490"/>
      <c r="J826" s="490"/>
      <c r="K826" s="237"/>
      <c r="L826" s="1009"/>
      <c r="M826" s="490"/>
      <c r="N826" s="490"/>
      <c r="O826" s="237"/>
      <c r="P826" s="1009"/>
      <c r="Q826" s="490"/>
      <c r="R826" s="490"/>
      <c r="S826" s="237"/>
      <c r="T826" s="1009"/>
      <c r="U826" s="490"/>
      <c r="V826" s="7"/>
      <c r="W826" s="31"/>
      <c r="X826" s="31"/>
      <c r="Y826" s="31"/>
      <c r="Z826" s="7"/>
      <c r="AA826" s="7"/>
      <c r="AB826" s="7"/>
      <c r="AC826" s="7"/>
      <c r="AD826" s="7"/>
      <c r="AE826" s="7"/>
      <c r="AF826" s="7"/>
      <c r="AG826" s="7"/>
      <c r="AH826" s="7"/>
      <c r="AI826" s="7"/>
      <c r="AJ826" s="7"/>
      <c r="AK826" s="7"/>
      <c r="AL826" s="7"/>
      <c r="AM826" s="7"/>
      <c r="AN826" s="7"/>
      <c r="AO826" s="7"/>
      <c r="AP826" s="7"/>
    </row>
    <row r="827" spans="1:42">
      <c r="A827" s="305" t="s">
        <v>445</v>
      </c>
      <c r="B827" s="305"/>
      <c r="C827" s="61">
        <v>0</v>
      </c>
      <c r="D827" s="237">
        <f>D808</f>
        <v>-26.63</v>
      </c>
      <c r="E827" s="1009"/>
      <c r="F827" s="490">
        <f>ROUND(D827*C827*$D$761,0)</f>
        <v>0</v>
      </c>
      <c r="G827" s="237">
        <f>G808</f>
        <v>-26.61</v>
      </c>
      <c r="H827" s="1009"/>
      <c r="I827" s="490">
        <f>ROUND(G827*$C827*$G$813,0)</f>
        <v>0</v>
      </c>
      <c r="J827" s="490"/>
      <c r="K827" s="237" t="e">
        <f>K808</f>
        <v>#REF!</v>
      </c>
      <c r="L827" s="1009"/>
      <c r="M827" s="490" t="e">
        <f>ROUND(K827*$C827*$G$813,0)</f>
        <v>#REF!</v>
      </c>
      <c r="N827" s="490"/>
      <c r="O827" s="237" t="e">
        <f>O808</f>
        <v>#REF!</v>
      </c>
      <c r="P827" s="1009"/>
      <c r="Q827" s="490" t="e">
        <f>ROUND(O827*$C827*$G$813,0)</f>
        <v>#REF!</v>
      </c>
      <c r="R827" s="490"/>
      <c r="S827" s="237" t="e">
        <f>S808</f>
        <v>#REF!</v>
      </c>
      <c r="T827" s="1009"/>
      <c r="U827" s="490" t="e">
        <f>ROUND(S827*$C827*$G$813,0)</f>
        <v>#REF!</v>
      </c>
      <c r="V827" s="7"/>
      <c r="W827" s="31"/>
      <c r="X827" s="31"/>
      <c r="Y827" s="31"/>
      <c r="Z827" s="7"/>
      <c r="AA827" s="7"/>
      <c r="AB827" s="7"/>
      <c r="AC827" s="7"/>
      <c r="AD827" s="7"/>
      <c r="AE827" s="7"/>
      <c r="AF827" s="7"/>
      <c r="AG827" s="7"/>
      <c r="AH827" s="7"/>
      <c r="AI827" s="7"/>
      <c r="AJ827" s="7"/>
      <c r="AK827" s="7"/>
      <c r="AL827" s="7"/>
      <c r="AM827" s="7"/>
      <c r="AN827" s="7"/>
      <c r="AO827" s="7"/>
      <c r="AP827" s="7"/>
    </row>
    <row r="828" spans="1:42">
      <c r="A828" s="305" t="s">
        <v>451</v>
      </c>
      <c r="B828" s="305"/>
      <c r="C828" s="61">
        <v>0</v>
      </c>
      <c r="D828" s="237">
        <f>D809</f>
        <v>-26.63</v>
      </c>
      <c r="E828" s="1009"/>
      <c r="F828" s="490">
        <f>ROUND(D828*C828*$D$761,0)</f>
        <v>0</v>
      </c>
      <c r="G828" s="237">
        <f>G809</f>
        <v>-26.68</v>
      </c>
      <c r="H828" s="1009"/>
      <c r="I828" s="490">
        <f>ROUND(G828*$C828*$G$813,0)</f>
        <v>0</v>
      </c>
      <c r="J828" s="490"/>
      <c r="K828" s="237" t="e">
        <f>K809</f>
        <v>#REF!</v>
      </c>
      <c r="L828" s="1009"/>
      <c r="M828" s="490" t="e">
        <f>ROUND(K828*$C828*$G$813,0)</f>
        <v>#REF!</v>
      </c>
      <c r="N828" s="490"/>
      <c r="O828" s="237" t="e">
        <f>O809</f>
        <v>#REF!</v>
      </c>
      <c r="P828" s="1009"/>
      <c r="Q828" s="490" t="e">
        <f>ROUND(O828*$C828*$G$813,0)</f>
        <v>#REF!</v>
      </c>
      <c r="R828" s="490"/>
      <c r="S828" s="237" t="e">
        <f>S809</f>
        <v>#REF!</v>
      </c>
      <c r="T828" s="1009"/>
      <c r="U828" s="490" t="e">
        <f>ROUND(S828*$C828*$G$813,0)</f>
        <v>#REF!</v>
      </c>
      <c r="V828" s="7"/>
      <c r="W828" s="31"/>
      <c r="X828" s="31"/>
      <c r="Y828" s="31"/>
      <c r="Z828" s="7"/>
      <c r="AA828" s="7"/>
      <c r="AB828" s="7"/>
      <c r="AC828" s="7"/>
      <c r="AD828" s="7"/>
      <c r="AE828" s="7"/>
      <c r="AF828" s="7"/>
      <c r="AG828" s="7"/>
      <c r="AH828" s="7"/>
      <c r="AI828" s="7"/>
      <c r="AJ828" s="7"/>
      <c r="AK828" s="7"/>
      <c r="AL828" s="7"/>
      <c r="AM828" s="7"/>
      <c r="AN828" s="7"/>
      <c r="AO828" s="7"/>
      <c r="AP828" s="7"/>
    </row>
    <row r="829" spans="1:42">
      <c r="A829" s="305" t="s">
        <v>414</v>
      </c>
      <c r="B829" s="305"/>
      <c r="C829" s="61"/>
      <c r="D829" s="237"/>
      <c r="E829" s="490"/>
      <c r="F829" s="490"/>
      <c r="G829" s="237"/>
      <c r="H829" s="490"/>
      <c r="I829" s="490"/>
      <c r="J829" s="490"/>
      <c r="K829" s="237"/>
      <c r="L829" s="490"/>
      <c r="M829" s="490"/>
      <c r="N829" s="490"/>
      <c r="O829" s="237"/>
      <c r="P829" s="490"/>
      <c r="Q829" s="490"/>
      <c r="R829" s="490"/>
      <c r="S829" s="237"/>
      <c r="T829" s="490"/>
      <c r="U829" s="490"/>
      <c r="V829" s="7"/>
      <c r="W829" s="31"/>
      <c r="X829" s="31"/>
      <c r="Y829" s="31"/>
      <c r="Z829" s="7"/>
      <c r="AA829" s="7"/>
      <c r="AB829" s="7"/>
      <c r="AC829" s="7"/>
      <c r="AD829" s="7"/>
      <c r="AE829" s="7"/>
      <c r="AF829" s="7"/>
      <c r="AG829" s="7"/>
      <c r="AH829" s="7"/>
      <c r="AI829" s="7"/>
      <c r="AJ829" s="7"/>
      <c r="AK829" s="7"/>
      <c r="AL829" s="7"/>
      <c r="AM829" s="7"/>
      <c r="AN829" s="7"/>
      <c r="AO829" s="7"/>
      <c r="AP829" s="7"/>
    </row>
    <row r="830" spans="1:42">
      <c r="A830" s="305" t="s">
        <v>452</v>
      </c>
      <c r="B830" s="305"/>
      <c r="C830" s="61">
        <v>9458</v>
      </c>
      <c r="D830" s="308">
        <f>D811</f>
        <v>7.2030000000000003</v>
      </c>
      <c r="E830" s="490" t="s">
        <v>362</v>
      </c>
      <c r="F830" s="490">
        <f>ROUND(D830*C830/100*D813,0)</f>
        <v>-7</v>
      </c>
      <c r="G830" s="308">
        <f>G811</f>
        <v>7.2030000000000003</v>
      </c>
      <c r="H830" s="490" t="s">
        <v>362</v>
      </c>
      <c r="I830" s="490">
        <f>ROUND(G830/100*$C830*$G$813,0)</f>
        <v>-7</v>
      </c>
      <c r="J830" s="490"/>
      <c r="K830" s="308" t="e">
        <f>K811</f>
        <v>#REF!</v>
      </c>
      <c r="L830" s="490" t="s">
        <v>362</v>
      </c>
      <c r="M830" s="490" t="e">
        <f>ROUND(K830/100*$C830*$G$813,0)</f>
        <v>#REF!</v>
      </c>
      <c r="N830" s="490"/>
      <c r="O830" s="308" t="e">
        <f>O811</f>
        <v>#REF!</v>
      </c>
      <c r="P830" s="490" t="s">
        <v>362</v>
      </c>
      <c r="Q830" s="490" t="e">
        <f>ROUND(O830/100*$C830*$G$813,0)</f>
        <v>#REF!</v>
      </c>
      <c r="R830" s="490"/>
      <c r="S830" s="308" t="e">
        <f>S811</f>
        <v>#REF!</v>
      </c>
      <c r="T830" s="490" t="s">
        <v>362</v>
      </c>
      <c r="U830" s="490" t="e">
        <f>ROUND(S830/100*$C830*$G$813,0)</f>
        <v>#REF!</v>
      </c>
      <c r="V830" s="7"/>
      <c r="W830" s="31"/>
      <c r="X830" s="31"/>
      <c r="Y830" s="31"/>
      <c r="Z830" s="7"/>
      <c r="AA830" s="7"/>
      <c r="AB830" s="7"/>
      <c r="AC830" s="7"/>
      <c r="AD830" s="7"/>
      <c r="AE830" s="7"/>
      <c r="AF830" s="7"/>
      <c r="AG830" s="7"/>
      <c r="AH830" s="7"/>
      <c r="AI830" s="7"/>
      <c r="AJ830" s="7"/>
      <c r="AK830" s="7"/>
      <c r="AL830" s="7"/>
      <c r="AM830" s="7"/>
      <c r="AN830" s="7"/>
      <c r="AO830" s="7"/>
      <c r="AP830" s="7"/>
    </row>
    <row r="831" spans="1:42">
      <c r="A831" s="305" t="s">
        <v>388</v>
      </c>
      <c r="B831" s="305"/>
      <c r="C831" s="61">
        <v>0</v>
      </c>
      <c r="D831" s="1021">
        <f>D812</f>
        <v>58</v>
      </c>
      <c r="E831" s="305" t="s">
        <v>362</v>
      </c>
      <c r="F831" s="490">
        <f>ROUND(D831*C831,0)</f>
        <v>0</v>
      </c>
      <c r="G831" s="1021">
        <f>G812</f>
        <v>58</v>
      </c>
      <c r="H831" s="305" t="s">
        <v>362</v>
      </c>
      <c r="I831" s="490">
        <f>ROUND(G831/100*$C831*$G$813,0)</f>
        <v>0</v>
      </c>
      <c r="J831" s="490"/>
      <c r="K831" s="1021" t="e">
        <f>K812</f>
        <v>#REF!</v>
      </c>
      <c r="L831" s="305" t="s">
        <v>362</v>
      </c>
      <c r="M831" s="490" t="e">
        <f>ROUND(K831/100*$C831*$G$813,0)</f>
        <v>#REF!</v>
      </c>
      <c r="N831" s="490"/>
      <c r="O831" s="1021" t="e">
        <f>O812</f>
        <v>#REF!</v>
      </c>
      <c r="P831" s="305" t="s">
        <v>362</v>
      </c>
      <c r="Q831" s="490" t="e">
        <f>ROUND(O831/100*$C831*$G$813,0)</f>
        <v>#REF!</v>
      </c>
      <c r="R831" s="490"/>
      <c r="S831" s="1021" t="e">
        <f>S812</f>
        <v>#REF!</v>
      </c>
      <c r="T831" s="305" t="s">
        <v>362</v>
      </c>
      <c r="U831" s="490" t="e">
        <f>ROUND(S831/100*$C831*$G$813,0)</f>
        <v>#REF!</v>
      </c>
      <c r="V831" s="7"/>
      <c r="W831" s="31"/>
      <c r="X831" s="31"/>
      <c r="Y831" s="31"/>
      <c r="Z831" s="7"/>
      <c r="AA831" s="7"/>
      <c r="AB831" s="7"/>
      <c r="AC831" s="7"/>
      <c r="AD831" s="7"/>
      <c r="AE831" s="7"/>
      <c r="AF831" s="7"/>
      <c r="AG831" s="7"/>
      <c r="AH831" s="7"/>
      <c r="AI831" s="7"/>
      <c r="AJ831" s="7"/>
      <c r="AK831" s="7"/>
      <c r="AL831" s="7"/>
      <c r="AM831" s="7"/>
      <c r="AN831" s="7"/>
      <c r="AO831" s="7"/>
      <c r="AP831" s="7"/>
    </row>
    <row r="832" spans="1:42">
      <c r="A832" s="305" t="s">
        <v>431</v>
      </c>
      <c r="B832" s="305"/>
      <c r="C832" s="61">
        <v>12</v>
      </c>
      <c r="D832" s="448">
        <v>60</v>
      </c>
      <c r="E832" s="305"/>
      <c r="F832" s="490">
        <f>ROUND(D832*$C832,0)</f>
        <v>720</v>
      </c>
      <c r="G832" s="448">
        <f>$G$780</f>
        <v>60</v>
      </c>
      <c r="H832" s="305"/>
      <c r="I832" s="490">
        <f>ROUND(G832*$C832,0)</f>
        <v>720</v>
      </c>
      <c r="J832" s="490"/>
      <c r="K832" s="448" t="e">
        <f>$K$780</f>
        <v>#REF!</v>
      </c>
      <c r="L832" s="305"/>
      <c r="M832" s="490" t="e">
        <f>ROUND(K832*$C832,0)</f>
        <v>#REF!</v>
      </c>
      <c r="N832" s="490"/>
      <c r="O832" s="448" t="e">
        <f>$O$780</f>
        <v>#REF!</v>
      </c>
      <c r="P832" s="305"/>
      <c r="Q832" s="490" t="e">
        <f>ROUND(O832*$C832,0)</f>
        <v>#REF!</v>
      </c>
      <c r="R832" s="490"/>
      <c r="S832" s="448" t="e">
        <f>$S$780</f>
        <v>#REF!</v>
      </c>
      <c r="T832" s="305"/>
      <c r="U832" s="490" t="e">
        <f>ROUND(S832*$C832,0)</f>
        <v>#REF!</v>
      </c>
      <c r="V832" s="7"/>
      <c r="W832" s="31"/>
      <c r="X832" s="31"/>
      <c r="Y832" s="31"/>
      <c r="Z832" s="7"/>
      <c r="AA832" s="7"/>
      <c r="AB832" s="7"/>
      <c r="AC832" s="7"/>
      <c r="AD832" s="7"/>
      <c r="AE832" s="7"/>
      <c r="AF832" s="7"/>
      <c r="AG832" s="7"/>
      <c r="AH832" s="7"/>
      <c r="AI832" s="7"/>
      <c r="AJ832" s="7"/>
      <c r="AK832" s="7"/>
      <c r="AL832" s="7"/>
      <c r="AM832" s="7"/>
      <c r="AN832" s="7"/>
      <c r="AO832" s="7"/>
      <c r="AP832" s="7"/>
    </row>
    <row r="833" spans="1:42">
      <c r="A833" s="305" t="s">
        <v>432</v>
      </c>
      <c r="B833" s="305"/>
      <c r="C833" s="61">
        <v>468</v>
      </c>
      <c r="D833" s="1027">
        <v>-30</v>
      </c>
      <c r="E833" s="490" t="s">
        <v>362</v>
      </c>
      <c r="F833" s="490">
        <f>ROUND(D833*$C833/100,0)</f>
        <v>-140</v>
      </c>
      <c r="G833" s="1027">
        <f>$G$781</f>
        <v>-30</v>
      </c>
      <c r="H833" s="490" t="s">
        <v>362</v>
      </c>
      <c r="I833" s="490">
        <f>ROUND(G833*$C833/100,0)</f>
        <v>-140</v>
      </c>
      <c r="J833" s="490"/>
      <c r="K833" s="1027" t="e">
        <f>$K$781</f>
        <v>#REF!</v>
      </c>
      <c r="L833" s="490" t="s">
        <v>362</v>
      </c>
      <c r="M833" s="490" t="e">
        <f>ROUND(K833*$C833/100,0)</f>
        <v>#REF!</v>
      </c>
      <c r="N833" s="490"/>
      <c r="O833" s="1027">
        <f>$O$781</f>
        <v>0</v>
      </c>
      <c r="P833" s="490" t="s">
        <v>362</v>
      </c>
      <c r="Q833" s="490">
        <f>ROUND(O833*$C833/100,0)</f>
        <v>0</v>
      </c>
      <c r="R833" s="490"/>
      <c r="S833" s="1027">
        <f>$S$781</f>
        <v>0</v>
      </c>
      <c r="T833" s="490" t="s">
        <v>362</v>
      </c>
      <c r="U833" s="490">
        <f>ROUND(S833*$C833/100,0)</f>
        <v>0</v>
      </c>
      <c r="V833" s="7"/>
      <c r="W833" s="31"/>
      <c r="X833" s="31"/>
      <c r="Y833" s="31"/>
      <c r="Z833" s="7"/>
      <c r="AA833" s="7"/>
      <c r="AB833" s="7"/>
      <c r="AC833" s="7"/>
      <c r="AD833" s="7"/>
      <c r="AE833" s="7"/>
      <c r="AF833" s="7"/>
      <c r="AG833" s="7"/>
      <c r="AH833" s="7"/>
      <c r="AI833" s="7"/>
      <c r="AJ833" s="7"/>
      <c r="AK833" s="7"/>
      <c r="AL833" s="7"/>
      <c r="AM833" s="7"/>
      <c r="AN833" s="7"/>
      <c r="AO833" s="7"/>
      <c r="AP833" s="7"/>
    </row>
    <row r="834" spans="1:42">
      <c r="A834" s="305" t="s">
        <v>369</v>
      </c>
      <c r="B834" s="305"/>
      <c r="C834" s="61">
        <f>SUM(C811:C811)</f>
        <v>95695835.840200007</v>
      </c>
      <c r="D834" s="1021"/>
      <c r="E834" s="305"/>
      <c r="F834" s="490">
        <f>SUM(F791:F833)</f>
        <v>8613953</v>
      </c>
      <c r="G834" s="1021"/>
      <c r="H834" s="305"/>
      <c r="I834" s="490">
        <f>SUM(I791:I833)</f>
        <v>8616008</v>
      </c>
      <c r="J834" s="490"/>
      <c r="K834" s="1021"/>
      <c r="L834" s="305"/>
      <c r="M834" s="490" t="e">
        <f>SUM(M791:M833)</f>
        <v>#REF!</v>
      </c>
      <c r="N834" s="490"/>
      <c r="O834" s="1021"/>
      <c r="P834" s="305"/>
      <c r="Q834" s="490" t="e">
        <f>SUM(Q791:Q833)</f>
        <v>#REF!</v>
      </c>
      <c r="R834" s="490"/>
      <c r="S834" s="1021"/>
      <c r="T834" s="305"/>
      <c r="U834" s="490" t="e">
        <f>SUM(U791:U833)</f>
        <v>#REF!</v>
      </c>
      <c r="V834" s="7"/>
      <c r="W834" s="31"/>
      <c r="X834" s="31"/>
      <c r="Y834" s="31"/>
      <c r="Z834" s="7"/>
      <c r="AA834" s="7"/>
      <c r="AB834" s="7"/>
      <c r="AC834" s="7"/>
      <c r="AD834" s="7"/>
      <c r="AE834" s="7"/>
      <c r="AF834" s="7"/>
      <c r="AG834" s="7"/>
      <c r="AH834" s="7"/>
      <c r="AI834" s="7"/>
      <c r="AJ834" s="7"/>
      <c r="AK834" s="7"/>
      <c r="AL834" s="7"/>
      <c r="AM834" s="7"/>
      <c r="AN834" s="7"/>
      <c r="AO834" s="7"/>
      <c r="AP834" s="7"/>
    </row>
    <row r="835" spans="1:42">
      <c r="A835" s="305" t="s">
        <v>351</v>
      </c>
      <c r="B835" s="305"/>
      <c r="C835" s="1017">
        <f ca="1">'Table 2'!H104</f>
        <v>5472390.0467772651</v>
      </c>
      <c r="D835" s="305"/>
      <c r="E835" s="305"/>
      <c r="F835" s="993">
        <f>'Table 3'!E104</f>
        <v>710400.5754126875</v>
      </c>
      <c r="G835" s="305"/>
      <c r="H835" s="305"/>
      <c r="I835" s="993">
        <f>F835</f>
        <v>710400.5754126875</v>
      </c>
      <c r="J835" s="723"/>
      <c r="K835" s="305"/>
      <c r="L835" s="305"/>
      <c r="M835" s="993" t="e">
        <f>M784/I784*I835</f>
        <v>#REF!</v>
      </c>
      <c r="N835" s="723"/>
      <c r="O835" s="305"/>
      <c r="P835" s="305"/>
      <c r="Q835" s="993" t="e">
        <f>Q784/I784*I835</f>
        <v>#REF!</v>
      </c>
      <c r="R835" s="723"/>
      <c r="S835" s="305"/>
      <c r="T835" s="305"/>
      <c r="U835" s="993" t="e">
        <f>U784/I784*I835</f>
        <v>#REF!</v>
      </c>
      <c r="V835" s="714"/>
      <c r="W835" s="171"/>
      <c r="X835" s="31"/>
      <c r="Y835" s="31"/>
      <c r="Z835" s="7"/>
      <c r="AA835" s="7"/>
      <c r="AB835" s="7"/>
      <c r="AC835" s="7"/>
      <c r="AD835" s="7"/>
      <c r="AE835" s="7"/>
      <c r="AF835" s="7"/>
      <c r="AG835" s="7"/>
      <c r="AH835" s="7"/>
      <c r="AI835" s="7"/>
      <c r="AJ835" s="7"/>
      <c r="AK835" s="7"/>
      <c r="AL835" s="7"/>
      <c r="AM835" s="7"/>
      <c r="AN835" s="7"/>
      <c r="AO835" s="7"/>
      <c r="AP835" s="7"/>
    </row>
    <row r="836" spans="1:42" ht="16.5" thickBot="1">
      <c r="A836" s="305" t="s">
        <v>370</v>
      </c>
      <c r="B836" s="305"/>
      <c r="C836" s="1012">
        <f ca="1">SUM(C834:C835)</f>
        <v>101168225.88697727</v>
      </c>
      <c r="D836" s="1036"/>
      <c r="E836" s="1030"/>
      <c r="F836" s="995">
        <f>F834+F835</f>
        <v>9324353.5754126869</v>
      </c>
      <c r="G836" s="1036"/>
      <c r="H836" s="1030"/>
      <c r="I836" s="995">
        <f>I834+I835</f>
        <v>9326408.5754126869</v>
      </c>
      <c r="J836" s="723"/>
      <c r="K836" s="1036"/>
      <c r="L836" s="1030"/>
      <c r="M836" s="995" t="e">
        <f>M834+M835</f>
        <v>#REF!</v>
      </c>
      <c r="N836" s="995"/>
      <c r="O836" s="1036"/>
      <c r="P836" s="1030"/>
      <c r="Q836" s="995" t="e">
        <f>Q834+Q835</f>
        <v>#REF!</v>
      </c>
      <c r="R836" s="995"/>
      <c r="S836" s="1036"/>
      <c r="T836" s="1030"/>
      <c r="U836" s="995" t="e">
        <f>U834+U835</f>
        <v>#REF!</v>
      </c>
      <c r="V836" s="295"/>
      <c r="W836" s="354"/>
      <c r="X836" s="31"/>
      <c r="Y836" s="31"/>
      <c r="Z836" s="7"/>
      <c r="AA836" s="7"/>
      <c r="AB836" s="7"/>
      <c r="AC836" s="7"/>
      <c r="AD836" s="7"/>
      <c r="AE836" s="7"/>
      <c r="AF836" s="7"/>
      <c r="AG836" s="7"/>
      <c r="AH836" s="7"/>
      <c r="AI836" s="7"/>
      <c r="AJ836" s="7"/>
      <c r="AK836" s="7"/>
      <c r="AL836" s="7"/>
      <c r="AM836" s="7"/>
      <c r="AN836" s="7"/>
      <c r="AO836" s="7"/>
      <c r="AP836" s="7"/>
    </row>
    <row r="837" spans="1:42" ht="16.5" thickTop="1">
      <c r="A837" s="305"/>
      <c r="B837" s="305"/>
      <c r="C837" s="999"/>
      <c r="D837" s="1037" t="s">
        <v>31</v>
      </c>
      <c r="E837" s="1033"/>
      <c r="F837" s="723"/>
      <c r="G837" s="1037" t="s">
        <v>31</v>
      </c>
      <c r="H837" s="1033"/>
      <c r="I837" s="723" t="s">
        <v>31</v>
      </c>
      <c r="J837" s="723"/>
      <c r="K837" s="1037" t="s">
        <v>31</v>
      </c>
      <c r="L837" s="1033"/>
      <c r="M837" s="723" t="s">
        <v>31</v>
      </c>
      <c r="N837" s="723"/>
      <c r="O837" s="1037" t="s">
        <v>31</v>
      </c>
      <c r="P837" s="1033"/>
      <c r="Q837" s="723" t="s">
        <v>31</v>
      </c>
      <c r="R837" s="723"/>
      <c r="S837" s="1037" t="s">
        <v>31</v>
      </c>
      <c r="T837" s="1033"/>
      <c r="U837" s="723" t="s">
        <v>31</v>
      </c>
      <c r="V837" s="7"/>
      <c r="W837" s="31"/>
      <c r="X837" s="31"/>
      <c r="Y837" s="31"/>
      <c r="Z837" s="7"/>
      <c r="AA837" s="7"/>
      <c r="AB837" s="7"/>
      <c r="AC837" s="7"/>
      <c r="AD837" s="7"/>
      <c r="AE837" s="7"/>
      <c r="AF837" s="7"/>
      <c r="AG837" s="7"/>
      <c r="AH837" s="7"/>
      <c r="AI837" s="7"/>
      <c r="AJ837" s="7"/>
      <c r="AK837" s="7"/>
      <c r="AL837" s="7"/>
      <c r="AM837" s="7"/>
      <c r="AN837" s="7"/>
      <c r="AO837" s="7"/>
      <c r="AP837" s="7"/>
    </row>
    <row r="838" spans="1:42">
      <c r="A838" s="305" t="s">
        <v>455</v>
      </c>
      <c r="B838" s="305"/>
      <c r="C838" s="61"/>
      <c r="D838" s="237"/>
      <c r="E838" s="305"/>
      <c r="F838" s="490"/>
      <c r="G838" s="237"/>
      <c r="H838" s="305"/>
      <c r="I838" s="490"/>
      <c r="J838" s="490"/>
      <c r="K838" s="237"/>
      <c r="L838" s="305"/>
      <c r="M838" s="490"/>
      <c r="N838" s="490"/>
      <c r="O838" s="237"/>
      <c r="P838" s="305"/>
      <c r="Q838" s="490"/>
      <c r="R838" s="490"/>
      <c r="S838" s="237"/>
      <c r="T838" s="305"/>
      <c r="U838" s="490"/>
      <c r="V838" s="7"/>
      <c r="W838" s="31"/>
      <c r="X838" s="31"/>
      <c r="Y838" s="31"/>
      <c r="Z838" s="7"/>
      <c r="AA838" s="7"/>
      <c r="AB838" s="7"/>
      <c r="AC838" s="7"/>
      <c r="AD838" s="7"/>
      <c r="AE838" s="7"/>
      <c r="AF838" s="7"/>
      <c r="AG838" s="7"/>
      <c r="AH838" s="7"/>
      <c r="AI838" s="7"/>
      <c r="AJ838" s="7"/>
      <c r="AK838" s="7"/>
      <c r="AL838" s="7"/>
      <c r="AM838" s="7"/>
      <c r="AN838" s="7"/>
      <c r="AO838" s="7"/>
      <c r="AP838" s="7"/>
    </row>
    <row r="839" spans="1:42">
      <c r="A839" s="305" t="s">
        <v>189</v>
      </c>
      <c r="B839" s="305"/>
      <c r="C839" s="61"/>
      <c r="D839" s="237"/>
      <c r="E839" s="305"/>
      <c r="F839" s="490"/>
      <c r="G839" s="237"/>
      <c r="H839" s="305"/>
      <c r="I839" s="490"/>
      <c r="J839" s="490"/>
      <c r="K839" s="237"/>
      <c r="L839" s="305"/>
      <c r="M839" s="490"/>
      <c r="N839" s="490"/>
      <c r="O839" s="237"/>
      <c r="P839" s="305"/>
      <c r="Q839" s="490"/>
      <c r="R839" s="490"/>
      <c r="S839" s="237"/>
      <c r="T839" s="305"/>
      <c r="U839" s="490"/>
      <c r="V839" s="7"/>
      <c r="W839" s="31"/>
      <c r="X839" s="31"/>
      <c r="Y839" s="31"/>
      <c r="Z839" s="7"/>
      <c r="AA839" s="7"/>
      <c r="AB839" s="7"/>
      <c r="AC839" s="7"/>
      <c r="AD839" s="7"/>
      <c r="AE839" s="7"/>
      <c r="AF839" s="7"/>
      <c r="AG839" s="7"/>
      <c r="AH839" s="7"/>
      <c r="AI839" s="7"/>
      <c r="AJ839" s="7"/>
      <c r="AK839" s="7"/>
      <c r="AL839" s="7"/>
      <c r="AM839" s="7"/>
      <c r="AN839" s="7"/>
      <c r="AO839" s="7"/>
      <c r="AP839" s="7"/>
    </row>
    <row r="840" spans="1:42">
      <c r="A840" s="305"/>
      <c r="B840" s="305"/>
      <c r="C840" s="61"/>
      <c r="D840" s="237"/>
      <c r="E840" s="305"/>
      <c r="F840" s="237"/>
      <c r="G840" s="237"/>
      <c r="H840" s="305"/>
      <c r="I840" s="1052"/>
      <c r="J840" s="1052"/>
      <c r="K840" s="237"/>
      <c r="L840" s="305"/>
      <c r="M840" s="1052"/>
      <c r="N840" s="1052"/>
      <c r="O840" s="237"/>
      <c r="P840" s="305"/>
      <c r="Q840" s="1052"/>
      <c r="R840" s="1052"/>
      <c r="S840" s="237"/>
      <c r="T840" s="305"/>
      <c r="U840" s="1052"/>
      <c r="V840" s="7"/>
      <c r="W840" s="31"/>
      <c r="X840" s="31"/>
      <c r="Y840" s="31"/>
      <c r="Z840" s="7"/>
      <c r="AA840" s="7"/>
      <c r="AB840" s="7"/>
      <c r="AC840" s="7"/>
      <c r="AD840" s="7"/>
      <c r="AE840" s="7"/>
      <c r="AF840" s="7"/>
      <c r="AG840" s="7"/>
      <c r="AH840" s="7"/>
      <c r="AI840" s="7"/>
      <c r="AJ840" s="7"/>
      <c r="AK840" s="7"/>
      <c r="AL840" s="7"/>
      <c r="AM840" s="7"/>
      <c r="AN840" s="7"/>
      <c r="AO840" s="7"/>
      <c r="AP840" s="7"/>
    </row>
    <row r="841" spans="1:42">
      <c r="A841" s="305" t="s">
        <v>437</v>
      </c>
      <c r="B841" s="305"/>
      <c r="C841" s="61"/>
      <c r="D841" s="490" t="s">
        <v>31</v>
      </c>
      <c r="E841" s="305"/>
      <c r="F841" s="305"/>
      <c r="G841" s="490" t="s">
        <v>31</v>
      </c>
      <c r="H841" s="305"/>
      <c r="I841" s="305"/>
      <c r="J841" s="305"/>
      <c r="K841" s="490" t="s">
        <v>31</v>
      </c>
      <c r="L841" s="305"/>
      <c r="M841" s="305"/>
      <c r="N841" s="305"/>
      <c r="O841" s="490" t="s">
        <v>31</v>
      </c>
      <c r="P841" s="305"/>
      <c r="Q841" s="305"/>
      <c r="R841" s="305"/>
      <c r="S841" s="490" t="s">
        <v>31</v>
      </c>
      <c r="T841" s="305"/>
      <c r="U841" s="305"/>
      <c r="V841" s="7"/>
      <c r="W841" s="31"/>
      <c r="X841" s="31"/>
      <c r="Y841" s="31"/>
      <c r="Z841" s="7"/>
      <c r="AA841" s="7"/>
      <c r="AB841" s="7"/>
      <c r="AC841" s="7"/>
      <c r="AD841" s="7"/>
      <c r="AE841" s="7"/>
      <c r="AF841" s="7"/>
      <c r="AG841" s="7"/>
      <c r="AH841" s="7"/>
      <c r="AI841" s="7"/>
      <c r="AJ841" s="7"/>
      <c r="AK841" s="7"/>
      <c r="AL841" s="7"/>
      <c r="AM841" s="7"/>
      <c r="AN841" s="7"/>
      <c r="AO841" s="7"/>
      <c r="AP841" s="7"/>
    </row>
    <row r="842" spans="1:42">
      <c r="A842" s="305" t="s">
        <v>438</v>
      </c>
      <c r="B842" s="305"/>
      <c r="C842" s="61">
        <v>538.12375460135195</v>
      </c>
      <c r="D842" s="237">
        <f>D737</f>
        <v>0</v>
      </c>
      <c r="E842" s="1009"/>
      <c r="F842" s="490">
        <f>ROUND(D842*C842,0)</f>
        <v>0</v>
      </c>
      <c r="G842" s="237">
        <f>$G$737</f>
        <v>0</v>
      </c>
      <c r="H842" s="1009"/>
      <c r="I842" s="490">
        <f>ROUND(G842*$C842,0)</f>
        <v>0</v>
      </c>
      <c r="J842" s="490"/>
      <c r="K842" s="237" t="e">
        <f>$K$737</f>
        <v>#REF!</v>
      </c>
      <c r="L842" s="1009"/>
      <c r="M842" s="490" t="e">
        <f>ROUND(K842*$C842,0)</f>
        <v>#REF!</v>
      </c>
      <c r="N842" s="490"/>
      <c r="O842" s="237" t="e">
        <f>$O$737</f>
        <v>#REF!</v>
      </c>
      <c r="P842" s="1009"/>
      <c r="Q842" s="490" t="e">
        <f>ROUND(O842*$C842,0)</f>
        <v>#REF!</v>
      </c>
      <c r="R842" s="490"/>
      <c r="S842" s="237" t="e">
        <f>$S$737</f>
        <v>#REF!</v>
      </c>
      <c r="T842" s="1009"/>
      <c r="U842" s="490" t="e">
        <f>ROUND(S842*$C842,0)</f>
        <v>#REF!</v>
      </c>
      <c r="V842" s="7"/>
      <c r="W842" s="31"/>
      <c r="X842" s="31"/>
      <c r="Y842" s="31"/>
      <c r="Z842" s="7"/>
      <c r="AA842" s="7"/>
      <c r="AB842" s="7"/>
      <c r="AC842" s="7"/>
      <c r="AD842" s="7"/>
      <c r="AE842" s="7"/>
      <c r="AF842" s="7"/>
      <c r="AG842" s="7"/>
      <c r="AH842" s="7"/>
      <c r="AI842" s="7"/>
      <c r="AJ842" s="7"/>
      <c r="AK842" s="7"/>
      <c r="AL842" s="7"/>
      <c r="AM842" s="7"/>
      <c r="AN842" s="7"/>
      <c r="AO842" s="7"/>
      <c r="AP842" s="7"/>
    </row>
    <row r="843" spans="1:42">
      <c r="A843" s="305" t="s">
        <v>439</v>
      </c>
      <c r="B843" s="305"/>
      <c r="C843" s="61" t="s">
        <v>31</v>
      </c>
      <c r="D843" s="237">
        <f t="shared" ref="D843:D846" si="164">D738</f>
        <v>0</v>
      </c>
      <c r="E843" s="1009"/>
      <c r="F843" s="490"/>
      <c r="G843" s="237"/>
      <c r="H843" s="1009"/>
      <c r="I843" s="490"/>
      <c r="J843" s="490"/>
      <c r="K843" s="237"/>
      <c r="L843" s="1009"/>
      <c r="M843" s="490"/>
      <c r="N843" s="490"/>
      <c r="O843" s="237"/>
      <c r="P843" s="1009"/>
      <c r="Q843" s="490"/>
      <c r="R843" s="490"/>
      <c r="S843" s="237"/>
      <c r="T843" s="1009"/>
      <c r="U843" s="490"/>
      <c r="V843" s="7"/>
      <c r="W843" s="31"/>
      <c r="X843" s="31"/>
      <c r="Y843" s="31"/>
      <c r="Z843" s="7"/>
      <c r="AA843" s="7"/>
      <c r="AB843" s="7"/>
      <c r="AC843" s="7"/>
      <c r="AD843" s="7"/>
      <c r="AE843" s="7"/>
      <c r="AF843" s="7"/>
      <c r="AG843" s="7"/>
      <c r="AH843" s="7"/>
      <c r="AI843" s="7"/>
      <c r="AJ843" s="7"/>
      <c r="AK843" s="7"/>
      <c r="AL843" s="7"/>
      <c r="AM843" s="7"/>
      <c r="AN843" s="7"/>
      <c r="AO843" s="7"/>
      <c r="AP843" s="7"/>
    </row>
    <row r="844" spans="1:42">
      <c r="A844" s="305" t="s">
        <v>440</v>
      </c>
      <c r="B844" s="305"/>
      <c r="C844" s="61">
        <v>1492.45772020801</v>
      </c>
      <c r="D844" s="237">
        <f t="shared" si="164"/>
        <v>0</v>
      </c>
      <c r="E844" s="1009"/>
      <c r="F844" s="490">
        <f>ROUND(D844*C844,0)</f>
        <v>0</v>
      </c>
      <c r="G844" s="237">
        <f>$G$739</f>
        <v>0</v>
      </c>
      <c r="H844" s="1009"/>
      <c r="I844" s="490">
        <f>ROUND(G844*$C844,0)</f>
        <v>0</v>
      </c>
      <c r="J844" s="490"/>
      <c r="K844" s="237" t="e">
        <f>$K$739</f>
        <v>#REF!</v>
      </c>
      <c r="L844" s="1009"/>
      <c r="M844" s="490" t="e">
        <f>ROUND(K844*$C844,0)</f>
        <v>#REF!</v>
      </c>
      <c r="N844" s="490"/>
      <c r="O844" s="237" t="e">
        <f>$O$739</f>
        <v>#REF!</v>
      </c>
      <c r="P844" s="1009"/>
      <c r="Q844" s="490" t="e">
        <f>ROUND(O844*$C844,0)</f>
        <v>#REF!</v>
      </c>
      <c r="R844" s="490"/>
      <c r="S844" s="237" t="e">
        <f>$S$739</f>
        <v>#REF!</v>
      </c>
      <c r="T844" s="1009"/>
      <c r="U844" s="490" t="e">
        <f>ROUND(S844*$C844,0)</f>
        <v>#REF!</v>
      </c>
      <c r="V844" s="7"/>
      <c r="W844" s="31"/>
      <c r="X844" s="31"/>
      <c r="Y844" s="31"/>
      <c r="Z844" s="7"/>
      <c r="AA844" s="7"/>
      <c r="AB844" s="7"/>
      <c r="AC844" s="7"/>
      <c r="AD844" s="7"/>
      <c r="AE844" s="7"/>
      <c r="AF844" s="7"/>
      <c r="AG844" s="7"/>
      <c r="AH844" s="7"/>
      <c r="AI844" s="7"/>
      <c r="AJ844" s="7"/>
      <c r="AK844" s="7"/>
      <c r="AL844" s="7"/>
      <c r="AM844" s="7"/>
      <c r="AN844" s="7"/>
      <c r="AO844" s="7"/>
      <c r="AP844" s="7"/>
    </row>
    <row r="845" spans="1:42">
      <c r="A845" s="305" t="s">
        <v>441</v>
      </c>
      <c r="B845" s="305"/>
      <c r="C845" s="61">
        <v>160.74797930372401</v>
      </c>
      <c r="D845" s="237">
        <f t="shared" si="164"/>
        <v>379</v>
      </c>
      <c r="E845" s="1009"/>
      <c r="F845" s="490">
        <f>ROUND(D845*C845,0)</f>
        <v>60923</v>
      </c>
      <c r="G845" s="237">
        <f>$G$740</f>
        <v>379</v>
      </c>
      <c r="H845" s="1009"/>
      <c r="I845" s="490">
        <f>ROUND(G845*$C845,0)</f>
        <v>60923</v>
      </c>
      <c r="J845" s="490"/>
      <c r="K845" s="237" t="e">
        <f>$K$740</f>
        <v>#REF!</v>
      </c>
      <c r="L845" s="1009"/>
      <c r="M845" s="490" t="e">
        <f>ROUND(K845*$C845,0)</f>
        <v>#REF!</v>
      </c>
      <c r="N845" s="490"/>
      <c r="O845" s="237" t="e">
        <f>$O$740</f>
        <v>#REF!</v>
      </c>
      <c r="P845" s="1009"/>
      <c r="Q845" s="490" t="e">
        <f>ROUND(O845*$C845,0)</f>
        <v>#REF!</v>
      </c>
      <c r="R845" s="490"/>
      <c r="S845" s="237" t="e">
        <f>$S$740</f>
        <v>#REF!</v>
      </c>
      <c r="T845" s="1009"/>
      <c r="U845" s="490" t="e">
        <f>ROUND(S845*$C845,0)</f>
        <v>#REF!</v>
      </c>
      <c r="V845" s="7"/>
      <c r="W845" s="31"/>
      <c r="X845" s="31"/>
      <c r="Y845" s="31"/>
      <c r="Z845" s="7"/>
      <c r="AA845" s="7"/>
      <c r="AB845" s="7"/>
      <c r="AC845" s="7"/>
      <c r="AD845" s="7"/>
      <c r="AE845" s="7"/>
      <c r="AF845" s="7"/>
      <c r="AG845" s="7"/>
      <c r="AH845" s="7"/>
      <c r="AI845" s="7"/>
      <c r="AJ845" s="7"/>
      <c r="AK845" s="7"/>
      <c r="AL845" s="7"/>
      <c r="AM845" s="7"/>
      <c r="AN845" s="7"/>
      <c r="AO845" s="7"/>
      <c r="AP845" s="7"/>
    </row>
    <row r="846" spans="1:42">
      <c r="A846" s="305" t="s">
        <v>442</v>
      </c>
      <c r="B846" s="305"/>
      <c r="C846" s="61">
        <v>4.2821915715397401</v>
      </c>
      <c r="D846" s="237">
        <f t="shared" si="164"/>
        <v>1539</v>
      </c>
      <c r="E846" s="1009"/>
      <c r="F846" s="490">
        <f>ROUND(D846*C846,0)</f>
        <v>6590</v>
      </c>
      <c r="G846" s="237">
        <f>$G$741</f>
        <v>1539</v>
      </c>
      <c r="H846" s="1009"/>
      <c r="I846" s="490">
        <f>ROUND(G846*$C846,0)</f>
        <v>6590</v>
      </c>
      <c r="J846" s="490"/>
      <c r="K846" s="237" t="e">
        <f>$K$741</f>
        <v>#REF!</v>
      </c>
      <c r="L846" s="1009"/>
      <c r="M846" s="490" t="e">
        <f>ROUND(K846*$C846,0)</f>
        <v>#REF!</v>
      </c>
      <c r="N846" s="490"/>
      <c r="O846" s="237" t="e">
        <f>$O$741</f>
        <v>#REF!</v>
      </c>
      <c r="P846" s="1009"/>
      <c r="Q846" s="490" t="e">
        <f>ROUND(O846*$C846,0)</f>
        <v>#REF!</v>
      </c>
      <c r="R846" s="490"/>
      <c r="S846" s="237" t="e">
        <f>$S$741</f>
        <v>#REF!</v>
      </c>
      <c r="T846" s="1009"/>
      <c r="U846" s="490" t="e">
        <f>ROUND(S846*$C846,0)</f>
        <v>#REF!</v>
      </c>
      <c r="V846" s="7"/>
      <c r="W846" s="31"/>
      <c r="X846" s="31"/>
      <c r="Y846" s="31"/>
      <c r="Z846" s="7"/>
      <c r="AA846" s="7"/>
      <c r="AB846" s="7"/>
      <c r="AC846" s="7"/>
      <c r="AD846" s="7"/>
      <c r="AE846" s="7"/>
      <c r="AF846" s="7"/>
      <c r="AG846" s="7"/>
      <c r="AH846" s="7"/>
      <c r="AI846" s="7"/>
      <c r="AJ846" s="7"/>
      <c r="AK846" s="7"/>
      <c r="AL846" s="7"/>
      <c r="AM846" s="7"/>
      <c r="AN846" s="7"/>
      <c r="AO846" s="7"/>
      <c r="AP846" s="7"/>
    </row>
    <row r="847" spans="1:42">
      <c r="A847" s="305" t="s">
        <v>350</v>
      </c>
      <c r="B847" s="305"/>
      <c r="C847" s="61">
        <f>SUM(C842:C846)</f>
        <v>2195.6116456846257</v>
      </c>
      <c r="D847" s="237"/>
      <c r="E847" s="1009"/>
      <c r="F847" s="490"/>
      <c r="G847" s="237"/>
      <c r="H847" s="1009"/>
      <c r="I847" s="490"/>
      <c r="J847" s="490"/>
      <c r="K847" s="237"/>
      <c r="L847" s="1009"/>
      <c r="M847" s="490"/>
      <c r="N847" s="490"/>
      <c r="O847" s="237"/>
      <c r="P847" s="1009"/>
      <c r="Q847" s="490"/>
      <c r="R847" s="490"/>
      <c r="S847" s="237"/>
      <c r="T847" s="1009"/>
      <c r="U847" s="490"/>
      <c r="V847" s="7"/>
      <c r="W847" s="31"/>
      <c r="X847" s="31"/>
      <c r="Y847" s="31"/>
      <c r="Z847" s="7"/>
      <c r="AA847" s="7"/>
      <c r="AB847" s="7"/>
      <c r="AC847" s="7"/>
      <c r="AD847" s="7"/>
      <c r="AE847" s="7"/>
      <c r="AF847" s="7"/>
      <c r="AG847" s="7"/>
      <c r="AH847" s="7"/>
      <c r="AI847" s="7"/>
      <c r="AJ847" s="7"/>
      <c r="AK847" s="7"/>
      <c r="AL847" s="7"/>
      <c r="AM847" s="7"/>
      <c r="AN847" s="7"/>
      <c r="AO847" s="7"/>
      <c r="AP847" s="7"/>
    </row>
    <row r="848" spans="1:42">
      <c r="A848" s="305" t="s">
        <v>443</v>
      </c>
      <c r="B848" s="305"/>
      <c r="C848" s="61">
        <v>6867.8944444444687</v>
      </c>
      <c r="D848" s="237"/>
      <c r="E848" s="490"/>
      <c r="F848" s="490"/>
      <c r="G848" s="237"/>
      <c r="H848" s="490"/>
      <c r="I848" s="490"/>
      <c r="J848" s="490"/>
      <c r="K848" s="237"/>
      <c r="L848" s="490"/>
      <c r="M848" s="490"/>
      <c r="N848" s="490"/>
      <c r="O848" s="237"/>
      <c r="P848" s="490"/>
      <c r="Q848" s="490"/>
      <c r="R848" s="490"/>
      <c r="S848" s="237"/>
      <c r="T848" s="490"/>
      <c r="U848" s="490"/>
      <c r="V848" s="7"/>
      <c r="W848" s="31"/>
      <c r="X848" s="31"/>
      <c r="Y848" s="31"/>
      <c r="Z848" s="7"/>
      <c r="AA848" s="7"/>
      <c r="AB848" s="7"/>
      <c r="AC848" s="7"/>
      <c r="AD848" s="7"/>
      <c r="AE848" s="7"/>
      <c r="AF848" s="7"/>
      <c r="AG848" s="7"/>
      <c r="AH848" s="7"/>
      <c r="AI848" s="7"/>
      <c r="AJ848" s="7"/>
      <c r="AK848" s="7"/>
      <c r="AL848" s="7"/>
      <c r="AM848" s="7"/>
      <c r="AN848" s="7"/>
      <c r="AO848" s="7"/>
      <c r="AP848" s="7"/>
    </row>
    <row r="849" spans="1:44">
      <c r="A849" s="305" t="s">
        <v>104</v>
      </c>
      <c r="B849" s="305"/>
      <c r="C849" s="61">
        <v>17742</v>
      </c>
      <c r="D849" s="237"/>
      <c r="E849" s="490"/>
      <c r="F849" s="490"/>
      <c r="G849" s="237"/>
      <c r="H849" s="490"/>
      <c r="I849" s="490"/>
      <c r="J849" s="490"/>
      <c r="K849" s="237"/>
      <c r="L849" s="490"/>
      <c r="M849" s="490"/>
      <c r="N849" s="490"/>
      <c r="O849" s="237"/>
      <c r="P849" s="490"/>
      <c r="Q849" s="490"/>
      <c r="R849" s="490"/>
      <c r="S849" s="237"/>
      <c r="T849" s="490"/>
      <c r="U849" s="490"/>
      <c r="V849" s="7"/>
      <c r="W849" s="31"/>
      <c r="X849" s="31"/>
      <c r="Y849" s="31"/>
      <c r="Z849" s="7"/>
      <c r="AA849" s="7"/>
      <c r="AB849" s="7"/>
      <c r="AC849" s="7"/>
      <c r="AD849" s="7"/>
      <c r="AE849" s="7"/>
      <c r="AF849" s="7"/>
      <c r="AG849" s="7"/>
      <c r="AH849" s="7"/>
      <c r="AI849" s="7"/>
      <c r="AJ849" s="7"/>
      <c r="AK849" s="7"/>
      <c r="AL849" s="7"/>
      <c r="AM849" s="7"/>
      <c r="AN849" s="7"/>
      <c r="AO849" s="7"/>
      <c r="AP849" s="7"/>
    </row>
    <row r="850" spans="1:44">
      <c r="A850" s="305" t="s">
        <v>444</v>
      </c>
      <c r="B850" s="305"/>
      <c r="C850" s="61"/>
      <c r="D850" s="237"/>
      <c r="E850" s="1009"/>
      <c r="F850" s="490"/>
      <c r="G850" s="237"/>
      <c r="H850" s="1009"/>
      <c r="I850" s="490"/>
      <c r="J850" s="490"/>
      <c r="K850" s="237"/>
      <c r="L850" s="1009"/>
      <c r="M850" s="490"/>
      <c r="N850" s="490"/>
      <c r="O850" s="237"/>
      <c r="P850" s="1009"/>
      <c r="Q850" s="490"/>
      <c r="R850" s="490"/>
      <c r="S850" s="237"/>
      <c r="T850" s="1009"/>
      <c r="U850" s="490"/>
      <c r="V850" s="7"/>
      <c r="W850" s="31"/>
      <c r="X850" s="31"/>
      <c r="Y850" s="31"/>
      <c r="Z850" s="7"/>
      <c r="AA850" s="7"/>
      <c r="AB850" s="7"/>
      <c r="AC850" s="7"/>
      <c r="AD850" s="7"/>
      <c r="AE850" s="7"/>
      <c r="AF850" s="7"/>
      <c r="AG850" s="7"/>
      <c r="AH850" s="7"/>
      <c r="AI850" s="7"/>
      <c r="AJ850" s="7"/>
      <c r="AK850" s="7"/>
      <c r="AL850" s="7"/>
      <c r="AM850" s="7"/>
      <c r="AN850" s="7"/>
      <c r="AO850" s="7"/>
      <c r="AP850" s="7"/>
    </row>
    <row r="851" spans="1:44">
      <c r="A851" s="305" t="s">
        <v>445</v>
      </c>
      <c r="B851" s="305"/>
      <c r="C851" s="61">
        <v>1938.6234197020899</v>
      </c>
      <c r="D851" s="237">
        <f>D746</f>
        <v>26.63</v>
      </c>
      <c r="E851" s="1009"/>
      <c r="F851" s="490">
        <f>ROUND(D851*C851,0)</f>
        <v>51626</v>
      </c>
      <c r="G851" s="237">
        <f>$G$746</f>
        <v>26.61</v>
      </c>
      <c r="H851" s="1009"/>
      <c r="I851" s="490">
        <f>ROUND(G851*$C851,0)</f>
        <v>51587</v>
      </c>
      <c r="J851" s="490"/>
      <c r="K851" s="237" t="e">
        <f>$K$746</f>
        <v>#REF!</v>
      </c>
      <c r="L851" s="1009"/>
      <c r="M851" s="490" t="e">
        <f>ROUND(K851*$C851,0)</f>
        <v>#REF!</v>
      </c>
      <c r="N851" s="490"/>
      <c r="O851" s="237" t="e">
        <f>$O$746</f>
        <v>#REF!</v>
      </c>
      <c r="P851" s="1009"/>
      <c r="Q851" s="490" t="e">
        <f>ROUND(O851*$C851,0)</f>
        <v>#REF!</v>
      </c>
      <c r="R851" s="490"/>
      <c r="S851" s="237" t="e">
        <f>$S$746</f>
        <v>#REF!</v>
      </c>
      <c r="T851" s="1009"/>
      <c r="U851" s="490" t="e">
        <f>ROUND(S851*$C851,0)</f>
        <v>#REF!</v>
      </c>
      <c r="V851" s="7"/>
      <c r="W851" s="31"/>
      <c r="X851" s="31"/>
      <c r="Y851" s="31"/>
      <c r="Z851" s="7"/>
      <c r="AA851" s="7"/>
      <c r="AB851" s="7"/>
      <c r="AC851" s="7"/>
      <c r="AD851" s="7"/>
      <c r="AE851" s="7"/>
      <c r="AF851" s="7"/>
      <c r="AG851" s="7"/>
      <c r="AH851" s="7"/>
      <c r="AI851" s="7"/>
      <c r="AJ851" s="7"/>
      <c r="AK851" s="7"/>
      <c r="AL851" s="7"/>
      <c r="AM851" s="7"/>
      <c r="AN851" s="7"/>
      <c r="AO851" s="7"/>
      <c r="AP851" s="7"/>
    </row>
    <row r="852" spans="1:44">
      <c r="A852" s="305" t="s">
        <v>446</v>
      </c>
      <c r="B852" s="305"/>
      <c r="C852" s="61"/>
      <c r="D852" s="237" t="s">
        <v>31</v>
      </c>
      <c r="E852" s="1009"/>
      <c r="F852" s="490"/>
      <c r="G852" s="237"/>
      <c r="H852" s="1009"/>
      <c r="I852" s="490"/>
      <c r="J852" s="490"/>
      <c r="K852" s="237"/>
      <c r="L852" s="1009"/>
      <c r="M852" s="490"/>
      <c r="N852" s="490"/>
      <c r="O852" s="237"/>
      <c r="P852" s="1009"/>
      <c r="Q852" s="490"/>
      <c r="R852" s="490"/>
      <c r="S852" s="237"/>
      <c r="T852" s="1009"/>
      <c r="U852" s="490"/>
      <c r="V852" s="7"/>
      <c r="W852" s="31"/>
      <c r="X852" s="31"/>
      <c r="Y852" s="31"/>
      <c r="Z852" s="7"/>
      <c r="AA852" s="7"/>
      <c r="AB852" s="7"/>
      <c r="AC852" s="7"/>
      <c r="AD852" s="7"/>
      <c r="AE852" s="7"/>
      <c r="AF852" s="7"/>
      <c r="AG852" s="7"/>
      <c r="AH852" s="7"/>
      <c r="AI852" s="7"/>
      <c r="AJ852" s="7"/>
      <c r="AK852" s="7"/>
      <c r="AL852" s="7"/>
      <c r="AM852" s="7"/>
      <c r="AN852" s="7"/>
      <c r="AO852" s="7"/>
      <c r="AP852" s="7"/>
    </row>
    <row r="853" spans="1:44">
      <c r="A853" s="305" t="s">
        <v>440</v>
      </c>
      <c r="B853" s="305"/>
      <c r="C853" s="61">
        <v>19493.809988734502</v>
      </c>
      <c r="D853" s="237">
        <f>D748</f>
        <v>26.63</v>
      </c>
      <c r="E853" s="1009"/>
      <c r="F853" s="490">
        <f>ROUND(D853*C853,0)</f>
        <v>519120</v>
      </c>
      <c r="G853" s="237">
        <f>$G$748</f>
        <v>26.68</v>
      </c>
      <c r="H853" s="1009"/>
      <c r="I853" s="490">
        <f>ROUND(G853*$C853,0)</f>
        <v>520095</v>
      </c>
      <c r="J853" s="490"/>
      <c r="K853" s="237" t="e">
        <f>$K$748</f>
        <v>#REF!</v>
      </c>
      <c r="L853" s="1009"/>
      <c r="M853" s="490" t="e">
        <f>ROUND(K853*$C853,0)</f>
        <v>#REF!</v>
      </c>
      <c r="N853" s="490"/>
      <c r="O853" s="237" t="e">
        <f>$O$748</f>
        <v>#REF!</v>
      </c>
      <c r="P853" s="1009"/>
      <c r="Q853" s="490" t="e">
        <f>ROUND(O853*$C853,0)</f>
        <v>#REF!</v>
      </c>
      <c r="R853" s="490"/>
      <c r="S853" s="237" t="e">
        <f>$S$748</f>
        <v>#REF!</v>
      </c>
      <c r="T853" s="1009"/>
      <c r="U853" s="490" t="e">
        <f>ROUND(S853*$C853,0)</f>
        <v>#REF!</v>
      </c>
      <c r="V853" s="7"/>
      <c r="W853" s="31"/>
      <c r="X853" s="31"/>
      <c r="Y853" s="31"/>
      <c r="Z853" s="7"/>
      <c r="AA853" s="7"/>
      <c r="AB853" s="7"/>
      <c r="AC853" s="7"/>
      <c r="AD853" s="7"/>
      <c r="AE853" s="7"/>
      <c r="AF853" s="7"/>
      <c r="AG853" s="7"/>
      <c r="AH853" s="7"/>
      <c r="AI853" s="7"/>
      <c r="AJ853" s="7"/>
      <c r="AK853" s="7"/>
      <c r="AL853" s="7"/>
      <c r="AM853" s="7"/>
      <c r="AN853" s="7"/>
      <c r="AO853" s="7"/>
      <c r="AP853" s="7"/>
    </row>
    <row r="854" spans="1:44">
      <c r="A854" s="305" t="s">
        <v>441</v>
      </c>
      <c r="B854" s="305"/>
      <c r="C854" s="61">
        <v>15296.3927914835</v>
      </c>
      <c r="D854" s="237">
        <f t="shared" ref="D854:D857" si="165">D749</f>
        <v>18.53</v>
      </c>
      <c r="E854" s="1009"/>
      <c r="F854" s="490">
        <f>ROUND(D854*C854,0)</f>
        <v>283442</v>
      </c>
      <c r="G854" s="237">
        <f>$G$749</f>
        <v>18.540000000000003</v>
      </c>
      <c r="H854" s="1009"/>
      <c r="I854" s="490">
        <f>ROUND(G854*$C854,0)</f>
        <v>283595</v>
      </c>
      <c r="J854" s="490"/>
      <c r="K854" s="237" t="e">
        <f>$K$749</f>
        <v>#REF!</v>
      </c>
      <c r="L854" s="1009"/>
      <c r="M854" s="490" t="e">
        <f>ROUND(K854*$C854,0)</f>
        <v>#REF!</v>
      </c>
      <c r="N854" s="490"/>
      <c r="O854" s="237" t="e">
        <f>$O$749</f>
        <v>#REF!</v>
      </c>
      <c r="P854" s="1009"/>
      <c r="Q854" s="490" t="e">
        <f>ROUND(O854*$C854,0)</f>
        <v>#REF!</v>
      </c>
      <c r="R854" s="490"/>
      <c r="S854" s="237" t="e">
        <f>$S$749</f>
        <v>#REF!</v>
      </c>
      <c r="T854" s="1009"/>
      <c r="U854" s="490" t="e">
        <f>ROUND(S854*$C854,0)</f>
        <v>#REF!</v>
      </c>
      <c r="V854" s="7"/>
      <c r="W854" s="31"/>
      <c r="X854" s="31"/>
      <c r="Y854" s="31"/>
      <c r="Z854" s="7"/>
      <c r="AA854" s="7"/>
      <c r="AB854" s="7"/>
      <c r="AC854" s="7"/>
      <c r="AD854" s="7"/>
      <c r="AE854" s="7"/>
      <c r="AF854" s="7"/>
      <c r="AG854" s="7"/>
      <c r="AH854" s="7"/>
      <c r="AI854" s="7"/>
      <c r="AJ854" s="7"/>
      <c r="AK854" s="7"/>
      <c r="AL854" s="7"/>
      <c r="AM854" s="7"/>
      <c r="AN854" s="7"/>
      <c r="AO854" s="7"/>
      <c r="AP854" s="7"/>
    </row>
    <row r="855" spans="1:44">
      <c r="A855" s="305" t="s">
        <v>442</v>
      </c>
      <c r="B855" s="305"/>
      <c r="C855" s="61">
        <v>1632.1944217667599</v>
      </c>
      <c r="D855" s="237">
        <f t="shared" si="165"/>
        <v>14.49</v>
      </c>
      <c r="E855" s="1009"/>
      <c r="F855" s="490">
        <f>ROUND(D855*C855,0)</f>
        <v>23650</v>
      </c>
      <c r="G855" s="237">
        <f>$G$750</f>
        <v>14.49</v>
      </c>
      <c r="H855" s="1009"/>
      <c r="I855" s="490">
        <f>ROUND(G855*$C855,0)</f>
        <v>23650</v>
      </c>
      <c r="J855" s="490"/>
      <c r="K855" s="237" t="e">
        <f>$K$750</f>
        <v>#REF!</v>
      </c>
      <c r="L855" s="1009"/>
      <c r="M855" s="490" t="e">
        <f>ROUND(K855*$C855,0)</f>
        <v>#REF!</v>
      </c>
      <c r="N855" s="490"/>
      <c r="O855" s="237" t="e">
        <f>$O$750</f>
        <v>#REF!</v>
      </c>
      <c r="P855" s="1009"/>
      <c r="Q855" s="490" t="e">
        <f>ROUND(O855*$C855,0)</f>
        <v>#REF!</v>
      </c>
      <c r="R855" s="490"/>
      <c r="S855" s="237" t="e">
        <f>$S$750</f>
        <v>#REF!</v>
      </c>
      <c r="T855" s="1009"/>
      <c r="U855" s="490" t="e">
        <f>ROUND(S855*$C855,0)</f>
        <v>#REF!</v>
      </c>
      <c r="V855" s="7"/>
      <c r="W855" s="31"/>
      <c r="X855" s="31"/>
      <c r="Y855" s="31"/>
      <c r="Z855" s="7"/>
      <c r="AA855" s="7"/>
      <c r="AB855" s="7"/>
      <c r="AC855" s="7"/>
      <c r="AD855" s="7"/>
      <c r="AE855" s="7"/>
      <c r="AF855" s="7"/>
      <c r="AG855" s="7"/>
      <c r="AH855" s="7"/>
      <c r="AI855" s="7"/>
      <c r="AJ855" s="7"/>
      <c r="AK855" s="7"/>
      <c r="AL855" s="7"/>
      <c r="AM855" s="7"/>
      <c r="AN855" s="7"/>
      <c r="AO855" s="7"/>
      <c r="AP855" s="7"/>
    </row>
    <row r="856" spans="1:44">
      <c r="A856" s="305" t="s">
        <v>448</v>
      </c>
      <c r="B856" s="305"/>
      <c r="C856" s="61">
        <v>298.69634765659902</v>
      </c>
      <c r="D856" s="237">
        <f t="shared" si="165"/>
        <v>79.89</v>
      </c>
      <c r="E856" s="1009"/>
      <c r="F856" s="490">
        <f>ROUND(D856*C856,0)</f>
        <v>23863</v>
      </c>
      <c r="G856" s="237">
        <f>$G$751</f>
        <v>79.83</v>
      </c>
      <c r="H856" s="1009"/>
      <c r="I856" s="490">
        <f>ROUND(G856*$C856,0)</f>
        <v>23845</v>
      </c>
      <c r="J856" s="490"/>
      <c r="K856" s="237" t="e">
        <f>$K$751</f>
        <v>#REF!</v>
      </c>
      <c r="L856" s="1009"/>
      <c r="M856" s="490" t="e">
        <f>ROUND(K856*$C856,0)</f>
        <v>#REF!</v>
      </c>
      <c r="N856" s="490"/>
      <c r="O856" s="237" t="e">
        <f>$O$751</f>
        <v>#REF!</v>
      </c>
      <c r="P856" s="1009"/>
      <c r="Q856" s="490" t="e">
        <f>ROUND(O856*$C856,0)</f>
        <v>#REF!</v>
      </c>
      <c r="R856" s="490"/>
      <c r="S856" s="237" t="e">
        <f>$S$751</f>
        <v>#REF!</v>
      </c>
      <c r="T856" s="1009"/>
      <c r="U856" s="490" t="e">
        <f>ROUND(S856*$C856,0)</f>
        <v>#REF!</v>
      </c>
      <c r="V856" s="7"/>
      <c r="W856" s="31"/>
      <c r="X856" s="31"/>
      <c r="Y856" s="31"/>
      <c r="Z856" s="7"/>
      <c r="AA856" s="7"/>
      <c r="AB856" s="7"/>
      <c r="AC856" s="7"/>
      <c r="AD856" s="7"/>
      <c r="AE856" s="7"/>
      <c r="AF856" s="7"/>
      <c r="AG856" s="7"/>
      <c r="AH856" s="7"/>
      <c r="AI856" s="7"/>
      <c r="AJ856" s="7"/>
      <c r="AK856" s="7"/>
      <c r="AL856" s="7"/>
      <c r="AM856" s="7"/>
      <c r="AN856" s="7"/>
      <c r="AO856" s="7"/>
      <c r="AP856" s="7"/>
    </row>
    <row r="857" spans="1:44">
      <c r="A857" s="305" t="s">
        <v>449</v>
      </c>
      <c r="B857" s="305"/>
      <c r="C857" s="61">
        <v>485.83561355334598</v>
      </c>
      <c r="D857" s="237">
        <f t="shared" si="165"/>
        <v>159.78</v>
      </c>
      <c r="E857" s="1009"/>
      <c r="F857" s="490">
        <f>ROUND(D857*C857,0)</f>
        <v>77627</v>
      </c>
      <c r="G857" s="237">
        <f>$G$752</f>
        <v>160.07999999999998</v>
      </c>
      <c r="H857" s="1009"/>
      <c r="I857" s="490">
        <f>ROUND(G857*$C857,0)</f>
        <v>77773</v>
      </c>
      <c r="J857" s="490"/>
      <c r="K857" s="237" t="e">
        <f>$K$752</f>
        <v>#REF!</v>
      </c>
      <c r="L857" s="1009"/>
      <c r="M857" s="490" t="e">
        <f>ROUND(K857*$C857,0)</f>
        <v>#REF!</v>
      </c>
      <c r="N857" s="490"/>
      <c r="O857" s="237" t="e">
        <f>$O$752</f>
        <v>#REF!</v>
      </c>
      <c r="P857" s="1009"/>
      <c r="Q857" s="490" t="e">
        <f>ROUND(O857*$C857,0)</f>
        <v>#REF!</v>
      </c>
      <c r="R857" s="490"/>
      <c r="S857" s="237" t="e">
        <f>$S$752</f>
        <v>#REF!</v>
      </c>
      <c r="T857" s="1009"/>
      <c r="U857" s="490" t="e">
        <f>ROUND(S857*$C857,0)</f>
        <v>#REF!</v>
      </c>
      <c r="V857" s="7"/>
      <c r="W857" s="31"/>
      <c r="X857" s="31"/>
      <c r="Y857" s="31"/>
      <c r="Z857" s="7"/>
      <c r="AA857" s="7"/>
      <c r="AB857" s="7"/>
      <c r="AC857" s="7"/>
      <c r="AD857" s="7"/>
      <c r="AE857" s="7"/>
      <c r="AF857" s="7"/>
      <c r="AG857" s="7"/>
      <c r="AH857" s="7"/>
      <c r="AI857" s="7"/>
      <c r="AJ857" s="7"/>
      <c r="AK857" s="7"/>
      <c r="AL857" s="7"/>
      <c r="AM857" s="7"/>
      <c r="AN857" s="7"/>
      <c r="AO857" s="7"/>
      <c r="AP857" s="7"/>
    </row>
    <row r="858" spans="1:44">
      <c r="A858" s="305" t="s">
        <v>450</v>
      </c>
      <c r="B858" s="305"/>
      <c r="C858" s="61"/>
      <c r="D858" s="237"/>
      <c r="E858" s="1009"/>
      <c r="F858" s="490"/>
      <c r="G858" s="237"/>
      <c r="H858" s="1009"/>
      <c r="I858" s="490"/>
      <c r="J858" s="490"/>
      <c r="K858" s="237"/>
      <c r="L858" s="1009"/>
      <c r="M858" s="490"/>
      <c r="N858" s="490"/>
      <c r="O858" s="237"/>
      <c r="P858" s="1009"/>
      <c r="Q858" s="490"/>
      <c r="R858" s="490"/>
      <c r="S858" s="237"/>
      <c r="T858" s="1009"/>
      <c r="U858" s="490"/>
      <c r="V858" s="7"/>
      <c r="W858" s="31"/>
      <c r="X858" s="31"/>
      <c r="Y858" s="31"/>
      <c r="Z858" s="7"/>
      <c r="AA858" s="7"/>
      <c r="AB858" s="7"/>
      <c r="AC858" s="7"/>
      <c r="AD858" s="7"/>
      <c r="AE858" s="7"/>
      <c r="AF858" s="7"/>
      <c r="AG858" s="7"/>
      <c r="AH858" s="7"/>
      <c r="AI858" s="7"/>
      <c r="AJ858" s="7"/>
      <c r="AK858" s="7"/>
      <c r="AL858" s="7"/>
      <c r="AM858" s="7"/>
      <c r="AN858" s="7"/>
      <c r="AO858" s="7"/>
      <c r="AP858" s="7"/>
    </row>
    <row r="859" spans="1:44">
      <c r="A859" s="305" t="s">
        <v>445</v>
      </c>
      <c r="B859" s="305"/>
      <c r="C859" s="61">
        <v>294.168669420453</v>
      </c>
      <c r="D859" s="237">
        <f>D754</f>
        <v>-26.63</v>
      </c>
      <c r="E859" s="1009"/>
      <c r="F859" s="490">
        <f>ROUND(D859*C859,0)</f>
        <v>-7834</v>
      </c>
      <c r="G859" s="237">
        <f>-G851</f>
        <v>-26.61</v>
      </c>
      <c r="H859" s="1009"/>
      <c r="I859" s="490">
        <f>ROUND(G859*$C859,0)</f>
        <v>-7828</v>
      </c>
      <c r="J859" s="490"/>
      <c r="K859" s="237" t="e">
        <f>-K851</f>
        <v>#REF!</v>
      </c>
      <c r="L859" s="1009"/>
      <c r="M859" s="490" t="e">
        <f>ROUND(K859*$C859,0)</f>
        <v>#REF!</v>
      </c>
      <c r="N859" s="490"/>
      <c r="O859" s="237" t="e">
        <f>-O851</f>
        <v>#REF!</v>
      </c>
      <c r="P859" s="1009"/>
      <c r="Q859" s="490" t="e">
        <f>ROUND(O859*$C859,0)</f>
        <v>#REF!</v>
      </c>
      <c r="R859" s="490"/>
      <c r="S859" s="237" t="e">
        <f>-S851</f>
        <v>#REF!</v>
      </c>
      <c r="T859" s="1009"/>
      <c r="U859" s="490" t="e">
        <f>ROUND(S859*$C859,0)</f>
        <v>#REF!</v>
      </c>
      <c r="V859" s="7"/>
      <c r="W859" s="31"/>
      <c r="X859" s="31"/>
      <c r="Y859" s="31"/>
      <c r="Z859" s="7"/>
      <c r="AA859" s="7"/>
      <c r="AB859" s="7"/>
      <c r="AC859" s="7"/>
      <c r="AD859" s="7"/>
      <c r="AE859" s="7"/>
      <c r="AF859" s="7"/>
      <c r="AG859" s="7"/>
      <c r="AH859" s="7"/>
      <c r="AI859" s="7"/>
      <c r="AJ859" s="7"/>
      <c r="AK859" s="7"/>
      <c r="AL859" s="7"/>
      <c r="AM859" s="7"/>
      <c r="AN859" s="7"/>
      <c r="AO859" s="7"/>
      <c r="AP859" s="7"/>
    </row>
    <row r="860" spans="1:44">
      <c r="A860" s="305" t="s">
        <v>451</v>
      </c>
      <c r="B860" s="305"/>
      <c r="C860" s="61">
        <v>822.90480660908702</v>
      </c>
      <c r="D860" s="237">
        <f>D755</f>
        <v>-26.63</v>
      </c>
      <c r="E860" s="1009"/>
      <c r="F860" s="490">
        <f>ROUND(D860*C860,0)</f>
        <v>-21914</v>
      </c>
      <c r="G860" s="237">
        <f>-G853</f>
        <v>-26.68</v>
      </c>
      <c r="H860" s="1009"/>
      <c r="I860" s="490">
        <f>ROUND(G860*$C860,0)</f>
        <v>-21955</v>
      </c>
      <c r="J860" s="490"/>
      <c r="K860" s="237" t="e">
        <f>-K853</f>
        <v>#REF!</v>
      </c>
      <c r="L860" s="1009"/>
      <c r="M860" s="490" t="e">
        <f>ROUND(K860*$C860,0)</f>
        <v>#REF!</v>
      </c>
      <c r="N860" s="490"/>
      <c r="O860" s="237" t="e">
        <f>-O853</f>
        <v>#REF!</v>
      </c>
      <c r="P860" s="1009"/>
      <c r="Q860" s="490" t="e">
        <f>ROUND(O860*$C860,0)</f>
        <v>#REF!</v>
      </c>
      <c r="R860" s="490"/>
      <c r="S860" s="237" t="e">
        <f>-S853</f>
        <v>#REF!</v>
      </c>
      <c r="T860" s="1009"/>
      <c r="U860" s="490" t="e">
        <f>ROUND(S860*$C860,0)</f>
        <v>#REF!</v>
      </c>
      <c r="V860" s="7"/>
      <c r="W860" s="31"/>
      <c r="X860" s="31"/>
      <c r="Y860" s="31"/>
      <c r="Z860" s="7"/>
      <c r="AA860" s="7"/>
      <c r="AB860" s="7"/>
      <c r="AC860" s="7"/>
      <c r="AD860" s="7"/>
      <c r="AE860" s="7"/>
      <c r="AF860" s="7"/>
      <c r="AG860" s="7"/>
      <c r="AH860" s="7"/>
      <c r="AI860" s="7"/>
      <c r="AJ860" s="7"/>
      <c r="AK860" s="7"/>
      <c r="AL860" s="7"/>
      <c r="AM860" s="7"/>
      <c r="AN860" s="7"/>
      <c r="AO860" s="7"/>
      <c r="AP860" s="7"/>
    </row>
    <row r="861" spans="1:44">
      <c r="A861" s="305" t="s">
        <v>414</v>
      </c>
      <c r="B861" s="305"/>
      <c r="C861" s="61"/>
      <c r="D861" s="237"/>
      <c r="E861" s="490"/>
      <c r="F861" s="490"/>
      <c r="G861" s="237"/>
      <c r="H861" s="490"/>
      <c r="I861" s="490"/>
      <c r="J861" s="490"/>
      <c r="K861" s="237"/>
      <c r="L861" s="490"/>
      <c r="M861" s="490"/>
      <c r="N861" s="490"/>
      <c r="O861" s="237"/>
      <c r="P861" s="490"/>
      <c r="Q861" s="490"/>
      <c r="R861" s="490"/>
      <c r="S861" s="237"/>
      <c r="T861" s="490"/>
      <c r="U861" s="490"/>
      <c r="V861" s="7"/>
      <c r="W861" s="31"/>
      <c r="X861" s="31"/>
      <c r="Y861" s="31"/>
      <c r="Z861" s="7"/>
      <c r="AA861" s="7"/>
      <c r="AB861" s="7"/>
      <c r="AC861" s="7"/>
      <c r="AD861" s="7"/>
      <c r="AE861" s="7"/>
      <c r="AF861" s="7"/>
      <c r="AG861" s="7"/>
      <c r="AH861" s="7"/>
      <c r="AI861" s="7"/>
      <c r="AJ861" s="7"/>
      <c r="AK861" s="7"/>
      <c r="AL861" s="7"/>
      <c r="AM861" s="7"/>
      <c r="AN861" s="7"/>
      <c r="AO861" s="7"/>
      <c r="AP861" s="7"/>
    </row>
    <row r="862" spans="1:44">
      <c r="A862" s="305" t="s">
        <v>452</v>
      </c>
      <c r="B862" s="305"/>
      <c r="C862" s="61">
        <v>60354962</v>
      </c>
      <c r="D862" s="308">
        <f>D757</f>
        <v>7.2030000000000003</v>
      </c>
      <c r="E862" s="490" t="s">
        <v>362</v>
      </c>
      <c r="F862" s="490">
        <f>ROUND(D862/100*C862,0)</f>
        <v>4347368</v>
      </c>
      <c r="G862" s="308">
        <f>$G$757</f>
        <v>7.2030000000000003</v>
      </c>
      <c r="H862" s="490" t="s">
        <v>362</v>
      </c>
      <c r="I862" s="490">
        <f>ROUND(G862/100*$C862,0)</f>
        <v>4347368</v>
      </c>
      <c r="J862" s="490"/>
      <c r="K862" s="308" t="e">
        <f>$K$757</f>
        <v>#REF!</v>
      </c>
      <c r="L862" s="490" t="s">
        <v>362</v>
      </c>
      <c r="M862" s="490" t="e">
        <f>ROUND(K862/100*$C862,0)</f>
        <v>#REF!</v>
      </c>
      <c r="N862" s="490"/>
      <c r="O862" s="308" t="e">
        <f>$O$757</f>
        <v>#REF!</v>
      </c>
      <c r="P862" s="490" t="s">
        <v>362</v>
      </c>
      <c r="Q862" s="490" t="e">
        <f>ROUND(O862/100*$C862,0)</f>
        <v>#REF!</v>
      </c>
      <c r="R862" s="490"/>
      <c r="S862" s="308" t="e">
        <f>$S$757</f>
        <v>#REF!</v>
      </c>
      <c r="T862" s="490" t="s">
        <v>362</v>
      </c>
      <c r="U862" s="490" t="e">
        <f>ROUND(S862/100*$C862,0)</f>
        <v>#REF!</v>
      </c>
      <c r="V862" s="7"/>
      <c r="W862" s="31"/>
      <c r="X862" s="31"/>
      <c r="Y862" s="31"/>
      <c r="Z862" s="7"/>
      <c r="AA862" s="7"/>
      <c r="AB862" s="7"/>
      <c r="AC862" s="7"/>
      <c r="AD862" s="7"/>
      <c r="AE862" s="7"/>
      <c r="AF862" s="7"/>
      <c r="AG862" s="7"/>
      <c r="AH862" s="7"/>
      <c r="AI862" s="7"/>
      <c r="AJ862" s="7"/>
      <c r="AK862" s="7"/>
      <c r="AL862" s="7"/>
      <c r="AM862" s="7"/>
      <c r="AN862" s="7"/>
      <c r="AO862" s="7"/>
      <c r="AP862" s="7"/>
    </row>
    <row r="863" spans="1:44">
      <c r="A863" s="305" t="s">
        <v>388</v>
      </c>
      <c r="B863" s="305"/>
      <c r="C863" s="61">
        <v>23164</v>
      </c>
      <c r="D863" s="1027">
        <f>D758</f>
        <v>58</v>
      </c>
      <c r="E863" s="305" t="s">
        <v>362</v>
      </c>
      <c r="F863" s="490">
        <f>ROUND(D863*C863/100,0)</f>
        <v>13435</v>
      </c>
      <c r="G863" s="1027">
        <f>$G$758</f>
        <v>58</v>
      </c>
      <c r="H863" s="305" t="s">
        <v>362</v>
      </c>
      <c r="I863" s="490">
        <f>ROUND(G863*$C863/100,0)</f>
        <v>13435</v>
      </c>
      <c r="J863" s="490"/>
      <c r="K863" s="1027" t="e">
        <f>$K$758</f>
        <v>#REF!</v>
      </c>
      <c r="L863" s="305" t="s">
        <v>362</v>
      </c>
      <c r="M863" s="490" t="e">
        <f>ROUND(K863*$C863/100,0)</f>
        <v>#REF!</v>
      </c>
      <c r="N863" s="490"/>
      <c r="O863" s="1027" t="e">
        <f>$O$758</f>
        <v>#REF!</v>
      </c>
      <c r="P863" s="305" t="s">
        <v>362</v>
      </c>
      <c r="Q863" s="490" t="e">
        <f>ROUND(O863*$C863/100,0)</f>
        <v>#REF!</v>
      </c>
      <c r="R863" s="490"/>
      <c r="S863" s="1027" t="e">
        <f>$S$758</f>
        <v>#REF!</v>
      </c>
      <c r="T863" s="305" t="s">
        <v>362</v>
      </c>
      <c r="U863" s="490" t="e">
        <f>ROUND(S863*$C863/100,0)</f>
        <v>#REF!</v>
      </c>
      <c r="V863" s="7"/>
      <c r="W863" s="31"/>
      <c r="X863" s="31"/>
      <c r="Y863" s="31"/>
      <c r="Z863" s="7"/>
      <c r="AA863" s="7"/>
      <c r="AB863" s="7"/>
      <c r="AC863" s="7"/>
      <c r="AD863" s="7"/>
      <c r="AE863" s="7"/>
      <c r="AF863" s="7"/>
      <c r="AG863" s="7"/>
      <c r="AH863" s="7"/>
      <c r="AI863" s="7"/>
      <c r="AJ863" s="7"/>
      <c r="AK863" s="7"/>
      <c r="AL863" s="7"/>
      <c r="AM863" s="7"/>
      <c r="AN863" s="7"/>
      <c r="AO863" s="7"/>
      <c r="AP863" s="7"/>
    </row>
    <row r="864" spans="1:44" s="588" customFormat="1" hidden="1">
      <c r="A864" s="588" t="s">
        <v>774</v>
      </c>
      <c r="C864" s="631">
        <f>C862</f>
        <v>60354962</v>
      </c>
      <c r="D864" s="990">
        <v>0</v>
      </c>
      <c r="E864" s="635"/>
      <c r="F864" s="616"/>
      <c r="G864" s="1058">
        <f>G759</f>
        <v>0</v>
      </c>
      <c r="H864" s="616" t="s">
        <v>362</v>
      </c>
      <c r="I864" s="616">
        <f>ROUND(G864*$C864/100,0)</f>
        <v>0</v>
      </c>
      <c r="J864" s="616"/>
      <c r="K864" s="1058" t="e">
        <f>K759</f>
        <v>#REF!</v>
      </c>
      <c r="L864" s="616" t="s">
        <v>362</v>
      </c>
      <c r="M864" s="616" t="e">
        <f>ROUND(K864*$C864/100,0)</f>
        <v>#REF!</v>
      </c>
      <c r="N864" s="616"/>
      <c r="O864" s="1058" t="e">
        <f>O759</f>
        <v>#REF!</v>
      </c>
      <c r="P864" s="616" t="s">
        <v>362</v>
      </c>
      <c r="Q864" s="616" t="e">
        <f>ROUND(O864*$C864/100,0)</f>
        <v>#REF!</v>
      </c>
      <c r="R864" s="616"/>
      <c r="S864" s="1058" t="e">
        <f>S759</f>
        <v>#REF!</v>
      </c>
      <c r="T864" s="616" t="s">
        <v>362</v>
      </c>
      <c r="U864" s="616" t="e">
        <f>ROUND(S864*$C864/100,0)</f>
        <v>#REF!</v>
      </c>
      <c r="W864" s="450"/>
      <c r="Z864" s="989"/>
      <c r="AA864" s="989"/>
      <c r="AF864" s="635"/>
      <c r="AG864" s="635"/>
      <c r="AH864" s="635"/>
      <c r="AI864" s="635"/>
      <c r="AJ864" s="635"/>
      <c r="AK864" s="635"/>
      <c r="AL864" s="635"/>
      <c r="AM864" s="635"/>
      <c r="AN864" s="635"/>
      <c r="AO864" s="635"/>
      <c r="AP864" s="635"/>
      <c r="AR864" s="988"/>
    </row>
    <row r="865" spans="1:42">
      <c r="A865" s="244" t="s">
        <v>389</v>
      </c>
      <c r="B865" s="305"/>
      <c r="C865" s="61"/>
      <c r="D865" s="1023">
        <v>-0.01</v>
      </c>
      <c r="E865" s="305"/>
      <c r="F865" s="490"/>
      <c r="G865" s="1023">
        <v>-0.01</v>
      </c>
      <c r="H865" s="305"/>
      <c r="I865" s="490"/>
      <c r="J865" s="490"/>
      <c r="K865" s="1023">
        <v>-0.01</v>
      </c>
      <c r="L865" s="305"/>
      <c r="M865" s="490"/>
      <c r="N865" s="490"/>
      <c r="O865" s="1023">
        <v>-0.01</v>
      </c>
      <c r="P865" s="305"/>
      <c r="Q865" s="490"/>
      <c r="R865" s="490"/>
      <c r="S865" s="1023">
        <v>-0.01</v>
      </c>
      <c r="T865" s="305"/>
      <c r="U865" s="490"/>
      <c r="V865" s="7"/>
      <c r="W865" s="31"/>
      <c r="X865" s="31"/>
      <c r="Y865" s="31"/>
      <c r="Z865" s="7"/>
      <c r="AA865" s="7"/>
      <c r="AB865" s="7"/>
      <c r="AC865" s="7"/>
      <c r="AD865" s="7"/>
      <c r="AE865" s="7"/>
      <c r="AF865" s="7"/>
      <c r="AG865" s="7"/>
      <c r="AH865" s="7"/>
      <c r="AI865" s="7"/>
      <c r="AJ865" s="7"/>
      <c r="AK865" s="7"/>
      <c r="AL865" s="7"/>
      <c r="AM865" s="7"/>
      <c r="AN865" s="7"/>
      <c r="AO865" s="7"/>
      <c r="AP865" s="7"/>
    </row>
    <row r="866" spans="1:42">
      <c r="A866" s="305" t="s">
        <v>378</v>
      </c>
      <c r="B866" s="305"/>
      <c r="C866" s="61">
        <v>0</v>
      </c>
      <c r="D866" s="237">
        <f>D842</f>
        <v>0</v>
      </c>
      <c r="E866" s="1009"/>
      <c r="F866" s="490">
        <f>ROUND(D866*C866,0)</f>
        <v>0</v>
      </c>
      <c r="G866" s="237">
        <f>G842</f>
        <v>0</v>
      </c>
      <c r="H866" s="1009"/>
      <c r="I866" s="490">
        <f>ROUND(G866*$C866*$G$865,0)</f>
        <v>0</v>
      </c>
      <c r="J866" s="490"/>
      <c r="K866" s="237" t="e">
        <f>K842</f>
        <v>#REF!</v>
      </c>
      <c r="L866" s="1009"/>
      <c r="M866" s="490" t="e">
        <f>ROUND(K866*$C866*$G$865,0)</f>
        <v>#REF!</v>
      </c>
      <c r="N866" s="490"/>
      <c r="O866" s="237" t="e">
        <f>O842</f>
        <v>#REF!</v>
      </c>
      <c r="P866" s="1009"/>
      <c r="Q866" s="490" t="e">
        <f>ROUND(O866*$C866*$G$865,0)</f>
        <v>#REF!</v>
      </c>
      <c r="R866" s="490"/>
      <c r="S866" s="237" t="e">
        <f>S842</f>
        <v>#REF!</v>
      </c>
      <c r="T866" s="1009"/>
      <c r="U866" s="490" t="e">
        <f>ROUND(S866*$C866*$G$865,0)</f>
        <v>#REF!</v>
      </c>
      <c r="V866" s="7"/>
      <c r="W866" s="31"/>
      <c r="X866" s="31"/>
      <c r="Y866" s="31"/>
      <c r="Z866" s="7"/>
      <c r="AA866" s="7"/>
      <c r="AB866" s="7"/>
      <c r="AC866" s="7"/>
      <c r="AD866" s="7"/>
      <c r="AE866" s="7"/>
      <c r="AF866" s="7"/>
      <c r="AG866" s="7"/>
      <c r="AH866" s="7"/>
      <c r="AI866" s="7"/>
      <c r="AJ866" s="7"/>
      <c r="AK866" s="7"/>
      <c r="AL866" s="7"/>
      <c r="AM866" s="7"/>
      <c r="AN866" s="7"/>
      <c r="AO866" s="7"/>
      <c r="AP866" s="7"/>
    </row>
    <row r="867" spans="1:42">
      <c r="A867" s="305" t="s">
        <v>379</v>
      </c>
      <c r="B867" s="305"/>
      <c r="C867" s="61"/>
      <c r="D867" s="237"/>
      <c r="E867" s="1009"/>
      <c r="F867" s="490"/>
      <c r="G867" s="237"/>
      <c r="H867" s="1009"/>
      <c r="I867" s="490"/>
      <c r="J867" s="490"/>
      <c r="K867" s="237"/>
      <c r="L867" s="1009"/>
      <c r="M867" s="490"/>
      <c r="N867" s="490"/>
      <c r="O867" s="237"/>
      <c r="P867" s="1009"/>
      <c r="Q867" s="490"/>
      <c r="R867" s="490"/>
      <c r="S867" s="237"/>
      <c r="T867" s="1009"/>
      <c r="U867" s="490"/>
      <c r="V867" s="7"/>
      <c r="W867" s="31"/>
      <c r="X867" s="31"/>
      <c r="Y867" s="31"/>
      <c r="Z867" s="7"/>
      <c r="AA867" s="7"/>
      <c r="AB867" s="7"/>
      <c r="AC867" s="7"/>
      <c r="AD867" s="7"/>
      <c r="AE867" s="7"/>
      <c r="AF867" s="7"/>
      <c r="AG867" s="7"/>
      <c r="AH867" s="7"/>
      <c r="AI867" s="7"/>
      <c r="AJ867" s="7"/>
      <c r="AK867" s="7"/>
      <c r="AL867" s="7"/>
      <c r="AM867" s="7"/>
      <c r="AN867" s="7"/>
      <c r="AO867" s="7"/>
      <c r="AP867" s="7"/>
    </row>
    <row r="868" spans="1:42">
      <c r="A868" s="305" t="s">
        <v>440</v>
      </c>
      <c r="B868" s="305"/>
      <c r="C868" s="61">
        <v>0</v>
      </c>
      <c r="D868" s="237">
        <f>D844</f>
        <v>0</v>
      </c>
      <c r="E868" s="1009"/>
      <c r="F868" s="490">
        <f>ROUND(D868*C868,0)</f>
        <v>0</v>
      </c>
      <c r="G868" s="237">
        <f>G844</f>
        <v>0</v>
      </c>
      <c r="H868" s="1009"/>
      <c r="I868" s="490">
        <f>ROUND(G868*$C868*$G$865,0)</f>
        <v>0</v>
      </c>
      <c r="J868" s="490"/>
      <c r="K868" s="237" t="e">
        <f>K844</f>
        <v>#REF!</v>
      </c>
      <c r="L868" s="1009"/>
      <c r="M868" s="490" t="e">
        <f>ROUND(K868*$C868*$G$865,0)</f>
        <v>#REF!</v>
      </c>
      <c r="N868" s="490"/>
      <c r="O868" s="237" t="e">
        <f>O844</f>
        <v>#REF!</v>
      </c>
      <c r="P868" s="1009"/>
      <c r="Q868" s="490" t="e">
        <f>ROUND(O868*$C868*$G$865,0)</f>
        <v>#REF!</v>
      </c>
      <c r="R868" s="490"/>
      <c r="S868" s="237" t="e">
        <f>S844</f>
        <v>#REF!</v>
      </c>
      <c r="T868" s="1009"/>
      <c r="U868" s="490" t="e">
        <f>ROUND(S868*$C868*$G$865,0)</f>
        <v>#REF!</v>
      </c>
      <c r="V868" s="7"/>
      <c r="W868" s="31"/>
      <c r="X868" s="31"/>
      <c r="Y868" s="31"/>
      <c r="Z868" s="7"/>
      <c r="AA868" s="7"/>
      <c r="AB868" s="7"/>
      <c r="AC868" s="7"/>
      <c r="AD868" s="7"/>
      <c r="AE868" s="7"/>
      <c r="AF868" s="7"/>
      <c r="AG868" s="7"/>
      <c r="AH868" s="7"/>
      <c r="AI868" s="7"/>
      <c r="AJ868" s="7"/>
      <c r="AK868" s="7"/>
      <c r="AL868" s="7"/>
      <c r="AM868" s="7"/>
      <c r="AN868" s="7"/>
      <c r="AO868" s="7"/>
      <c r="AP868" s="7"/>
    </row>
    <row r="869" spans="1:42">
      <c r="A869" s="305" t="s">
        <v>441</v>
      </c>
      <c r="B869" s="305"/>
      <c r="C869" s="61">
        <v>0</v>
      </c>
      <c r="D869" s="237">
        <f t="shared" ref="D869:D870" si="166">D845</f>
        <v>379</v>
      </c>
      <c r="E869" s="1009"/>
      <c r="F869" s="490">
        <f>ROUND(D869*C869,0)</f>
        <v>0</v>
      </c>
      <c r="G869" s="237">
        <f>G845</f>
        <v>379</v>
      </c>
      <c r="H869" s="1009"/>
      <c r="I869" s="490">
        <f>ROUND(G869*$C869*$G$865,0)</f>
        <v>0</v>
      </c>
      <c r="J869" s="490"/>
      <c r="K869" s="237" t="e">
        <f>K845</f>
        <v>#REF!</v>
      </c>
      <c r="L869" s="1009"/>
      <c r="M869" s="490" t="e">
        <f>ROUND(K869*$C869*$G$865,0)</f>
        <v>#REF!</v>
      </c>
      <c r="N869" s="490"/>
      <c r="O869" s="237" t="e">
        <f>O845</f>
        <v>#REF!</v>
      </c>
      <c r="P869" s="1009"/>
      <c r="Q869" s="490" t="e">
        <f>ROUND(O869*$C869*$G$865,0)</f>
        <v>#REF!</v>
      </c>
      <c r="R869" s="490"/>
      <c r="S869" s="237" t="e">
        <f>S845</f>
        <v>#REF!</v>
      </c>
      <c r="T869" s="1009"/>
      <c r="U869" s="490" t="e">
        <f>ROUND(S869*$C869*$G$865,0)</f>
        <v>#REF!</v>
      </c>
      <c r="V869" s="7"/>
      <c r="W869" s="31"/>
      <c r="X869" s="31"/>
      <c r="Y869" s="31"/>
      <c r="Z869" s="7"/>
      <c r="AA869" s="7"/>
      <c r="AB869" s="7"/>
      <c r="AC869" s="7"/>
      <c r="AD869" s="7"/>
      <c r="AE869" s="7"/>
      <c r="AF869" s="7"/>
      <c r="AG869" s="7"/>
      <c r="AH869" s="7"/>
      <c r="AI869" s="7"/>
      <c r="AJ869" s="7"/>
      <c r="AK869" s="7"/>
      <c r="AL869" s="7"/>
      <c r="AM869" s="7"/>
      <c r="AN869" s="7"/>
      <c r="AO869" s="7"/>
      <c r="AP869" s="7"/>
    </row>
    <row r="870" spans="1:42">
      <c r="A870" s="305" t="s">
        <v>442</v>
      </c>
      <c r="B870" s="305"/>
      <c r="C870" s="61">
        <v>0</v>
      </c>
      <c r="D870" s="237">
        <f t="shared" si="166"/>
        <v>1539</v>
      </c>
      <c r="E870" s="1009"/>
      <c r="F870" s="490">
        <f>ROUND(D870*C870,0)</f>
        <v>0</v>
      </c>
      <c r="G870" s="237">
        <f>G846</f>
        <v>1539</v>
      </c>
      <c r="H870" s="1009"/>
      <c r="I870" s="490">
        <f>ROUND(G870*$C870*$G$865,0)</f>
        <v>0</v>
      </c>
      <c r="J870" s="490"/>
      <c r="K870" s="237" t="e">
        <f>K846</f>
        <v>#REF!</v>
      </c>
      <c r="L870" s="1009"/>
      <c r="M870" s="490" t="e">
        <f>ROUND(K870*$C870*$G$865,0)</f>
        <v>#REF!</v>
      </c>
      <c r="N870" s="490"/>
      <c r="O870" s="237" t="e">
        <f>O846</f>
        <v>#REF!</v>
      </c>
      <c r="P870" s="1009"/>
      <c r="Q870" s="490" t="e">
        <f>ROUND(O870*$C870*$G$865,0)</f>
        <v>#REF!</v>
      </c>
      <c r="R870" s="490"/>
      <c r="S870" s="237" t="e">
        <f>S846</f>
        <v>#REF!</v>
      </c>
      <c r="T870" s="1009"/>
      <c r="U870" s="490" t="e">
        <f>ROUND(S870*$C870*$G$865,0)</f>
        <v>#REF!</v>
      </c>
      <c r="V870" s="7"/>
      <c r="W870" s="31"/>
      <c r="X870" s="31"/>
      <c r="Y870" s="31"/>
      <c r="Z870" s="7"/>
      <c r="AA870" s="7"/>
      <c r="AB870" s="7"/>
      <c r="AC870" s="7"/>
      <c r="AD870" s="7"/>
      <c r="AE870" s="7"/>
      <c r="AF870" s="7"/>
      <c r="AG870" s="7"/>
      <c r="AH870" s="7"/>
      <c r="AI870" s="7"/>
      <c r="AJ870" s="7"/>
      <c r="AK870" s="7"/>
      <c r="AL870" s="7"/>
      <c r="AM870" s="7"/>
      <c r="AN870" s="7"/>
      <c r="AO870" s="7"/>
      <c r="AP870" s="7"/>
    </row>
    <row r="871" spans="1:42">
      <c r="A871" s="305" t="s">
        <v>378</v>
      </c>
      <c r="B871" s="305"/>
      <c r="C871" s="61">
        <v>0</v>
      </c>
      <c r="D871" s="237">
        <f>D851</f>
        <v>26.63</v>
      </c>
      <c r="E871" s="1009"/>
      <c r="F871" s="490">
        <f>ROUND(D871*C871,0)</f>
        <v>0</v>
      </c>
      <c r="G871" s="237">
        <f>G851</f>
        <v>26.61</v>
      </c>
      <c r="H871" s="1009"/>
      <c r="I871" s="490">
        <f>ROUND(G871*$C871*$G$865,0)</f>
        <v>0</v>
      </c>
      <c r="J871" s="490"/>
      <c r="K871" s="237" t="e">
        <f>K851</f>
        <v>#REF!</v>
      </c>
      <c r="L871" s="1009"/>
      <c r="M871" s="490" t="e">
        <f>ROUND(K871*$C871*$G$865,0)</f>
        <v>#REF!</v>
      </c>
      <c r="N871" s="490"/>
      <c r="O871" s="237" t="e">
        <f>O851</f>
        <v>#REF!</v>
      </c>
      <c r="P871" s="1009"/>
      <c r="Q871" s="490" t="e">
        <f>ROUND(O871*$C871*$G$865,0)</f>
        <v>#REF!</v>
      </c>
      <c r="R871" s="490"/>
      <c r="S871" s="237" t="e">
        <f>S851</f>
        <v>#REF!</v>
      </c>
      <c r="T871" s="1009"/>
      <c r="U871" s="490" t="e">
        <f>ROUND(S871*$C871*$G$865,0)</f>
        <v>#REF!</v>
      </c>
      <c r="V871" s="7"/>
      <c r="W871" s="31"/>
      <c r="X871" s="31"/>
      <c r="Y871" s="31"/>
      <c r="Z871" s="7"/>
      <c r="AA871" s="7"/>
      <c r="AB871" s="7"/>
      <c r="AC871" s="7"/>
      <c r="AD871" s="7"/>
      <c r="AE871" s="7"/>
      <c r="AF871" s="7"/>
      <c r="AG871" s="7"/>
      <c r="AH871" s="7"/>
      <c r="AI871" s="7"/>
      <c r="AJ871" s="7"/>
      <c r="AK871" s="7"/>
      <c r="AL871" s="7"/>
      <c r="AM871" s="7"/>
      <c r="AN871" s="7"/>
      <c r="AO871" s="7"/>
      <c r="AP871" s="7"/>
    </row>
    <row r="872" spans="1:42">
      <c r="A872" s="305" t="s">
        <v>379</v>
      </c>
      <c r="B872" s="305"/>
      <c r="C872" s="61"/>
      <c r="D872" s="237"/>
      <c r="E872" s="1009"/>
      <c r="F872" s="490"/>
      <c r="G872" s="237"/>
      <c r="H872" s="1009"/>
      <c r="I872" s="490"/>
      <c r="J872" s="490"/>
      <c r="K872" s="237"/>
      <c r="L872" s="1009"/>
      <c r="M872" s="490"/>
      <c r="N872" s="490"/>
      <c r="O872" s="237"/>
      <c r="P872" s="1009"/>
      <c r="Q872" s="490"/>
      <c r="R872" s="490"/>
      <c r="S872" s="237"/>
      <c r="T872" s="1009"/>
      <c r="U872" s="490"/>
      <c r="V872" s="7"/>
      <c r="W872" s="31"/>
      <c r="X872" s="31"/>
      <c r="Y872" s="31"/>
      <c r="Z872" s="7"/>
      <c r="AA872" s="7"/>
      <c r="AB872" s="7"/>
      <c r="AC872" s="7"/>
      <c r="AD872" s="7"/>
      <c r="AE872" s="7"/>
      <c r="AF872" s="7"/>
      <c r="AG872" s="7"/>
      <c r="AH872" s="7"/>
      <c r="AI872" s="7"/>
      <c r="AJ872" s="7"/>
      <c r="AK872" s="7"/>
      <c r="AL872" s="7"/>
      <c r="AM872" s="7"/>
      <c r="AN872" s="7"/>
      <c r="AO872" s="7"/>
      <c r="AP872" s="7"/>
    </row>
    <row r="873" spans="1:42">
      <c r="A873" s="305" t="s">
        <v>440</v>
      </c>
      <c r="B873" s="305"/>
      <c r="C873" s="61">
        <v>0</v>
      </c>
      <c r="D873" s="237">
        <f>D853</f>
        <v>26.63</v>
      </c>
      <c r="E873" s="1009"/>
      <c r="F873" s="490">
        <f>ROUND(D873*$C873*$D$761,0)</f>
        <v>0</v>
      </c>
      <c r="G873" s="237">
        <f>G853</f>
        <v>26.68</v>
      </c>
      <c r="H873" s="1009"/>
      <c r="I873" s="490">
        <f>ROUND(G873*$C873*$G$865,0)</f>
        <v>0</v>
      </c>
      <c r="J873" s="490"/>
      <c r="K873" s="237" t="e">
        <f>K853</f>
        <v>#REF!</v>
      </c>
      <c r="L873" s="1009"/>
      <c r="M873" s="490" t="e">
        <f>ROUND(K873*$C873*$G$865,0)</f>
        <v>#REF!</v>
      </c>
      <c r="N873" s="490"/>
      <c r="O873" s="237" t="e">
        <f>O853</f>
        <v>#REF!</v>
      </c>
      <c r="P873" s="1009"/>
      <c r="Q873" s="490" t="e">
        <f>ROUND(O873*$C873*$G$865,0)</f>
        <v>#REF!</v>
      </c>
      <c r="R873" s="490"/>
      <c r="S873" s="237" t="e">
        <f>S853</f>
        <v>#REF!</v>
      </c>
      <c r="T873" s="1009"/>
      <c r="U873" s="490" t="e">
        <f>ROUND(S873*$C873*$G$865,0)</f>
        <v>#REF!</v>
      </c>
      <c r="V873" s="7"/>
      <c r="W873" s="31"/>
      <c r="X873" s="31"/>
      <c r="Y873" s="31"/>
      <c r="Z873" s="7"/>
      <c r="AA873" s="7"/>
      <c r="AB873" s="7"/>
      <c r="AC873" s="7"/>
      <c r="AD873" s="7"/>
      <c r="AE873" s="7"/>
      <c r="AF873" s="7"/>
      <c r="AG873" s="7"/>
      <c r="AH873" s="7"/>
      <c r="AI873" s="7"/>
      <c r="AJ873" s="7"/>
      <c r="AK873" s="7"/>
      <c r="AL873" s="7"/>
      <c r="AM873" s="7"/>
      <c r="AN873" s="7"/>
      <c r="AO873" s="7"/>
      <c r="AP873" s="7"/>
    </row>
    <row r="874" spans="1:42">
      <c r="A874" s="305" t="s">
        <v>441</v>
      </c>
      <c r="B874" s="305"/>
      <c r="C874" s="61">
        <v>0</v>
      </c>
      <c r="D874" s="237">
        <f t="shared" ref="D874:D877" si="167">D854</f>
        <v>18.53</v>
      </c>
      <c r="E874" s="1009"/>
      <c r="F874" s="490">
        <f>ROUND(D874*$C874*$D$761,0)</f>
        <v>0</v>
      </c>
      <c r="G874" s="237">
        <f>G854</f>
        <v>18.540000000000003</v>
      </c>
      <c r="H874" s="1009"/>
      <c r="I874" s="490">
        <f>ROUND(G874*$C874*$G$865,0)</f>
        <v>0</v>
      </c>
      <c r="J874" s="490"/>
      <c r="K874" s="237" t="e">
        <f>K854</f>
        <v>#REF!</v>
      </c>
      <c r="L874" s="1009"/>
      <c r="M874" s="490" t="e">
        <f>ROUND(K874*$C874*$G$865,0)</f>
        <v>#REF!</v>
      </c>
      <c r="N874" s="490"/>
      <c r="O874" s="237" t="e">
        <f>O854</f>
        <v>#REF!</v>
      </c>
      <c r="P874" s="1009"/>
      <c r="Q874" s="490" t="e">
        <f>ROUND(O874*$C874*$G$865,0)</f>
        <v>#REF!</v>
      </c>
      <c r="R874" s="490"/>
      <c r="S874" s="237" t="e">
        <f>S854</f>
        <v>#REF!</v>
      </c>
      <c r="T874" s="1009"/>
      <c r="U874" s="490" t="e">
        <f>ROUND(S874*$C874*$G$865,0)</f>
        <v>#REF!</v>
      </c>
      <c r="V874" s="7"/>
      <c r="W874" s="31"/>
      <c r="X874" s="31"/>
      <c r="Y874" s="31"/>
      <c r="Z874" s="7"/>
      <c r="AA874" s="7"/>
      <c r="AB874" s="7"/>
      <c r="AC874" s="7"/>
      <c r="AD874" s="7"/>
      <c r="AE874" s="7"/>
      <c r="AF874" s="7"/>
      <c r="AG874" s="7"/>
      <c r="AH874" s="7"/>
      <c r="AI874" s="7"/>
      <c r="AJ874" s="7"/>
      <c r="AK874" s="7"/>
      <c r="AL874" s="7"/>
      <c r="AM874" s="7"/>
      <c r="AN874" s="7"/>
      <c r="AO874" s="7"/>
      <c r="AP874" s="7"/>
    </row>
    <row r="875" spans="1:42">
      <c r="A875" s="305" t="s">
        <v>442</v>
      </c>
      <c r="B875" s="305"/>
      <c r="C875" s="61">
        <v>0</v>
      </c>
      <c r="D875" s="237">
        <f t="shared" si="167"/>
        <v>14.49</v>
      </c>
      <c r="E875" s="1009"/>
      <c r="F875" s="490">
        <f>ROUND(D875*$C875*$D$761,0)</f>
        <v>0</v>
      </c>
      <c r="G875" s="237">
        <f>G855</f>
        <v>14.49</v>
      </c>
      <c r="H875" s="1009"/>
      <c r="I875" s="490">
        <f>ROUND(G875*$C875*$G$865,0)</f>
        <v>0</v>
      </c>
      <c r="J875" s="490"/>
      <c r="K875" s="237" t="e">
        <f>K855</f>
        <v>#REF!</v>
      </c>
      <c r="L875" s="1009"/>
      <c r="M875" s="490" t="e">
        <f>ROUND(K875*$C875*$G$865,0)</f>
        <v>#REF!</v>
      </c>
      <c r="N875" s="490"/>
      <c r="O875" s="237" t="e">
        <f>O855</f>
        <v>#REF!</v>
      </c>
      <c r="P875" s="1009"/>
      <c r="Q875" s="490" t="e">
        <f>ROUND(O875*$C875*$G$865,0)</f>
        <v>#REF!</v>
      </c>
      <c r="R875" s="490"/>
      <c r="S875" s="237" t="e">
        <f>S855</f>
        <v>#REF!</v>
      </c>
      <c r="T875" s="1009"/>
      <c r="U875" s="490" t="e">
        <f>ROUND(S875*$C875*$G$865,0)</f>
        <v>#REF!</v>
      </c>
      <c r="V875" s="7"/>
      <c r="W875" s="31"/>
      <c r="X875" s="31"/>
      <c r="Y875" s="31"/>
      <c r="Z875" s="7"/>
      <c r="AA875" s="7"/>
      <c r="AB875" s="7"/>
      <c r="AC875" s="7"/>
      <c r="AD875" s="7"/>
      <c r="AE875" s="7"/>
      <c r="AF875" s="7"/>
      <c r="AG875" s="7"/>
      <c r="AH875" s="7"/>
      <c r="AI875" s="7"/>
      <c r="AJ875" s="7"/>
      <c r="AK875" s="7"/>
      <c r="AL875" s="7"/>
      <c r="AM875" s="7"/>
      <c r="AN875" s="7"/>
      <c r="AO875" s="7"/>
      <c r="AP875" s="7"/>
    </row>
    <row r="876" spans="1:42">
      <c r="A876" s="305" t="s">
        <v>453</v>
      </c>
      <c r="B876" s="305"/>
      <c r="C876" s="61">
        <v>0</v>
      </c>
      <c r="D876" s="237">
        <f t="shared" si="167"/>
        <v>79.89</v>
      </c>
      <c r="E876" s="1009"/>
      <c r="F876" s="490">
        <f>ROUND(D876*$C876*$D$761,0)</f>
        <v>0</v>
      </c>
      <c r="G876" s="237">
        <f>G856</f>
        <v>79.83</v>
      </c>
      <c r="H876" s="1009"/>
      <c r="I876" s="490">
        <f>ROUND(G876*$C876*$G$865,0)</f>
        <v>0</v>
      </c>
      <c r="J876" s="490"/>
      <c r="K876" s="237" t="e">
        <f>K856</f>
        <v>#REF!</v>
      </c>
      <c r="L876" s="1009"/>
      <c r="M876" s="490" t="e">
        <f>ROUND(K876*$C876*$G$865,0)</f>
        <v>#REF!</v>
      </c>
      <c r="N876" s="490"/>
      <c r="O876" s="237" t="e">
        <f>O856</f>
        <v>#REF!</v>
      </c>
      <c r="P876" s="1009"/>
      <c r="Q876" s="490" t="e">
        <f>ROUND(O876*$C876*$G$865,0)</f>
        <v>#REF!</v>
      </c>
      <c r="R876" s="490"/>
      <c r="S876" s="237" t="e">
        <f>S856</f>
        <v>#REF!</v>
      </c>
      <c r="T876" s="1009"/>
      <c r="U876" s="490" t="e">
        <f>ROUND(S876*$C876*$G$865,0)</f>
        <v>#REF!</v>
      </c>
      <c r="V876" s="7"/>
      <c r="W876" s="31"/>
      <c r="X876" s="31"/>
      <c r="Y876" s="31"/>
      <c r="Z876" s="7"/>
      <c r="AA876" s="7"/>
      <c r="AB876" s="7"/>
      <c r="AC876" s="7"/>
      <c r="AD876" s="7"/>
      <c r="AE876" s="7"/>
      <c r="AF876" s="7"/>
      <c r="AG876" s="7"/>
      <c r="AH876" s="7"/>
      <c r="AI876" s="7"/>
      <c r="AJ876" s="7"/>
      <c r="AK876" s="7"/>
      <c r="AL876" s="7"/>
      <c r="AM876" s="7"/>
      <c r="AN876" s="7"/>
      <c r="AO876" s="7"/>
      <c r="AP876" s="7"/>
    </row>
    <row r="877" spans="1:42">
      <c r="A877" s="305" t="s">
        <v>454</v>
      </c>
      <c r="B877" s="305"/>
      <c r="C877" s="61">
        <v>0</v>
      </c>
      <c r="D877" s="237">
        <f t="shared" si="167"/>
        <v>159.78</v>
      </c>
      <c r="E877" s="1009"/>
      <c r="F877" s="490">
        <f>ROUND(D877*$C877*$D$761,0)</f>
        <v>0</v>
      </c>
      <c r="G877" s="237">
        <f>G857</f>
        <v>160.07999999999998</v>
      </c>
      <c r="H877" s="1009"/>
      <c r="I877" s="490">
        <f>ROUND(G877*$C877*$G$865,0)</f>
        <v>0</v>
      </c>
      <c r="J877" s="490"/>
      <c r="K877" s="237" t="e">
        <f>K857</f>
        <v>#REF!</v>
      </c>
      <c r="L877" s="1009"/>
      <c r="M877" s="490" t="e">
        <f>ROUND(K877*$C877*$G$865,0)</f>
        <v>#REF!</v>
      </c>
      <c r="N877" s="490"/>
      <c r="O877" s="237" t="e">
        <f>O857</f>
        <v>#REF!</v>
      </c>
      <c r="P877" s="1009"/>
      <c r="Q877" s="490" t="e">
        <f>ROUND(O877*$C877*$G$865,0)</f>
        <v>#REF!</v>
      </c>
      <c r="R877" s="490"/>
      <c r="S877" s="237" t="e">
        <f>S857</f>
        <v>#REF!</v>
      </c>
      <c r="T877" s="1009"/>
      <c r="U877" s="490" t="e">
        <f>ROUND(S877*$C877*$G$865,0)</f>
        <v>#REF!</v>
      </c>
      <c r="V877" s="7"/>
      <c r="W877" s="31"/>
      <c r="X877" s="31"/>
      <c r="Y877" s="31"/>
      <c r="Z877" s="7"/>
      <c r="AA877" s="7"/>
      <c r="AB877" s="7"/>
      <c r="AC877" s="7"/>
      <c r="AD877" s="7"/>
      <c r="AE877" s="7"/>
      <c r="AF877" s="7"/>
      <c r="AG877" s="7"/>
      <c r="AH877" s="7"/>
      <c r="AI877" s="7"/>
      <c r="AJ877" s="7"/>
      <c r="AK877" s="7"/>
      <c r="AL877" s="7"/>
      <c r="AM877" s="7"/>
      <c r="AN877" s="7"/>
      <c r="AO877" s="7"/>
      <c r="AP877" s="7"/>
    </row>
    <row r="878" spans="1:42">
      <c r="A878" s="305" t="s">
        <v>450</v>
      </c>
      <c r="B878" s="305"/>
      <c r="C878" s="61"/>
      <c r="D878" s="237"/>
      <c r="E878" s="1009"/>
      <c r="F878" s="490"/>
      <c r="G878" s="237"/>
      <c r="H878" s="1009"/>
      <c r="I878" s="490"/>
      <c r="J878" s="490"/>
      <c r="K878" s="237"/>
      <c r="L878" s="1009"/>
      <c r="M878" s="490"/>
      <c r="N878" s="490"/>
      <c r="O878" s="237"/>
      <c r="P878" s="1009"/>
      <c r="Q878" s="490"/>
      <c r="R878" s="490"/>
      <c r="S878" s="237"/>
      <c r="T878" s="1009"/>
      <c r="U878" s="490"/>
      <c r="V878" s="7"/>
      <c r="W878" s="31"/>
      <c r="X878" s="31"/>
      <c r="Y878" s="31"/>
      <c r="Z878" s="7"/>
      <c r="AA878" s="7"/>
      <c r="AB878" s="7"/>
      <c r="AC878" s="7"/>
      <c r="AD878" s="7"/>
      <c r="AE878" s="7"/>
      <c r="AF878" s="7"/>
      <c r="AG878" s="7"/>
      <c r="AH878" s="7"/>
      <c r="AI878" s="7"/>
      <c r="AJ878" s="7"/>
      <c r="AK878" s="7"/>
      <c r="AL878" s="7"/>
      <c r="AM878" s="7"/>
      <c r="AN878" s="7"/>
      <c r="AO878" s="7"/>
      <c r="AP878" s="7"/>
    </row>
    <row r="879" spans="1:42">
      <c r="A879" s="305" t="s">
        <v>445</v>
      </c>
      <c r="B879" s="305"/>
      <c r="C879" s="61">
        <v>0</v>
      </c>
      <c r="D879" s="237">
        <f>D859</f>
        <v>-26.63</v>
      </c>
      <c r="E879" s="1009"/>
      <c r="F879" s="490">
        <f>ROUND(D879*$C879*$D$761,0)</f>
        <v>0</v>
      </c>
      <c r="G879" s="237">
        <f>G859</f>
        <v>-26.61</v>
      </c>
      <c r="H879" s="1009"/>
      <c r="I879" s="490">
        <f>ROUND(G879*$C879*$G$865,0)</f>
        <v>0</v>
      </c>
      <c r="J879" s="490"/>
      <c r="K879" s="237" t="e">
        <f>K859</f>
        <v>#REF!</v>
      </c>
      <c r="L879" s="1009"/>
      <c r="M879" s="490" t="e">
        <f>ROUND(K879*$C879*$G$865,0)</f>
        <v>#REF!</v>
      </c>
      <c r="N879" s="490"/>
      <c r="O879" s="237" t="e">
        <f>O859</f>
        <v>#REF!</v>
      </c>
      <c r="P879" s="1009"/>
      <c r="Q879" s="490" t="e">
        <f>ROUND(O879*$C879*$G$865,0)</f>
        <v>#REF!</v>
      </c>
      <c r="R879" s="490"/>
      <c r="S879" s="237" t="e">
        <f>S859</f>
        <v>#REF!</v>
      </c>
      <c r="T879" s="1009"/>
      <c r="U879" s="490" t="e">
        <f>ROUND(S879*$C879*$G$865,0)</f>
        <v>#REF!</v>
      </c>
      <c r="V879" s="7"/>
      <c r="W879" s="31"/>
      <c r="X879" s="31"/>
      <c r="Y879" s="31"/>
      <c r="Z879" s="7"/>
      <c r="AA879" s="7"/>
      <c r="AB879" s="7"/>
      <c r="AC879" s="7"/>
      <c r="AD879" s="7"/>
      <c r="AE879" s="7"/>
      <c r="AF879" s="7"/>
      <c r="AG879" s="7"/>
      <c r="AH879" s="7"/>
      <c r="AI879" s="7"/>
      <c r="AJ879" s="7"/>
      <c r="AK879" s="7"/>
      <c r="AL879" s="7"/>
      <c r="AM879" s="7"/>
      <c r="AN879" s="7"/>
      <c r="AO879" s="7"/>
      <c r="AP879" s="7"/>
    </row>
    <row r="880" spans="1:42">
      <c r="A880" s="305" t="s">
        <v>451</v>
      </c>
      <c r="B880" s="305"/>
      <c r="C880" s="61">
        <v>0</v>
      </c>
      <c r="D880" s="237">
        <f>D860</f>
        <v>-26.63</v>
      </c>
      <c r="E880" s="1009"/>
      <c r="F880" s="490">
        <f>ROUND(D880*$C880*$D$761,0)</f>
        <v>0</v>
      </c>
      <c r="G880" s="237">
        <f>G860</f>
        <v>-26.68</v>
      </c>
      <c r="H880" s="1009"/>
      <c r="I880" s="490">
        <f>ROUND(G880*$C880*$G$865,0)</f>
        <v>0</v>
      </c>
      <c r="J880" s="490"/>
      <c r="K880" s="237" t="e">
        <f>K860</f>
        <v>#REF!</v>
      </c>
      <c r="L880" s="1009"/>
      <c r="M880" s="490" t="e">
        <f>ROUND(K880*$C880*$G$865,0)</f>
        <v>#REF!</v>
      </c>
      <c r="N880" s="490"/>
      <c r="O880" s="237" t="e">
        <f>O860</f>
        <v>#REF!</v>
      </c>
      <c r="P880" s="1009"/>
      <c r="Q880" s="490" t="e">
        <f>ROUND(O880*$C880*$G$865,0)</f>
        <v>#REF!</v>
      </c>
      <c r="R880" s="490"/>
      <c r="S880" s="237" t="e">
        <f>S860</f>
        <v>#REF!</v>
      </c>
      <c r="T880" s="1009"/>
      <c r="U880" s="490" t="e">
        <f>ROUND(S880*$C880*$G$865,0)</f>
        <v>#REF!</v>
      </c>
      <c r="V880" s="7"/>
      <c r="W880" s="31"/>
      <c r="X880" s="31"/>
      <c r="Y880" s="31"/>
      <c r="Z880" s="7"/>
      <c r="AA880" s="7"/>
      <c r="AB880" s="7"/>
      <c r="AC880" s="7"/>
      <c r="AD880" s="7"/>
      <c r="AE880" s="7"/>
      <c r="AF880" s="7"/>
      <c r="AG880" s="7"/>
      <c r="AH880" s="7"/>
      <c r="AI880" s="7"/>
      <c r="AJ880" s="7"/>
      <c r="AK880" s="7"/>
      <c r="AL880" s="7"/>
      <c r="AM880" s="7"/>
      <c r="AN880" s="7"/>
      <c r="AO880" s="7"/>
      <c r="AP880" s="7"/>
    </row>
    <row r="881" spans="1:44">
      <c r="A881" s="305" t="s">
        <v>414</v>
      </c>
      <c r="B881" s="305"/>
      <c r="C881" s="61"/>
      <c r="D881" s="237"/>
      <c r="E881" s="490"/>
      <c r="F881" s="490"/>
      <c r="G881" s="237"/>
      <c r="H881" s="490"/>
      <c r="I881" s="490"/>
      <c r="J881" s="490"/>
      <c r="K881" s="237"/>
      <c r="L881" s="490"/>
      <c r="M881" s="490"/>
      <c r="N881" s="490"/>
      <c r="O881" s="237"/>
      <c r="P881" s="490"/>
      <c r="Q881" s="490"/>
      <c r="R881" s="490"/>
      <c r="S881" s="237"/>
      <c r="T881" s="490"/>
      <c r="U881" s="490"/>
      <c r="V881" s="7"/>
      <c r="W881" s="31"/>
      <c r="X881" s="31"/>
      <c r="Y881" s="31"/>
      <c r="Z881" s="7"/>
      <c r="AA881" s="7"/>
      <c r="AB881" s="7"/>
      <c r="AC881" s="7"/>
      <c r="AD881" s="7"/>
      <c r="AE881" s="7"/>
      <c r="AF881" s="7"/>
      <c r="AG881" s="7"/>
      <c r="AH881" s="7"/>
      <c r="AI881" s="7"/>
      <c r="AJ881" s="7"/>
      <c r="AK881" s="7"/>
      <c r="AL881" s="7"/>
      <c r="AM881" s="7"/>
      <c r="AN881" s="7"/>
      <c r="AO881" s="7"/>
      <c r="AP881" s="7"/>
    </row>
    <row r="882" spans="1:44">
      <c r="A882" s="305" t="s">
        <v>452</v>
      </c>
      <c r="B882" s="305"/>
      <c r="C882" s="61">
        <v>0</v>
      </c>
      <c r="D882" s="308">
        <f>D862</f>
        <v>7.2030000000000003</v>
      </c>
      <c r="E882" s="490" t="s">
        <v>362</v>
      </c>
      <c r="F882" s="490">
        <f>ROUND(D882/100*C882*$D$761,0)</f>
        <v>0</v>
      </c>
      <c r="G882" s="308">
        <f>G862</f>
        <v>7.2030000000000003</v>
      </c>
      <c r="H882" s="490" t="s">
        <v>362</v>
      </c>
      <c r="I882" s="490">
        <f>ROUND(G882/100*$C882*$G$865,0)</f>
        <v>0</v>
      </c>
      <c r="J882" s="490"/>
      <c r="K882" s="308" t="e">
        <f>K862</f>
        <v>#REF!</v>
      </c>
      <c r="L882" s="490" t="s">
        <v>362</v>
      </c>
      <c r="M882" s="490" t="e">
        <f>ROUND(K882/100*$C882*$G$865,0)</f>
        <v>#REF!</v>
      </c>
      <c r="N882" s="490"/>
      <c r="O882" s="308" t="e">
        <f>O862</f>
        <v>#REF!</v>
      </c>
      <c r="P882" s="490" t="s">
        <v>362</v>
      </c>
      <c r="Q882" s="490" t="e">
        <f>ROUND(O882/100*$C882*$G$865,0)</f>
        <v>#REF!</v>
      </c>
      <c r="R882" s="490"/>
      <c r="S882" s="308" t="e">
        <f>S862</f>
        <v>#REF!</v>
      </c>
      <c r="T882" s="490" t="s">
        <v>362</v>
      </c>
      <c r="U882" s="490" t="e">
        <f>ROUND(S882/100*$C882*$G$865,0)</f>
        <v>#REF!</v>
      </c>
      <c r="V882" s="7"/>
      <c r="W882" s="31"/>
      <c r="X882" s="31"/>
      <c r="Y882" s="31"/>
      <c r="Z882" s="7"/>
      <c r="AA882" s="7"/>
      <c r="AB882" s="7"/>
      <c r="AC882" s="7"/>
      <c r="AD882" s="7"/>
      <c r="AE882" s="7"/>
      <c r="AF882" s="7"/>
      <c r="AG882" s="7"/>
      <c r="AH882" s="7"/>
      <c r="AI882" s="7"/>
      <c r="AJ882" s="7"/>
      <c r="AK882" s="7"/>
      <c r="AL882" s="7"/>
      <c r="AM882" s="7"/>
      <c r="AN882" s="7"/>
      <c r="AO882" s="7"/>
      <c r="AP882" s="7"/>
    </row>
    <row r="883" spans="1:44">
      <c r="A883" s="305" t="s">
        <v>388</v>
      </c>
      <c r="B883" s="305"/>
      <c r="C883" s="61">
        <v>0</v>
      </c>
      <c r="D883" s="1021">
        <f>D863</f>
        <v>58</v>
      </c>
      <c r="E883" s="305" t="s">
        <v>362</v>
      </c>
      <c r="F883" s="490">
        <f>ROUND(D883/100*C883*$D$761,0)</f>
        <v>0</v>
      </c>
      <c r="G883" s="1021">
        <f>G863</f>
        <v>58</v>
      </c>
      <c r="H883" s="305" t="s">
        <v>362</v>
      </c>
      <c r="I883" s="490">
        <f>ROUND(G883/100*$C883*$G$865,0)</f>
        <v>0</v>
      </c>
      <c r="J883" s="490"/>
      <c r="K883" s="1021" t="e">
        <f>K863</f>
        <v>#REF!</v>
      </c>
      <c r="L883" s="305" t="s">
        <v>362</v>
      </c>
      <c r="M883" s="490" t="e">
        <f>ROUND(K883/100*$C883*$G$865,0)</f>
        <v>#REF!</v>
      </c>
      <c r="N883" s="490"/>
      <c r="O883" s="1021" t="e">
        <f>O863</f>
        <v>#REF!</v>
      </c>
      <c r="P883" s="305" t="s">
        <v>362</v>
      </c>
      <c r="Q883" s="490" t="e">
        <f>ROUND(O883/100*$C883*$G$865,0)</f>
        <v>#REF!</v>
      </c>
      <c r="R883" s="490"/>
      <c r="S883" s="1021" t="e">
        <f>S863</f>
        <v>#REF!</v>
      </c>
      <c r="T883" s="305" t="s">
        <v>362</v>
      </c>
      <c r="U883" s="490" t="e">
        <f>ROUND(S883/100*$C883*$G$865,0)</f>
        <v>#REF!</v>
      </c>
      <c r="V883" s="7"/>
      <c r="W883" s="31"/>
      <c r="X883" s="31"/>
      <c r="Y883" s="31"/>
      <c r="Z883" s="7"/>
      <c r="AA883" s="7"/>
      <c r="AB883" s="7"/>
      <c r="AC883" s="7"/>
      <c r="AD883" s="7"/>
      <c r="AE883" s="7"/>
      <c r="AF883" s="7"/>
      <c r="AG883" s="7"/>
      <c r="AH883" s="7"/>
      <c r="AI883" s="7"/>
      <c r="AJ883" s="7"/>
      <c r="AK883" s="7"/>
      <c r="AL883" s="7"/>
      <c r="AM883" s="7"/>
      <c r="AN883" s="7"/>
      <c r="AO883" s="7"/>
      <c r="AP883" s="7"/>
    </row>
    <row r="884" spans="1:44">
      <c r="A884" s="305" t="s">
        <v>431</v>
      </c>
      <c r="B884" s="305"/>
      <c r="C884" s="61">
        <v>0</v>
      </c>
      <c r="D884" s="448">
        <v>60</v>
      </c>
      <c r="E884" s="305"/>
      <c r="F884" s="490">
        <f>ROUND(D884*$C884,0)</f>
        <v>0</v>
      </c>
      <c r="G884" s="448">
        <f>$G$780</f>
        <v>60</v>
      </c>
      <c r="H884" s="305"/>
      <c r="I884" s="490">
        <f>ROUND(G884*$C884,0)</f>
        <v>0</v>
      </c>
      <c r="J884" s="490"/>
      <c r="K884" s="448" t="e">
        <f>$K$780</f>
        <v>#REF!</v>
      </c>
      <c r="L884" s="305"/>
      <c r="M884" s="490" t="e">
        <f>ROUND(K884*$C884,0)</f>
        <v>#REF!</v>
      </c>
      <c r="N884" s="490"/>
      <c r="O884" s="448" t="e">
        <f>$O$780</f>
        <v>#REF!</v>
      </c>
      <c r="P884" s="305"/>
      <c r="Q884" s="490" t="e">
        <f>ROUND(O884*$C884,0)</f>
        <v>#REF!</v>
      </c>
      <c r="R884" s="490"/>
      <c r="S884" s="448" t="e">
        <f>$S$780</f>
        <v>#REF!</v>
      </c>
      <c r="T884" s="305"/>
      <c r="U884" s="490" t="e">
        <f>ROUND(S884*$C884,0)</f>
        <v>#REF!</v>
      </c>
      <c r="V884" s="7"/>
      <c r="W884" s="31" t="s">
        <v>31</v>
      </c>
      <c r="X884" s="31"/>
      <c r="Y884" s="31"/>
      <c r="Z884" s="7"/>
      <c r="AA884" s="7"/>
      <c r="AB884" s="7"/>
      <c r="AC884" s="7"/>
      <c r="AD884" s="7"/>
      <c r="AE884" s="7"/>
      <c r="AF884" s="7"/>
      <c r="AG884" s="7"/>
      <c r="AH884" s="7"/>
      <c r="AI884" s="7"/>
      <c r="AJ884" s="7"/>
      <c r="AK884" s="7"/>
      <c r="AL884" s="7"/>
      <c r="AM884" s="7"/>
      <c r="AN884" s="7"/>
      <c r="AO884" s="7"/>
      <c r="AP884" s="7"/>
    </row>
    <row r="885" spans="1:44">
      <c r="A885" s="305" t="s">
        <v>432</v>
      </c>
      <c r="B885" s="305"/>
      <c r="C885" s="61">
        <v>0</v>
      </c>
      <c r="D885" s="1027">
        <v>-30</v>
      </c>
      <c r="E885" s="490" t="s">
        <v>362</v>
      </c>
      <c r="F885" s="490">
        <f>ROUND(D885*$C885/100,0)</f>
        <v>0</v>
      </c>
      <c r="G885" s="1027">
        <f>$G$781</f>
        <v>-30</v>
      </c>
      <c r="H885" s="490" t="s">
        <v>362</v>
      </c>
      <c r="I885" s="490">
        <f>ROUND(G885*$C885/100,0)</f>
        <v>0</v>
      </c>
      <c r="J885" s="490"/>
      <c r="K885" s="1027" t="e">
        <f>$K$781</f>
        <v>#REF!</v>
      </c>
      <c r="L885" s="490" t="s">
        <v>362</v>
      </c>
      <c r="M885" s="490" t="e">
        <f>ROUND(K885*$C885/100,0)</f>
        <v>#REF!</v>
      </c>
      <c r="N885" s="490"/>
      <c r="O885" s="1027">
        <f>$O$781</f>
        <v>0</v>
      </c>
      <c r="P885" s="490" t="s">
        <v>362</v>
      </c>
      <c r="Q885" s="490">
        <f>ROUND(O885*$C885/100,0)</f>
        <v>0</v>
      </c>
      <c r="R885" s="490"/>
      <c r="S885" s="1027">
        <f>$S$781</f>
        <v>0</v>
      </c>
      <c r="T885" s="490" t="s">
        <v>362</v>
      </c>
      <c r="U885" s="490">
        <f>ROUND(S885*$C885/100,0)</f>
        <v>0</v>
      </c>
      <c r="V885" s="7"/>
      <c r="W885" s="31"/>
      <c r="X885" s="31"/>
      <c r="Y885" s="31"/>
      <c r="Z885" s="7"/>
      <c r="AA885" s="7"/>
      <c r="AB885" s="7"/>
      <c r="AC885" s="7"/>
      <c r="AD885" s="7"/>
      <c r="AE885" s="7"/>
      <c r="AF885" s="7"/>
      <c r="AG885" s="7"/>
      <c r="AH885" s="7"/>
      <c r="AI885" s="7"/>
      <c r="AJ885" s="7"/>
      <c r="AK885" s="7"/>
      <c r="AL885" s="7"/>
      <c r="AM885" s="7"/>
      <c r="AN885" s="7"/>
      <c r="AO885" s="7"/>
      <c r="AP885" s="7"/>
    </row>
    <row r="886" spans="1:44" s="588" customFormat="1" hidden="1">
      <c r="A886" s="588" t="s">
        <v>774</v>
      </c>
      <c r="C886" s="631">
        <f>C882</f>
        <v>0</v>
      </c>
      <c r="D886" s="990">
        <v>0</v>
      </c>
      <c r="E886" s="635"/>
      <c r="F886" s="616"/>
      <c r="G886" s="1058">
        <f>G782</f>
        <v>0</v>
      </c>
      <c r="H886" s="616" t="s">
        <v>362</v>
      </c>
      <c r="I886" s="490">
        <f>ROUND(G886/100*$C886*$G$865,0)</f>
        <v>0</v>
      </c>
      <c r="J886" s="490"/>
      <c r="K886" s="1058" t="e">
        <f>K782</f>
        <v>#REF!</v>
      </c>
      <c r="L886" s="616" t="s">
        <v>362</v>
      </c>
      <c r="M886" s="490" t="e">
        <f>ROUND(K886/100*$C886*$G$865,0)</f>
        <v>#REF!</v>
      </c>
      <c r="N886" s="490"/>
      <c r="O886" s="1058" t="e">
        <f>O782</f>
        <v>#REF!</v>
      </c>
      <c r="P886" s="616" t="s">
        <v>362</v>
      </c>
      <c r="Q886" s="490" t="e">
        <f>ROUND(O886/100*$C886*$G$865,0)</f>
        <v>#REF!</v>
      </c>
      <c r="R886" s="490"/>
      <c r="S886" s="1058" t="e">
        <f>S782</f>
        <v>#REF!</v>
      </c>
      <c r="T886" s="616" t="s">
        <v>362</v>
      </c>
      <c r="U886" s="490" t="e">
        <f>ROUND(S886/100*$C886*$G$865,0)</f>
        <v>#REF!</v>
      </c>
      <c r="W886" s="450"/>
      <c r="Z886" s="989"/>
      <c r="AA886" s="989"/>
      <c r="AF886" s="635"/>
      <c r="AG886" s="635"/>
      <c r="AH886" s="635"/>
      <c r="AI886" s="635"/>
      <c r="AJ886" s="635"/>
      <c r="AK886" s="635"/>
      <c r="AL886" s="635"/>
      <c r="AM886" s="635"/>
      <c r="AN886" s="635"/>
      <c r="AO886" s="635"/>
      <c r="AP886" s="635"/>
      <c r="AR886" s="988"/>
    </row>
    <row r="887" spans="1:44">
      <c r="A887" s="305" t="s">
        <v>369</v>
      </c>
      <c r="B887" s="305"/>
      <c r="C887" s="61">
        <f>SUM(C862:C862)</f>
        <v>60354962</v>
      </c>
      <c r="D887" s="1021"/>
      <c r="E887" s="305"/>
      <c r="F887" s="490">
        <f>SUM(F842:F885)</f>
        <v>5377896</v>
      </c>
      <c r="G887" s="1021"/>
      <c r="H887" s="305"/>
      <c r="I887" s="490">
        <f>SUM(I842:I886)</f>
        <v>5379078</v>
      </c>
      <c r="J887" s="490"/>
      <c r="K887" s="1021"/>
      <c r="L887" s="305"/>
      <c r="M887" s="490" t="e">
        <f>SUM(M842:M886)</f>
        <v>#REF!</v>
      </c>
      <c r="N887" s="490"/>
      <c r="O887" s="1021"/>
      <c r="P887" s="305"/>
      <c r="Q887" s="490" t="e">
        <f>SUM(Q842:Q886)</f>
        <v>#REF!</v>
      </c>
      <c r="R887" s="490"/>
      <c r="S887" s="1021"/>
      <c r="T887" s="305"/>
      <c r="U887" s="490" t="e">
        <f>SUM(U842:U886)</f>
        <v>#REF!</v>
      </c>
      <c r="V887" s="7"/>
      <c r="W887" s="31"/>
      <c r="X887" s="31"/>
      <c r="Y887" s="31"/>
      <c r="Z887" s="7"/>
      <c r="AA887" s="7"/>
      <c r="AB887" s="7"/>
      <c r="AC887" s="7"/>
      <c r="AD887" s="7"/>
      <c r="AE887" s="7"/>
      <c r="AF887" s="7"/>
      <c r="AG887" s="7"/>
      <c r="AH887" s="7"/>
      <c r="AI887" s="7"/>
      <c r="AJ887" s="7"/>
      <c r="AK887" s="7"/>
      <c r="AL887" s="7"/>
      <c r="AM887" s="7"/>
      <c r="AN887" s="7"/>
      <c r="AO887" s="7"/>
      <c r="AP887" s="7"/>
    </row>
    <row r="888" spans="1:44">
      <c r="A888" s="305" t="s">
        <v>351</v>
      </c>
      <c r="B888" s="305"/>
      <c r="C888" s="1017">
        <f ca="1">'Table 2'!H105</f>
        <v>3272609.9532227353</v>
      </c>
      <c r="D888" s="305"/>
      <c r="E888" s="305"/>
      <c r="F888" s="993">
        <f>'Table 3'!E105</f>
        <v>462599.42458731245</v>
      </c>
      <c r="G888" s="305"/>
      <c r="H888" s="305"/>
      <c r="I888" s="993">
        <f>F888</f>
        <v>462599.42458731245</v>
      </c>
      <c r="J888" s="723"/>
      <c r="K888" s="305"/>
      <c r="L888" s="305"/>
      <c r="M888" s="993" t="e">
        <f>M784/I784*I888</f>
        <v>#REF!</v>
      </c>
      <c r="N888" s="723"/>
      <c r="O888" s="305"/>
      <c r="P888" s="305"/>
      <c r="Q888" s="993" t="e">
        <f>Q784/I784*I888</f>
        <v>#REF!</v>
      </c>
      <c r="R888" s="723"/>
      <c r="S888" s="305"/>
      <c r="T888" s="305"/>
      <c r="U888" s="993" t="e">
        <f>U784/I784*I888</f>
        <v>#REF!</v>
      </c>
      <c r="V888" s="714"/>
      <c r="W888" s="171"/>
      <c r="X888" s="31"/>
      <c r="Y888" s="31"/>
      <c r="Z888" s="7"/>
      <c r="AA888" s="7"/>
      <c r="AB888" s="7"/>
      <c r="AC888" s="7"/>
      <c r="AD888" s="7"/>
      <c r="AE888" s="7"/>
      <c r="AF888" s="7"/>
      <c r="AG888" s="7"/>
      <c r="AH888" s="7"/>
      <c r="AI888" s="7"/>
      <c r="AJ888" s="7"/>
      <c r="AK888" s="7"/>
      <c r="AL888" s="7"/>
      <c r="AM888" s="7"/>
      <c r="AN888" s="7"/>
      <c r="AO888" s="7"/>
      <c r="AP888" s="7"/>
    </row>
    <row r="889" spans="1:44" ht="16.5" thickBot="1">
      <c r="A889" s="305" t="s">
        <v>370</v>
      </c>
      <c r="B889" s="305"/>
      <c r="C889" s="1012">
        <f ca="1">SUM(C887:C888)</f>
        <v>63627571.953222737</v>
      </c>
      <c r="D889" s="1036"/>
      <c r="E889" s="1030"/>
      <c r="F889" s="995">
        <f>F887+F888</f>
        <v>5840495.4245873122</v>
      </c>
      <c r="G889" s="1036"/>
      <c r="H889" s="1030"/>
      <c r="I889" s="995">
        <f>I887+I888</f>
        <v>5841677.4245873122</v>
      </c>
      <c r="J889" s="723"/>
      <c r="K889" s="1036"/>
      <c r="L889" s="1030"/>
      <c r="M889" s="995" t="e">
        <f>M887+M888</f>
        <v>#REF!</v>
      </c>
      <c r="N889" s="995"/>
      <c r="O889" s="1036"/>
      <c r="P889" s="1030"/>
      <c r="Q889" s="995" t="e">
        <f>Q887+Q888</f>
        <v>#REF!</v>
      </c>
      <c r="R889" s="995"/>
      <c r="S889" s="1036"/>
      <c r="T889" s="1030"/>
      <c r="U889" s="995" t="e">
        <f>U887+U888</f>
        <v>#REF!</v>
      </c>
      <c r="V889" s="295"/>
      <c r="W889" s="354"/>
      <c r="X889" s="31"/>
      <c r="Y889" s="31"/>
      <c r="Z889" s="7"/>
      <c r="AA889" s="7"/>
      <c r="AB889" s="7"/>
      <c r="AC889" s="7"/>
      <c r="AD889" s="7"/>
      <c r="AE889" s="7"/>
      <c r="AF889" s="7"/>
      <c r="AG889" s="7"/>
      <c r="AH889" s="7"/>
      <c r="AI889" s="7"/>
      <c r="AJ889" s="7"/>
      <c r="AK889" s="7"/>
      <c r="AL889" s="7"/>
      <c r="AM889" s="7"/>
      <c r="AN889" s="7"/>
      <c r="AO889" s="7"/>
      <c r="AP889" s="7"/>
    </row>
    <row r="890" spans="1:44" ht="16.5" thickTop="1">
      <c r="A890" s="305"/>
      <c r="B890" s="305"/>
      <c r="C890" s="999"/>
      <c r="D890" s="1037"/>
      <c r="E890" s="1033"/>
      <c r="F890" s="723"/>
      <c r="G890" s="1037"/>
      <c r="H890" s="1033"/>
      <c r="I890" s="723"/>
      <c r="J890" s="723"/>
      <c r="K890" s="1037"/>
      <c r="L890" s="1033"/>
      <c r="M890" s="723"/>
      <c r="N890" s="723"/>
      <c r="O890" s="1037"/>
      <c r="P890" s="1033"/>
      <c r="Q890" s="723"/>
      <c r="R890" s="723"/>
      <c r="S890" s="1037"/>
      <c r="T890" s="1033"/>
      <c r="U890" s="723"/>
      <c r="V890" s="714"/>
      <c r="W890" s="714"/>
      <c r="X890" s="714"/>
      <c r="Y890" s="31"/>
      <c r="Z890" s="7"/>
      <c r="AA890" s="7"/>
      <c r="AB890" s="7"/>
      <c r="AC890" s="7"/>
      <c r="AD890" s="7"/>
      <c r="AE890" s="7"/>
      <c r="AF890" s="7"/>
      <c r="AG890" s="7"/>
      <c r="AH890" s="7"/>
      <c r="AI890" s="7"/>
      <c r="AJ890" s="7"/>
      <c r="AK890" s="7"/>
      <c r="AL890" s="7"/>
      <c r="AM890" s="7"/>
      <c r="AN890" s="7"/>
      <c r="AO890" s="7"/>
      <c r="AP890" s="7"/>
    </row>
    <row r="891" spans="1:44">
      <c r="A891" s="305"/>
      <c r="B891" s="305"/>
      <c r="C891" s="999"/>
      <c r="D891" s="1037"/>
      <c r="E891" s="1033"/>
      <c r="F891" s="723"/>
      <c r="G891" s="1037"/>
      <c r="H891" s="1033"/>
      <c r="I891" s="723"/>
      <c r="J891" s="723"/>
      <c r="K891" s="1037"/>
      <c r="L891" s="1033"/>
      <c r="M891" s="723"/>
      <c r="N891" s="723"/>
      <c r="O891" s="1037"/>
      <c r="P891" s="1033"/>
      <c r="Q891" s="723"/>
      <c r="R891" s="723"/>
      <c r="S891" s="1037"/>
      <c r="T891" s="1033"/>
      <c r="U891" s="723"/>
      <c r="V891" s="295"/>
      <c r="W891" s="295"/>
      <c r="X891" s="295"/>
      <c r="Y891" s="31"/>
      <c r="Z891" s="7"/>
      <c r="AA891" s="7"/>
      <c r="AB891" s="7"/>
      <c r="AC891" s="7"/>
      <c r="AD891" s="7"/>
      <c r="AE891" s="7"/>
      <c r="AF891" s="7"/>
      <c r="AG891" s="7"/>
      <c r="AH891" s="7"/>
      <c r="AI891" s="7"/>
      <c r="AJ891" s="7"/>
      <c r="AK891" s="7"/>
      <c r="AL891" s="7"/>
      <c r="AM891" s="7"/>
      <c r="AN891" s="7"/>
      <c r="AO891" s="7"/>
      <c r="AP891" s="7"/>
    </row>
    <row r="892" spans="1:44">
      <c r="B892" s="1051"/>
      <c r="D892" s="305"/>
      <c r="F892" s="496" t="s">
        <v>31</v>
      </c>
      <c r="V892" s="7"/>
      <c r="W892" s="31"/>
      <c r="X892" s="31"/>
      <c r="Y892" s="31"/>
      <c r="Z892" s="7"/>
      <c r="AA892" s="7"/>
      <c r="AB892" s="7"/>
      <c r="AC892" s="7"/>
      <c r="AD892" s="7"/>
      <c r="AE892" s="7"/>
      <c r="AF892" s="7"/>
      <c r="AG892" s="7"/>
      <c r="AH892" s="7"/>
      <c r="AI892" s="7"/>
      <c r="AJ892" s="7"/>
      <c r="AK892" s="7"/>
      <c r="AL892" s="7"/>
      <c r="AM892" s="7"/>
      <c r="AN892" s="7"/>
      <c r="AO892" s="7"/>
      <c r="AP892" s="7"/>
    </row>
    <row r="893" spans="1:44">
      <c r="A893" s="305" t="s">
        <v>457</v>
      </c>
      <c r="B893" s="305"/>
      <c r="C893" s="305"/>
      <c r="D893" s="490"/>
      <c r="E893" s="305"/>
      <c r="F893" s="305"/>
      <c r="G893" s="490"/>
      <c r="H893" s="305"/>
      <c r="I893" s="305"/>
      <c r="J893" s="305"/>
      <c r="K893" s="490"/>
      <c r="L893" s="305"/>
      <c r="M893" s="305"/>
      <c r="N893" s="305"/>
      <c r="O893" s="490"/>
      <c r="P893" s="305"/>
      <c r="Q893" s="305"/>
      <c r="R893" s="305"/>
      <c r="S893" s="490"/>
      <c r="T893" s="305"/>
      <c r="U893" s="305"/>
      <c r="V893" s="7"/>
      <c r="W893" s="31"/>
      <c r="X893" s="31"/>
      <c r="Y893" s="31"/>
      <c r="Z893" s="7"/>
      <c r="AA893" s="7"/>
      <c r="AB893" s="7"/>
      <c r="AC893" s="7"/>
      <c r="AD893" s="7"/>
      <c r="AE893" s="7"/>
      <c r="AF893" s="7"/>
      <c r="AG893" s="7"/>
      <c r="AH893" s="7"/>
      <c r="AI893" s="7"/>
      <c r="AJ893" s="7"/>
      <c r="AK893" s="7"/>
      <c r="AL893" s="7"/>
      <c r="AM893" s="7"/>
      <c r="AN893" s="7"/>
      <c r="AO893" s="7"/>
      <c r="AP893" s="7"/>
    </row>
    <row r="894" spans="1:44">
      <c r="A894" s="305" t="s">
        <v>779</v>
      </c>
      <c r="B894" s="305"/>
      <c r="C894" s="305"/>
      <c r="D894" s="490"/>
      <c r="E894" s="305"/>
      <c r="F894" s="305"/>
      <c r="G894" s="490"/>
      <c r="H894" s="305"/>
      <c r="I894" s="305"/>
      <c r="J894" s="305"/>
      <c r="K894" s="490"/>
      <c r="L894" s="305"/>
      <c r="M894" s="305"/>
      <c r="N894" s="305"/>
      <c r="O894" s="490"/>
      <c r="P894" s="305"/>
      <c r="Q894" s="305"/>
      <c r="R894" s="305"/>
      <c r="S894" s="490"/>
      <c r="T894" s="305"/>
      <c r="U894" s="305"/>
      <c r="V894" s="7"/>
      <c r="W894" s="31"/>
      <c r="X894" s="31"/>
      <c r="Y894" s="31"/>
      <c r="Z894" s="7"/>
      <c r="AA894" s="7"/>
      <c r="AB894" s="7"/>
      <c r="AC894" s="7"/>
      <c r="AD894" s="7"/>
      <c r="AE894" s="7"/>
      <c r="AF894" s="7"/>
      <c r="AG894" s="7"/>
      <c r="AH894" s="7"/>
      <c r="AI894" s="7"/>
      <c r="AJ894" s="7"/>
      <c r="AK894" s="7"/>
      <c r="AL894" s="7"/>
      <c r="AM894" s="7"/>
      <c r="AN894" s="7"/>
      <c r="AO894" s="7"/>
      <c r="AP894" s="7"/>
    </row>
    <row r="895" spans="1:44">
      <c r="A895" s="305"/>
      <c r="B895" s="305"/>
      <c r="C895" s="305"/>
      <c r="D895" s="490"/>
      <c r="E895" s="305"/>
      <c r="F895" s="305"/>
      <c r="G895" s="490"/>
      <c r="H895" s="305"/>
      <c r="I895" s="305"/>
      <c r="J895" s="305"/>
      <c r="K895" s="490"/>
      <c r="L895" s="305"/>
      <c r="M895" s="305"/>
      <c r="N895" s="305"/>
      <c r="O895" s="490"/>
      <c r="P895" s="305"/>
      <c r="Q895" s="305"/>
      <c r="R895" s="305"/>
      <c r="S895" s="490"/>
      <c r="T895" s="305"/>
      <c r="U895" s="305"/>
      <c r="V895" s="7"/>
      <c r="W895" s="31"/>
      <c r="X895" s="31"/>
      <c r="Y895" s="31"/>
      <c r="Z895" s="7"/>
      <c r="AA895" s="7"/>
      <c r="AB895" s="7"/>
      <c r="AC895" s="7"/>
      <c r="AD895" s="7"/>
      <c r="AE895" s="7"/>
      <c r="AF895" s="7"/>
      <c r="AG895" s="7"/>
      <c r="AH895" s="7"/>
      <c r="AI895" s="7"/>
      <c r="AJ895" s="7"/>
      <c r="AK895" s="7"/>
      <c r="AL895" s="7"/>
      <c r="AM895" s="7"/>
      <c r="AN895" s="7"/>
      <c r="AO895" s="7"/>
      <c r="AP895" s="7"/>
    </row>
    <row r="896" spans="1:44">
      <c r="A896" s="305" t="s">
        <v>381</v>
      </c>
      <c r="B896" s="305"/>
      <c r="C896" s="61"/>
      <c r="D896" s="490"/>
      <c r="E896" s="305"/>
      <c r="F896" s="305"/>
      <c r="G896" s="490"/>
      <c r="H896" s="305"/>
      <c r="I896" s="305"/>
      <c r="J896" s="305"/>
      <c r="K896" s="490"/>
      <c r="L896" s="305"/>
      <c r="M896" s="305"/>
      <c r="N896" s="305"/>
      <c r="O896" s="490"/>
      <c r="P896" s="305"/>
      <c r="Q896" s="305"/>
      <c r="R896" s="305"/>
      <c r="S896" s="490"/>
      <c r="T896" s="305"/>
      <c r="U896" s="305"/>
      <c r="V896" s="7"/>
      <c r="W896" s="31"/>
      <c r="X896" s="31"/>
      <c r="Y896" s="31"/>
      <c r="Z896" s="7"/>
      <c r="AA896" s="7"/>
      <c r="AB896" s="7"/>
      <c r="AC896" s="7"/>
      <c r="AD896" s="7"/>
      <c r="AE896" s="7"/>
      <c r="AF896" s="7"/>
      <c r="AG896" s="7"/>
      <c r="AH896" s="7"/>
      <c r="AI896" s="7"/>
      <c r="AJ896" s="7"/>
      <c r="AK896" s="7"/>
      <c r="AL896" s="7"/>
      <c r="AM896" s="7"/>
      <c r="AN896" s="7"/>
      <c r="AO896" s="7"/>
      <c r="AP896" s="7"/>
    </row>
    <row r="897" spans="1:44">
      <c r="A897" s="305" t="s">
        <v>459</v>
      </c>
      <c r="B897" s="305"/>
      <c r="C897" s="61">
        <v>12</v>
      </c>
      <c r="D897" s="237">
        <f>D956</f>
        <v>1442</v>
      </c>
      <c r="E897" s="490"/>
      <c r="F897" s="490">
        <f>ROUND(D897*C897,0)</f>
        <v>17304</v>
      </c>
      <c r="G897" s="237">
        <f>G976</f>
        <v>1442</v>
      </c>
      <c r="H897" s="490"/>
      <c r="I897" s="490">
        <f>ROUND(G897*$C897,0)</f>
        <v>17304</v>
      </c>
      <c r="J897" s="490"/>
      <c r="K897" s="237" t="e">
        <f>K976</f>
        <v>#REF!</v>
      </c>
      <c r="L897" s="490"/>
      <c r="M897" s="490" t="e">
        <f>#REF!</f>
        <v>#REF!</v>
      </c>
      <c r="N897" s="490"/>
      <c r="O897" s="237" t="e">
        <f>O976</f>
        <v>#REF!</v>
      </c>
      <c r="P897" s="490"/>
      <c r="Q897" s="490" t="e">
        <f>#REF!</f>
        <v>#REF!</v>
      </c>
      <c r="R897" s="490"/>
      <c r="S897" s="237" t="e">
        <f>S976</f>
        <v>#REF!</v>
      </c>
      <c r="T897" s="490"/>
      <c r="U897" s="490" t="e">
        <f>#REF!</f>
        <v>#REF!</v>
      </c>
      <c r="W897" s="54"/>
      <c r="Z897" s="7"/>
      <c r="AA897" s="7"/>
      <c r="AB897" s="7"/>
      <c r="AC897" s="7"/>
      <c r="AD897" s="7"/>
      <c r="AE897" s="7"/>
      <c r="AF897" s="7"/>
      <c r="AG897" s="7"/>
      <c r="AH897" s="7"/>
      <c r="AI897" s="7"/>
      <c r="AJ897" s="7"/>
      <c r="AK897" s="7"/>
      <c r="AL897" s="7"/>
      <c r="AM897" s="7"/>
      <c r="AN897" s="7"/>
      <c r="AO897" s="7"/>
      <c r="AP897" s="7"/>
    </row>
    <row r="898" spans="1:44">
      <c r="A898" s="305" t="s">
        <v>460</v>
      </c>
      <c r="B898" s="305"/>
      <c r="C898" s="61">
        <v>0</v>
      </c>
      <c r="D898" s="237">
        <f>D957</f>
        <v>1743</v>
      </c>
      <c r="E898" s="1009"/>
      <c r="F898" s="490">
        <f>ROUND(D898*C898,0)</f>
        <v>0</v>
      </c>
      <c r="G898" s="237">
        <f>G977</f>
        <v>1743</v>
      </c>
      <c r="H898" s="1009"/>
      <c r="I898" s="490">
        <f>ROUND(G898*$C898,0)</f>
        <v>0</v>
      </c>
      <c r="J898" s="490"/>
      <c r="K898" s="237" t="e">
        <f>K977</f>
        <v>#REF!</v>
      </c>
      <c r="L898" s="1009"/>
      <c r="M898" s="490" t="e">
        <f>#REF!</f>
        <v>#REF!</v>
      </c>
      <c r="N898" s="490"/>
      <c r="O898" s="237" t="e">
        <f>O977</f>
        <v>#REF!</v>
      </c>
      <c r="P898" s="1009"/>
      <c r="Q898" s="490" t="e">
        <f>#REF!</f>
        <v>#REF!</v>
      </c>
      <c r="R898" s="490"/>
      <c r="S898" s="237" t="e">
        <f>S977</f>
        <v>#REF!</v>
      </c>
      <c r="T898" s="1009"/>
      <c r="U898" s="490" t="e">
        <f>#REF!</f>
        <v>#REF!</v>
      </c>
      <c r="W898" s="54"/>
      <c r="Z898" s="7"/>
      <c r="AA898" s="7"/>
      <c r="AB898" s="7"/>
      <c r="AC898" s="7"/>
      <c r="AD898" s="7"/>
      <c r="AE898" s="7"/>
      <c r="AF898" s="7"/>
      <c r="AG898" s="7"/>
      <c r="AH898" s="7"/>
      <c r="AI898" s="7"/>
      <c r="AJ898" s="7"/>
      <c r="AK898" s="7"/>
      <c r="AL898" s="7"/>
      <c r="AM898" s="7"/>
      <c r="AN898" s="7"/>
      <c r="AO898" s="7"/>
      <c r="AP898" s="7"/>
    </row>
    <row r="899" spans="1:44">
      <c r="A899" s="305" t="s">
        <v>382</v>
      </c>
      <c r="B899" s="305"/>
      <c r="C899" s="61">
        <f>SUM(C897:C898)</f>
        <v>12</v>
      </c>
      <c r="D899" s="237"/>
      <c r="E899" s="490"/>
      <c r="F899" s="490" t="s">
        <v>31</v>
      </c>
      <c r="G899" s="237" t="str">
        <f>W940</f>
        <v xml:space="preserve"> </v>
      </c>
      <c r="H899" s="490"/>
      <c r="I899" s="490" t="s">
        <v>31</v>
      </c>
      <c r="J899" s="490"/>
      <c r="K899" s="237">
        <f>Z940</f>
        <v>0</v>
      </c>
      <c r="L899" s="490"/>
      <c r="M899" s="490" t="s">
        <v>31</v>
      </c>
      <c r="N899" s="490"/>
      <c r="O899" s="237">
        <f>AD940</f>
        <v>0</v>
      </c>
      <c r="P899" s="490"/>
      <c r="Q899" s="490" t="s">
        <v>31</v>
      </c>
      <c r="R899" s="490"/>
      <c r="S899" s="237">
        <f>AH940</f>
        <v>0</v>
      </c>
      <c r="T899" s="490"/>
      <c r="U899" s="490" t="s">
        <v>31</v>
      </c>
      <c r="Z899" s="7"/>
      <c r="AA899" s="7"/>
      <c r="AB899" s="7"/>
      <c r="AC899" s="7"/>
      <c r="AD899" s="7"/>
      <c r="AE899" s="7"/>
      <c r="AF899" s="7"/>
      <c r="AG899" s="7"/>
      <c r="AH899" s="7"/>
      <c r="AI899" s="7"/>
      <c r="AJ899" s="7"/>
      <c r="AK899" s="7"/>
      <c r="AL899" s="7"/>
      <c r="AM899" s="7"/>
      <c r="AN899" s="7"/>
      <c r="AO899" s="7"/>
      <c r="AP899" s="7"/>
    </row>
    <row r="900" spans="1:44">
      <c r="A900" s="305" t="s">
        <v>461</v>
      </c>
      <c r="B900" s="305"/>
      <c r="C900" s="61">
        <v>27697</v>
      </c>
      <c r="D900" s="237">
        <f>D959</f>
        <v>1.1499999999999999</v>
      </c>
      <c r="E900" s="490"/>
      <c r="F900" s="490">
        <f>ROUND(D900*C900,0)</f>
        <v>31852</v>
      </c>
      <c r="G900" s="237">
        <f>G979</f>
        <v>1.1499999999999999</v>
      </c>
      <c r="H900" s="490"/>
      <c r="I900" s="490">
        <f>ROUND(G900*$C900,0)</f>
        <v>31852</v>
      </c>
      <c r="J900" s="490"/>
      <c r="K900" s="237" t="e">
        <f>K979</f>
        <v>#REF!</v>
      </c>
      <c r="L900" s="490"/>
      <c r="M900" s="490" t="e">
        <f>#REF!</f>
        <v>#REF!</v>
      </c>
      <c r="N900" s="490"/>
      <c r="O900" s="237" t="e">
        <f>O979</f>
        <v>#REF!</v>
      </c>
      <c r="P900" s="490"/>
      <c r="Q900" s="490" t="e">
        <f>#REF!</f>
        <v>#REF!</v>
      </c>
      <c r="R900" s="490"/>
      <c r="S900" s="237" t="e">
        <f>S979</f>
        <v>#REF!</v>
      </c>
      <c r="T900" s="490"/>
      <c r="U900" s="490" t="e">
        <f>#REF!</f>
        <v>#REF!</v>
      </c>
      <c r="W900" s="54"/>
      <c r="Z900" s="7"/>
      <c r="AA900" s="7"/>
      <c r="AB900" s="7"/>
      <c r="AC900" s="7"/>
      <c r="AD900" s="7"/>
      <c r="AE900" s="7"/>
      <c r="AF900" s="7"/>
      <c r="AG900" s="7"/>
      <c r="AH900" s="7"/>
      <c r="AI900" s="7"/>
      <c r="AJ900" s="7"/>
      <c r="AK900" s="7"/>
      <c r="AL900" s="7"/>
      <c r="AM900" s="7"/>
      <c r="AN900" s="7"/>
      <c r="AO900" s="7"/>
      <c r="AP900" s="7"/>
    </row>
    <row r="901" spans="1:44">
      <c r="A901" s="305" t="s">
        <v>462</v>
      </c>
      <c r="B901" s="305"/>
      <c r="C901" s="61">
        <v>0</v>
      </c>
      <c r="D901" s="237">
        <f t="shared" ref="D901:D902" si="168">D960</f>
        <v>1.03</v>
      </c>
      <c r="E901" s="490"/>
      <c r="F901" s="490">
        <f>ROUND(D901*C901,0)</f>
        <v>0</v>
      </c>
      <c r="G901" s="237">
        <f>G980</f>
        <v>1.03</v>
      </c>
      <c r="H901" s="490"/>
      <c r="I901" s="490">
        <f>ROUND(G901*$C901,0)</f>
        <v>0</v>
      </c>
      <c r="J901" s="490"/>
      <c r="K901" s="237" t="e">
        <f>K980</f>
        <v>#REF!</v>
      </c>
      <c r="L901" s="490"/>
      <c r="M901" s="490" t="e">
        <f>#REF!</f>
        <v>#REF!</v>
      </c>
      <c r="N901" s="490"/>
      <c r="O901" s="237" t="e">
        <f>O980</f>
        <v>#REF!</v>
      </c>
      <c r="P901" s="490"/>
      <c r="Q901" s="490" t="e">
        <f>#REF!</f>
        <v>#REF!</v>
      </c>
      <c r="R901" s="490"/>
      <c r="S901" s="237" t="e">
        <f>S980</f>
        <v>#REF!</v>
      </c>
      <c r="T901" s="490"/>
      <c r="U901" s="490" t="e">
        <f>#REF!</f>
        <v>#REF!</v>
      </c>
      <c r="Z901" s="7"/>
      <c r="AA901" s="7"/>
      <c r="AB901" s="7"/>
      <c r="AC901" s="7"/>
      <c r="AD901" s="7"/>
      <c r="AE901" s="7"/>
      <c r="AF901" s="7"/>
      <c r="AG901" s="7"/>
      <c r="AH901" s="7"/>
      <c r="AI901" s="7"/>
      <c r="AJ901" s="7"/>
      <c r="AK901" s="7"/>
      <c r="AL901" s="7"/>
      <c r="AM901" s="7"/>
      <c r="AN901" s="7"/>
      <c r="AO901" s="7"/>
      <c r="AP901" s="7"/>
    </row>
    <row r="902" spans="1:44">
      <c r="A902" s="305" t="s">
        <v>391</v>
      </c>
      <c r="B902" s="305"/>
      <c r="C902" s="61">
        <v>20184</v>
      </c>
      <c r="D902" s="237">
        <f t="shared" si="168"/>
        <v>8.16</v>
      </c>
      <c r="E902" s="490"/>
      <c r="F902" s="490">
        <f>ROUND(D902*C902,0)</f>
        <v>164701</v>
      </c>
      <c r="G902" s="237">
        <f>G981</f>
        <v>8.17</v>
      </c>
      <c r="H902" s="490"/>
      <c r="I902" s="490">
        <f>ROUND(G902*$C902,0)</f>
        <v>164903</v>
      </c>
      <c r="J902" s="490"/>
      <c r="K902" s="237" t="e">
        <f>K981</f>
        <v>#REF!</v>
      </c>
      <c r="L902" s="490"/>
      <c r="M902" s="490" t="e">
        <f>#REF!</f>
        <v>#REF!</v>
      </c>
      <c r="N902" s="490"/>
      <c r="O902" s="237" t="e">
        <f>O981</f>
        <v>#REF!</v>
      </c>
      <c r="P902" s="490"/>
      <c r="Q902" s="490" t="e">
        <f>#REF!</f>
        <v>#REF!</v>
      </c>
      <c r="R902" s="490"/>
      <c r="S902" s="237" t="e">
        <f>S981</f>
        <v>#REF!</v>
      </c>
      <c r="T902" s="490"/>
      <c r="U902" s="490" t="e">
        <f>#REF!</f>
        <v>#REF!</v>
      </c>
      <c r="Z902" s="7"/>
      <c r="AA902" s="7"/>
      <c r="AB902" s="7"/>
      <c r="AC902" s="7"/>
      <c r="AD902" s="7"/>
      <c r="AE902" s="7"/>
      <c r="AF902" s="7"/>
      <c r="AG902" s="7"/>
      <c r="AH902" s="7"/>
      <c r="AI902" s="7"/>
      <c r="AJ902" s="7"/>
      <c r="AK902" s="7"/>
      <c r="AL902" s="7"/>
      <c r="AM902" s="7"/>
      <c r="AN902" s="7"/>
      <c r="AO902" s="7"/>
      <c r="AP902" s="7"/>
    </row>
    <row r="903" spans="1:44">
      <c r="A903" s="305" t="s">
        <v>414</v>
      </c>
      <c r="B903" s="305"/>
      <c r="C903" s="61"/>
      <c r="D903" s="237"/>
      <c r="E903" s="490"/>
      <c r="F903" s="490"/>
      <c r="G903" s="237"/>
      <c r="H903" s="490"/>
      <c r="I903" s="490"/>
      <c r="J903" s="490"/>
      <c r="K903" s="237"/>
      <c r="L903" s="490"/>
      <c r="M903" s="490"/>
      <c r="N903" s="490"/>
      <c r="O903" s="237"/>
      <c r="P903" s="490"/>
      <c r="Q903" s="490"/>
      <c r="R903" s="490"/>
      <c r="S903" s="237"/>
      <c r="T903" s="490"/>
      <c r="U903" s="490"/>
      <c r="Z903" s="7"/>
      <c r="AA903" s="7"/>
      <c r="AB903" s="7"/>
      <c r="AC903" s="7"/>
      <c r="AD903" s="7"/>
      <c r="AE903" s="7"/>
      <c r="AF903" s="7"/>
      <c r="AG903" s="7"/>
      <c r="AH903" s="7"/>
      <c r="AI903" s="7"/>
      <c r="AJ903" s="7"/>
      <c r="AK903" s="7"/>
      <c r="AL903" s="7"/>
      <c r="AM903" s="7"/>
      <c r="AN903" s="7"/>
      <c r="AO903" s="7"/>
      <c r="AP903" s="7"/>
    </row>
    <row r="904" spans="1:44">
      <c r="A904" s="305" t="s">
        <v>452</v>
      </c>
      <c r="B904" s="305"/>
      <c r="C904" s="61">
        <v>2630000</v>
      </c>
      <c r="D904" s="1059">
        <f>D963</f>
        <v>4.8520000000000003</v>
      </c>
      <c r="E904" s="490" t="s">
        <v>362</v>
      </c>
      <c r="F904" s="490">
        <f>ROUND(D904/100*C904,0)</f>
        <v>127608</v>
      </c>
      <c r="G904" s="1059">
        <f>G983</f>
        <v>4.8500000000000005</v>
      </c>
      <c r="H904" s="490" t="s">
        <v>362</v>
      </c>
      <c r="I904" s="490">
        <f>ROUND(G904/100*$C904,0)</f>
        <v>127555</v>
      </c>
      <c r="J904" s="490"/>
      <c r="K904" s="1059" t="e">
        <f>K983</f>
        <v>#REF!</v>
      </c>
      <c r="L904" s="490" t="s">
        <v>31</v>
      </c>
      <c r="M904" s="490" t="e">
        <f>#REF!</f>
        <v>#REF!</v>
      </c>
      <c r="N904" s="490"/>
      <c r="O904" s="1059" t="e">
        <f>O983</f>
        <v>#REF!</v>
      </c>
      <c r="P904" s="490" t="s">
        <v>362</v>
      </c>
      <c r="Q904" s="490" t="e">
        <f>#REF!</f>
        <v>#REF!</v>
      </c>
      <c r="R904" s="490"/>
      <c r="S904" s="1059" t="e">
        <f>S983</f>
        <v>#REF!</v>
      </c>
      <c r="T904" s="490" t="s">
        <v>362</v>
      </c>
      <c r="U904" s="490" t="e">
        <f>#REF!</f>
        <v>#REF!</v>
      </c>
      <c r="Z904" s="7"/>
      <c r="AA904" s="7"/>
      <c r="AB904" s="7"/>
      <c r="AC904" s="7"/>
      <c r="AD904" s="7"/>
      <c r="AE904" s="7"/>
      <c r="AF904" s="7"/>
      <c r="AG904" s="7"/>
      <c r="AH904" s="7"/>
      <c r="AI904" s="7"/>
      <c r="AJ904" s="7"/>
      <c r="AK904" s="7"/>
      <c r="AL904" s="7"/>
      <c r="AM904" s="7"/>
      <c r="AN904" s="7"/>
      <c r="AO904" s="7"/>
      <c r="AP904" s="7"/>
    </row>
    <row r="905" spans="1:44">
      <c r="A905" s="305" t="s">
        <v>388</v>
      </c>
      <c r="B905" s="305"/>
      <c r="C905" s="61">
        <v>12558</v>
      </c>
      <c r="D905" s="237">
        <f>D964</f>
        <v>0.56999999999999995</v>
      </c>
      <c r="E905" s="490"/>
      <c r="F905" s="490">
        <f>ROUND(D905*C905,0)</f>
        <v>7158</v>
      </c>
      <c r="G905" s="237">
        <f>G984</f>
        <v>0.56999999999999995</v>
      </c>
      <c r="H905" s="490"/>
      <c r="I905" s="490">
        <f>ROUND(G905*$C905,0)</f>
        <v>7158</v>
      </c>
      <c r="J905" s="490"/>
      <c r="K905" s="237" t="e">
        <f>K984</f>
        <v>#REF!</v>
      </c>
      <c r="L905" s="490"/>
      <c r="M905" s="490" t="e">
        <f>#REF!</f>
        <v>#REF!</v>
      </c>
      <c r="N905" s="490"/>
      <c r="O905" s="237" t="e">
        <f>O984</f>
        <v>#REF!</v>
      </c>
      <c r="P905" s="490"/>
      <c r="Q905" s="490" t="e">
        <f>#REF!</f>
        <v>#REF!</v>
      </c>
      <c r="R905" s="490"/>
      <c r="S905" s="237" t="e">
        <f>S984</f>
        <v>#REF!</v>
      </c>
      <c r="T905" s="490"/>
      <c r="U905" s="490" t="e">
        <f>#REF!</f>
        <v>#REF!</v>
      </c>
      <c r="V905" s="61"/>
      <c r="Z905" s="7"/>
      <c r="AA905" s="7"/>
      <c r="AB905" s="7"/>
      <c r="AC905" s="7"/>
      <c r="AD905" s="7"/>
      <c r="AE905" s="7"/>
      <c r="AF905" s="7"/>
      <c r="AG905" s="7"/>
      <c r="AH905" s="7"/>
      <c r="AI905" s="7"/>
      <c r="AJ905" s="7"/>
      <c r="AK905" s="7"/>
      <c r="AL905" s="7"/>
      <c r="AM905" s="7"/>
      <c r="AN905" s="7"/>
      <c r="AO905" s="7"/>
      <c r="AP905" s="7"/>
    </row>
    <row r="906" spans="1:44">
      <c r="A906" s="305" t="s">
        <v>416</v>
      </c>
      <c r="B906" s="305"/>
      <c r="C906" s="61">
        <v>0</v>
      </c>
      <c r="D906" s="358">
        <v>5.9999999999999995E-4</v>
      </c>
      <c r="E906" s="490"/>
      <c r="F906" s="490">
        <f>ROUND(D906*C906,0)</f>
        <v>0</v>
      </c>
      <c r="G906" s="358">
        <v>5.9999999999999995E-4</v>
      </c>
      <c r="H906" s="490"/>
      <c r="I906" s="490">
        <f>ROUND(G906*$C906,0)</f>
        <v>0</v>
      </c>
      <c r="J906" s="490"/>
      <c r="K906" s="358">
        <v>0</v>
      </c>
      <c r="L906" s="490"/>
      <c r="M906" s="490" t="e">
        <f>#REF!</f>
        <v>#REF!</v>
      </c>
      <c r="N906" s="490"/>
      <c r="O906" s="358" t="e">
        <f>O905/G905*G906</f>
        <v>#REF!</v>
      </c>
      <c r="P906" s="490"/>
      <c r="Q906" s="490" t="e">
        <f>#REF!</f>
        <v>#REF!</v>
      </c>
      <c r="R906" s="490"/>
      <c r="S906" s="358" t="e">
        <f>S905/G905*G906</f>
        <v>#REF!</v>
      </c>
      <c r="T906" s="490"/>
      <c r="U906" s="490" t="e">
        <f>#REF!</f>
        <v>#REF!</v>
      </c>
      <c r="V906" s="61"/>
      <c r="Z906" s="7"/>
      <c r="AA906" s="7"/>
      <c r="AB906" s="7"/>
      <c r="AC906" s="7"/>
      <c r="AD906" s="7"/>
      <c r="AE906" s="7"/>
      <c r="AF906" s="7"/>
      <c r="AG906" s="7"/>
      <c r="AH906" s="7"/>
      <c r="AI906" s="7"/>
      <c r="AJ906" s="7"/>
      <c r="AK906" s="7"/>
      <c r="AL906" s="7"/>
      <c r="AM906" s="7"/>
      <c r="AN906" s="7"/>
      <c r="AO906" s="7"/>
      <c r="AP906" s="7"/>
    </row>
    <row r="907" spans="1:44">
      <c r="A907" s="305" t="s">
        <v>421</v>
      </c>
      <c r="B907" s="305"/>
      <c r="C907" s="61">
        <v>3816</v>
      </c>
      <c r="D907" s="237">
        <f>D902/2</f>
        <v>4.08</v>
      </c>
      <c r="E907" s="490"/>
      <c r="F907" s="490">
        <f>ROUND(D907*$C907,0)</f>
        <v>15569</v>
      </c>
      <c r="G907" s="237">
        <f>ROUND(G902/2,3)</f>
        <v>4.085</v>
      </c>
      <c r="H907" s="490"/>
      <c r="I907" s="490">
        <f>ROUND($C907*G907,0)</f>
        <v>15588</v>
      </c>
      <c r="J907" s="490"/>
      <c r="K907" s="237" t="e">
        <f>ROUND(K902/2,3)</f>
        <v>#REF!</v>
      </c>
      <c r="L907" s="490"/>
      <c r="M907" s="490" t="e">
        <f>#REF!</f>
        <v>#REF!</v>
      </c>
      <c r="N907" s="490"/>
      <c r="O907" s="237" t="e">
        <f>ROUND(O902/2,3)</f>
        <v>#REF!</v>
      </c>
      <c r="P907" s="490"/>
      <c r="Q907" s="490" t="e">
        <f>#REF!</f>
        <v>#REF!</v>
      </c>
      <c r="R907" s="490"/>
      <c r="S907" s="237" t="e">
        <f>ROUND(S902/2,3)</f>
        <v>#REF!</v>
      </c>
      <c r="T907" s="490"/>
      <c r="U907" s="490" t="e">
        <f>#REF!</f>
        <v>#REF!</v>
      </c>
      <c r="Z907" s="7"/>
      <c r="AA907" s="7"/>
      <c r="AB907" s="7"/>
      <c r="AC907" s="7"/>
      <c r="AD907" s="7"/>
      <c r="AE907" s="7"/>
      <c r="AF907" s="7"/>
      <c r="AG907" s="7"/>
      <c r="AH907" s="7"/>
      <c r="AI907" s="7"/>
      <c r="AJ907" s="7"/>
      <c r="AK907" s="7"/>
      <c r="AL907" s="7"/>
      <c r="AM907" s="7"/>
      <c r="AN907" s="7"/>
      <c r="AO907" s="7"/>
      <c r="AP907" s="7"/>
    </row>
    <row r="908" spans="1:44">
      <c r="A908" s="305" t="s">
        <v>422</v>
      </c>
      <c r="B908" s="305"/>
      <c r="C908" s="61">
        <v>563</v>
      </c>
      <c r="D908" s="237">
        <f>D902*4</f>
        <v>32.64</v>
      </c>
      <c r="E908" s="490"/>
      <c r="F908" s="490">
        <f>ROUND(D908*$C908,0)</f>
        <v>18376</v>
      </c>
      <c r="G908" s="237">
        <f>G902*4</f>
        <v>32.68</v>
      </c>
      <c r="H908" s="490"/>
      <c r="I908" s="490">
        <f>ROUND($C908*G908,0)</f>
        <v>18399</v>
      </c>
      <c r="J908" s="490"/>
      <c r="K908" s="237" t="e">
        <f>K902*4</f>
        <v>#REF!</v>
      </c>
      <c r="L908" s="490"/>
      <c r="M908" s="490" t="e">
        <f>#REF!</f>
        <v>#REF!</v>
      </c>
      <c r="N908" s="490"/>
      <c r="O908" s="237" t="e">
        <f>O902*4</f>
        <v>#REF!</v>
      </c>
      <c r="P908" s="490"/>
      <c r="Q908" s="490" t="e">
        <f>#REF!</f>
        <v>#REF!</v>
      </c>
      <c r="R908" s="490"/>
      <c r="S908" s="237" t="e">
        <f>S902*4</f>
        <v>#REF!</v>
      </c>
      <c r="T908" s="490"/>
      <c r="U908" s="490" t="e">
        <f>#REF!</f>
        <v>#REF!</v>
      </c>
      <c r="Z908" s="7"/>
      <c r="AA908" s="7"/>
      <c r="AB908" s="7"/>
      <c r="AC908" s="7"/>
      <c r="AD908" s="7"/>
      <c r="AE908" s="7"/>
      <c r="AF908" s="7"/>
      <c r="AG908" s="7"/>
      <c r="AH908" s="7"/>
      <c r="AI908" s="7"/>
      <c r="AJ908" s="7"/>
      <c r="AK908" s="7"/>
      <c r="AL908" s="7"/>
      <c r="AM908" s="7"/>
      <c r="AN908" s="7"/>
      <c r="AO908" s="7"/>
      <c r="AP908" s="7"/>
    </row>
    <row r="909" spans="1:44">
      <c r="A909" s="4" t="s">
        <v>423</v>
      </c>
      <c r="C909" s="61">
        <v>625</v>
      </c>
      <c r="D909" s="1007">
        <f>D904*4</f>
        <v>19.408000000000001</v>
      </c>
      <c r="E909" s="490" t="s">
        <v>362</v>
      </c>
      <c r="F909" s="490">
        <f>ROUND($C909*D909/100,0)</f>
        <v>121</v>
      </c>
      <c r="G909" s="1007">
        <f>(G904+G910)*4</f>
        <v>19.400000000000002</v>
      </c>
      <c r="H909" s="490" t="s">
        <v>362</v>
      </c>
      <c r="I909" s="490">
        <f>ROUND($C909*G909/100,0)</f>
        <v>121</v>
      </c>
      <c r="J909" s="490"/>
      <c r="K909" s="1007" t="s">
        <v>31</v>
      </c>
      <c r="L909" s="490" t="s">
        <v>31</v>
      </c>
      <c r="M909" s="490" t="e">
        <f>#REF!</f>
        <v>#REF!</v>
      </c>
      <c r="N909" s="490"/>
      <c r="O909" s="1007" t="e">
        <f>(O904+O910)*4</f>
        <v>#REF!</v>
      </c>
      <c r="P909" s="490" t="s">
        <v>362</v>
      </c>
      <c r="Q909" s="490" t="e">
        <f>#REF!</f>
        <v>#REF!</v>
      </c>
      <c r="R909" s="490"/>
      <c r="S909" s="1007" t="e">
        <f>(S904+S910)*4</f>
        <v>#REF!</v>
      </c>
      <c r="T909" s="490" t="s">
        <v>362</v>
      </c>
      <c r="U909" s="490" t="e">
        <f>#REF!</f>
        <v>#REF!</v>
      </c>
      <c r="Z909" s="7"/>
      <c r="AA909" s="7"/>
      <c r="AB909" s="7"/>
      <c r="AC909" s="7"/>
      <c r="AD909" s="7"/>
      <c r="AE909" s="7"/>
      <c r="AF909" s="7"/>
      <c r="AG909" s="7"/>
      <c r="AH909" s="7"/>
      <c r="AI909" s="7"/>
      <c r="AJ909" s="7"/>
      <c r="AK909" s="7"/>
      <c r="AL909" s="7"/>
      <c r="AM909" s="7"/>
      <c r="AN909" s="7"/>
      <c r="AO909" s="7"/>
      <c r="AP909" s="7"/>
    </row>
    <row r="910" spans="1:44" s="588" customFormat="1" hidden="1">
      <c r="A910" s="588" t="s">
        <v>774</v>
      </c>
      <c r="C910" s="631">
        <f>C904</f>
        <v>2630000</v>
      </c>
      <c r="D910" s="990">
        <v>0</v>
      </c>
      <c r="E910" s="635"/>
      <c r="F910" s="616"/>
      <c r="G910" s="1060">
        <f>G965</f>
        <v>0</v>
      </c>
      <c r="H910" s="616" t="s">
        <v>362</v>
      </c>
      <c r="I910" s="616">
        <f>ROUND(G910/100*$C910,0)</f>
        <v>0</v>
      </c>
      <c r="J910" s="616"/>
      <c r="K910" s="1060" t="e">
        <f>K965</f>
        <v>#REF!</v>
      </c>
      <c r="L910" s="616" t="s">
        <v>31</v>
      </c>
      <c r="M910" s="490" t="e">
        <f>#REF!</f>
        <v>#REF!</v>
      </c>
      <c r="N910" s="616"/>
      <c r="O910" s="1060" t="e">
        <f>O965</f>
        <v>#REF!</v>
      </c>
      <c r="P910" s="616" t="s">
        <v>31</v>
      </c>
      <c r="Q910" s="490" t="e">
        <f>#REF!</f>
        <v>#REF!</v>
      </c>
      <c r="R910" s="616"/>
      <c r="S910" s="1060" t="e">
        <f>S965</f>
        <v>#REF!</v>
      </c>
      <c r="T910" s="616" t="s">
        <v>362</v>
      </c>
      <c r="U910" s="490" t="e">
        <f>#REF!</f>
        <v>#REF!</v>
      </c>
      <c r="W910" s="450"/>
      <c r="Z910" s="989"/>
      <c r="AA910" s="989"/>
      <c r="AF910" s="635"/>
      <c r="AG910" s="635"/>
      <c r="AH910" s="635"/>
      <c r="AI910" s="635"/>
      <c r="AJ910" s="635"/>
      <c r="AK910" s="635"/>
      <c r="AL910" s="635"/>
      <c r="AM910" s="635"/>
      <c r="AN910" s="635"/>
      <c r="AO910" s="635"/>
      <c r="AP910" s="635"/>
      <c r="AR910" s="988"/>
    </row>
    <row r="911" spans="1:44">
      <c r="A911" s="305" t="s">
        <v>369</v>
      </c>
      <c r="B911" s="305"/>
      <c r="C911" s="61">
        <f>C910</f>
        <v>2630000</v>
      </c>
      <c r="D911" s="1021"/>
      <c r="E911" s="305"/>
      <c r="F911" s="490">
        <f>SUM(F897:F909)</f>
        <v>382689</v>
      </c>
      <c r="G911" s="1021"/>
      <c r="H911" s="305"/>
      <c r="I911" s="490">
        <f>SUM(I897:I910)</f>
        <v>382880</v>
      </c>
      <c r="J911" s="490"/>
      <c r="K911" s="1021"/>
      <c r="L911" s="305"/>
      <c r="M911" s="490" t="e">
        <f>SUM(M897:M910)</f>
        <v>#REF!</v>
      </c>
      <c r="N911" s="490"/>
      <c r="O911" s="1021"/>
      <c r="P911" s="305"/>
      <c r="Q911" s="490" t="e">
        <f>SUM(Q897:Q910)</f>
        <v>#REF!</v>
      </c>
      <c r="R911" s="490"/>
      <c r="S911" s="1021"/>
      <c r="T911" s="305"/>
      <c r="U911" s="490" t="e">
        <f>SUM(U897:U910)</f>
        <v>#REF!</v>
      </c>
      <c r="Z911" s="7"/>
      <c r="AA911" s="7"/>
      <c r="AB911" s="7"/>
      <c r="AC911" s="7"/>
      <c r="AD911" s="7"/>
      <c r="AE911" s="7"/>
      <c r="AF911" s="7"/>
      <c r="AG911" s="7"/>
      <c r="AH911" s="7"/>
      <c r="AI911" s="7"/>
      <c r="AJ911" s="7"/>
      <c r="AK911" s="7"/>
      <c r="AL911" s="7"/>
      <c r="AM911" s="7"/>
      <c r="AN911" s="7"/>
      <c r="AO911" s="7"/>
      <c r="AP911" s="7"/>
    </row>
    <row r="912" spans="1:44">
      <c r="A912" s="305" t="s">
        <v>351</v>
      </c>
      <c r="B912" s="305"/>
      <c r="C912" s="61">
        <f ca="1">'Table 2'!H80</f>
        <v>49157.633181796118</v>
      </c>
      <c r="D912" s="305"/>
      <c r="E912" s="305"/>
      <c r="F912" s="993">
        <f ca="1">'Table 3'!E80</f>
        <v>2312.6842468239438</v>
      </c>
      <c r="G912" s="305"/>
      <c r="H912" s="305"/>
      <c r="I912" s="993">
        <f ca="1">F912</f>
        <v>2312.6842468239438</v>
      </c>
      <c r="J912" s="723"/>
      <c r="K912" s="305"/>
      <c r="L912" s="305"/>
      <c r="M912" s="1061" t="e">
        <f ca="1">$I$912*V970/(V970+$W$970+$X$970)</f>
        <v>#DIV/0!</v>
      </c>
      <c r="N912" s="723"/>
      <c r="O912" s="305"/>
      <c r="P912" s="305"/>
      <c r="Q912" s="1061" t="e">
        <f ca="1">$I$912*W970/(V970+$W$970+$X$970)</f>
        <v>#DIV/0!</v>
      </c>
      <c r="R912" s="723"/>
      <c r="S912" s="305"/>
      <c r="T912" s="305"/>
      <c r="U912" s="1061" t="e">
        <f ca="1">$I$912*X970/($V$970+$W$970+$X$970)</f>
        <v>#DIV/0!</v>
      </c>
      <c r="Z912" s="7"/>
      <c r="AA912" s="7"/>
      <c r="AB912" s="7"/>
      <c r="AC912" s="7"/>
      <c r="AD912" s="7"/>
      <c r="AE912" s="7"/>
      <c r="AF912" s="7"/>
      <c r="AG912" s="7"/>
      <c r="AH912" s="7"/>
      <c r="AI912" s="7"/>
      <c r="AJ912" s="7"/>
      <c r="AK912" s="7"/>
      <c r="AL912" s="7"/>
      <c r="AM912" s="7"/>
      <c r="AN912" s="7"/>
      <c r="AO912" s="7"/>
      <c r="AP912" s="7"/>
    </row>
    <row r="913" spans="1:45" ht="16.5" thickBot="1">
      <c r="A913" s="305" t="s">
        <v>370</v>
      </c>
      <c r="B913" s="305"/>
      <c r="C913" s="994">
        <f ca="1">SUM(C911)+C912</f>
        <v>2679157.6331817959</v>
      </c>
      <c r="D913" s="1036"/>
      <c r="E913" s="1030"/>
      <c r="F913" s="995">
        <f ca="1">F911+F912</f>
        <v>385001.68424682395</v>
      </c>
      <c r="G913" s="1036"/>
      <c r="H913" s="1030"/>
      <c r="I913" s="995">
        <f ca="1">I911+I912</f>
        <v>385192.68424682395</v>
      </c>
      <c r="J913" s="995"/>
      <c r="K913" s="1036"/>
      <c r="L913" s="1030"/>
      <c r="M913" s="995" t="e">
        <f ca="1">M911+M912</f>
        <v>#REF!</v>
      </c>
      <c r="N913" s="995"/>
      <c r="O913" s="1036"/>
      <c r="P913" s="1030"/>
      <c r="Q913" s="995" t="e">
        <f ca="1">Q911+Q912</f>
        <v>#REF!</v>
      </c>
      <c r="R913" s="995"/>
      <c r="S913" s="1036"/>
      <c r="T913" s="1030"/>
      <c r="U913" s="995" t="e">
        <f ca="1">U911+U912</f>
        <v>#REF!</v>
      </c>
      <c r="V913" s="442" t="s">
        <v>352</v>
      </c>
      <c r="W913" s="997">
        <f ca="1">'Rate Spread targets'!Q28*1000</f>
        <v>391561.88129339216</v>
      </c>
      <c r="X913" s="998">
        <f ca="1">(I913-F913)/F913</f>
        <v>4.9610172582401015E-4</v>
      </c>
      <c r="Y913" s="453"/>
      <c r="Z913" s="7"/>
      <c r="AA913" s="7"/>
      <c r="AB913" s="7"/>
      <c r="AC913" s="7"/>
      <c r="AD913" s="7"/>
      <c r="AE913" s="7"/>
      <c r="AF913" s="7"/>
      <c r="AG913" s="7"/>
      <c r="AH913" s="7"/>
      <c r="AI913" s="7"/>
      <c r="AJ913" s="7"/>
      <c r="AK913" s="7"/>
      <c r="AL913" s="7"/>
      <c r="AM913" s="7"/>
      <c r="AN913" s="7"/>
      <c r="AO913" s="7"/>
      <c r="AP913" s="7"/>
    </row>
    <row r="914" spans="1:45" ht="16.5" thickTop="1">
      <c r="A914" s="305"/>
      <c r="B914" s="305"/>
      <c r="C914" s="61"/>
      <c r="D914" s="237"/>
      <c r="E914" s="305"/>
      <c r="F914" s="490"/>
      <c r="G914" s="237"/>
      <c r="H914" s="305"/>
      <c r="I914" s="237"/>
      <c r="J914" s="237"/>
      <c r="K914" s="237"/>
      <c r="L914" s="305"/>
      <c r="M914" s="237"/>
      <c r="N914" s="237"/>
      <c r="O914" s="237"/>
      <c r="P914" s="305"/>
      <c r="Q914" s="237"/>
      <c r="R914" s="237"/>
      <c r="S914" s="237"/>
      <c r="T914" s="305"/>
      <c r="U914" s="237"/>
      <c r="V914" s="568" t="s">
        <v>256</v>
      </c>
      <c r="W914" s="1001">
        <f ca="1">W913-I913</f>
        <v>6369.1970465682098</v>
      </c>
      <c r="X914" s="451" t="s">
        <v>31</v>
      </c>
      <c r="Y914" s="454"/>
      <c r="Z914" s="7"/>
      <c r="AA914" s="7"/>
      <c r="AB914" s="7"/>
      <c r="AC914" s="7"/>
      <c r="AD914" s="7"/>
      <c r="AE914" s="7"/>
      <c r="AF914" s="7"/>
      <c r="AG914" s="7"/>
      <c r="AH914" s="7"/>
      <c r="AI914" s="7"/>
      <c r="AJ914" s="7"/>
      <c r="AK914" s="7"/>
      <c r="AL914" s="7"/>
      <c r="AM914" s="7"/>
      <c r="AN914" s="7"/>
      <c r="AO914" s="7"/>
      <c r="AP914" s="7"/>
    </row>
    <row r="915" spans="1:45">
      <c r="A915" s="305" t="s">
        <v>464</v>
      </c>
      <c r="B915" s="305"/>
      <c r="C915" s="305"/>
      <c r="D915" s="490"/>
      <c r="E915" s="305"/>
      <c r="F915" s="305"/>
      <c r="G915" s="490"/>
      <c r="H915" s="305"/>
      <c r="I915" s="305"/>
      <c r="J915" s="305"/>
      <c r="K915" s="490"/>
      <c r="L915" s="305"/>
      <c r="M915" s="305"/>
      <c r="N915" s="305"/>
      <c r="O915" s="490"/>
      <c r="P915" s="305"/>
      <c r="Q915" s="305"/>
      <c r="R915" s="305"/>
      <c r="S915" s="490"/>
      <c r="T915" s="305"/>
      <c r="U915" s="305"/>
      <c r="V915" s="7"/>
      <c r="W915" s="31"/>
      <c r="X915" s="31"/>
      <c r="Y915" s="31"/>
      <c r="Z915" s="7"/>
      <c r="AA915" s="7"/>
      <c r="AB915" s="7"/>
      <c r="AC915" s="7"/>
      <c r="AD915" s="7"/>
      <c r="AE915" s="7"/>
      <c r="AF915" s="7"/>
      <c r="AG915" s="7"/>
      <c r="AH915" s="7"/>
      <c r="AI915" s="7"/>
      <c r="AJ915" s="7"/>
      <c r="AK915" s="7"/>
      <c r="AL915" s="7"/>
      <c r="AM915" s="7"/>
      <c r="AN915" s="7"/>
      <c r="AO915" s="7"/>
      <c r="AP915" s="7"/>
    </row>
    <row r="916" spans="1:45">
      <c r="A916" s="305" t="s">
        <v>465</v>
      </c>
      <c r="B916" s="305"/>
      <c r="C916" s="305"/>
      <c r="D916" s="490"/>
      <c r="E916" s="305"/>
      <c r="F916" s="305"/>
      <c r="G916" s="490"/>
      <c r="H916" s="305"/>
      <c r="I916" s="305"/>
      <c r="J916" s="305"/>
      <c r="K916" s="490"/>
      <c r="L916" s="305"/>
      <c r="M916" s="305"/>
      <c r="N916" s="305"/>
      <c r="O916" s="490"/>
      <c r="P916" s="305"/>
      <c r="Q916" s="305"/>
      <c r="R916" s="305"/>
      <c r="S916" s="490"/>
      <c r="T916" s="305"/>
      <c r="U916" s="305"/>
      <c r="V916" s="7"/>
      <c r="W916" s="31"/>
      <c r="X916" s="31"/>
      <c r="Y916" s="31"/>
      <c r="Z916" s="7"/>
      <c r="AA916" s="7"/>
      <c r="AB916" s="7"/>
      <c r="AC916" s="7"/>
      <c r="AD916" s="7"/>
      <c r="AE916" s="7"/>
      <c r="AF916" s="7"/>
      <c r="AG916" s="7"/>
      <c r="AH916" s="7"/>
      <c r="AI916" s="7"/>
      <c r="AJ916" s="7"/>
      <c r="AK916" s="7"/>
      <c r="AL916" s="7"/>
      <c r="AM916" s="7"/>
      <c r="AN916" s="7"/>
      <c r="AO916" s="7"/>
      <c r="AP916" s="7"/>
    </row>
    <row r="917" spans="1:45">
      <c r="A917" s="305"/>
      <c r="B917" s="305"/>
      <c r="C917" s="305"/>
      <c r="D917" s="490"/>
      <c r="E917" s="305"/>
      <c r="F917" s="305"/>
      <c r="G917" s="490"/>
      <c r="H917" s="305"/>
      <c r="I917" s="305"/>
      <c r="J917" s="305"/>
      <c r="K917" s="490"/>
      <c r="L917" s="305"/>
      <c r="M917" s="305"/>
      <c r="N917" s="305"/>
      <c r="O917" s="490"/>
      <c r="P917" s="305"/>
      <c r="Q917" s="305"/>
      <c r="R917" s="305"/>
      <c r="S917" s="490"/>
      <c r="T917" s="305"/>
      <c r="U917" s="305"/>
      <c r="V917" s="7"/>
      <c r="W917" s="31"/>
      <c r="X917" s="31"/>
      <c r="Y917" s="31"/>
      <c r="Z917" s="7"/>
      <c r="AA917" s="7"/>
      <c r="AB917" s="7"/>
      <c r="AC917" s="7"/>
      <c r="AD917" s="7"/>
      <c r="AE917" s="7"/>
      <c r="AF917" s="7"/>
      <c r="AG917" s="7"/>
      <c r="AH917" s="7"/>
      <c r="AI917" s="7"/>
      <c r="AJ917" s="7"/>
      <c r="AK917" s="7"/>
      <c r="AL917" s="7"/>
      <c r="AM917" s="7"/>
      <c r="AN917" s="7"/>
      <c r="AO917" s="7"/>
      <c r="AP917" s="7"/>
    </row>
    <row r="918" spans="1:45">
      <c r="A918" s="305" t="s">
        <v>381</v>
      </c>
      <c r="B918" s="305"/>
      <c r="C918" s="61"/>
      <c r="D918" s="490"/>
      <c r="E918" s="305"/>
      <c r="F918" s="305"/>
      <c r="G918" s="490"/>
      <c r="H918" s="305"/>
      <c r="I918" s="305"/>
      <c r="J918" s="305"/>
      <c r="K918" s="490"/>
      <c r="L918" s="305"/>
      <c r="M918" s="305"/>
      <c r="N918" s="305"/>
      <c r="O918" s="490"/>
      <c r="P918" s="305"/>
      <c r="Q918" s="305"/>
      <c r="R918" s="305"/>
      <c r="S918" s="490"/>
      <c r="T918" s="305"/>
      <c r="U918" s="305"/>
      <c r="V918" s="7"/>
      <c r="W918" s="31"/>
      <c r="X918" s="31"/>
      <c r="Y918" s="31"/>
      <c r="Z918" s="7"/>
      <c r="AA918" s="7"/>
      <c r="AB918" s="7"/>
      <c r="AC918" s="7"/>
      <c r="AD918" s="7"/>
      <c r="AE918" s="7"/>
      <c r="AF918" s="7"/>
      <c r="AG918" s="7"/>
      <c r="AH918" s="7"/>
      <c r="AI918" s="7"/>
      <c r="AJ918" s="7"/>
      <c r="AK918" s="7"/>
      <c r="AL918" s="7"/>
      <c r="AM918" s="7"/>
      <c r="AN918" s="7"/>
      <c r="AO918" s="7"/>
      <c r="AP918" s="7"/>
    </row>
    <row r="919" spans="1:45">
      <c r="A919" s="305" t="s">
        <v>459</v>
      </c>
      <c r="B919" s="305"/>
      <c r="C919" s="61">
        <f t="shared" ref="C919:C924" si="169">C938+C1107</f>
        <v>773.72727272727298</v>
      </c>
      <c r="D919" s="237"/>
      <c r="E919" s="490"/>
      <c r="F919" s="490">
        <f>F938+F1107</f>
        <v>1120335</v>
      </c>
      <c r="G919" s="237"/>
      <c r="H919" s="490"/>
      <c r="I919" s="490">
        <f>I938+I1107</f>
        <v>1120335</v>
      </c>
      <c r="J919" s="490"/>
      <c r="K919" s="237"/>
      <c r="L919" s="490"/>
      <c r="M919" s="490" t="e">
        <f>M938+M1107</f>
        <v>#REF!</v>
      </c>
      <c r="N919" s="490"/>
      <c r="O919" s="237"/>
      <c r="P919" s="490"/>
      <c r="Q919" s="490" t="e">
        <f>Q938+Q1107</f>
        <v>#REF!</v>
      </c>
      <c r="R919" s="490"/>
      <c r="S919" s="237"/>
      <c r="T919" s="490"/>
      <c r="U919" s="490" t="e">
        <f>U938+U1107</f>
        <v>#REF!</v>
      </c>
      <c r="W919" s="54" t="s">
        <v>31</v>
      </c>
      <c r="X919" s="4"/>
      <c r="Y919" s="4"/>
      <c r="AG919" s="985"/>
      <c r="AH919" s="985"/>
      <c r="AN919" s="7"/>
      <c r="AO919" s="7"/>
      <c r="AP919" s="7"/>
      <c r="AQ919" s="7"/>
      <c r="AR919" s="7"/>
      <c r="AS919" s="7"/>
    </row>
    <row r="920" spans="1:45">
      <c r="A920" s="305" t="s">
        <v>460</v>
      </c>
      <c r="B920" s="305"/>
      <c r="C920" s="61">
        <f t="shared" si="169"/>
        <v>12</v>
      </c>
      <c r="D920" s="237"/>
      <c r="E920" s="1009"/>
      <c r="F920" s="490">
        <f>F939+F1108</f>
        <v>34188</v>
      </c>
      <c r="G920" s="237"/>
      <c r="H920" s="1009"/>
      <c r="I920" s="490">
        <f>I939+I1108</f>
        <v>35232</v>
      </c>
      <c r="J920" s="490"/>
      <c r="K920" s="237"/>
      <c r="L920" s="1009"/>
      <c r="M920" s="490" t="e">
        <f>M939+M1108</f>
        <v>#REF!</v>
      </c>
      <c r="N920" s="490"/>
      <c r="O920" s="237"/>
      <c r="P920" s="1009"/>
      <c r="Q920" s="490" t="e">
        <f>Q939+Q1108</f>
        <v>#REF!</v>
      </c>
      <c r="R920" s="490"/>
      <c r="S920" s="237"/>
      <c r="T920" s="1009"/>
      <c r="U920" s="490" t="e">
        <f>U939+U1108</f>
        <v>#REF!</v>
      </c>
      <c r="W920" s="54" t="s">
        <v>31</v>
      </c>
      <c r="X920" s="4"/>
      <c r="Y920" s="4"/>
      <c r="Z920" s="921"/>
      <c r="AA920" s="921"/>
      <c r="AB920" s="921"/>
      <c r="AC920" s="921"/>
      <c r="AD920" s="921"/>
      <c r="AE920" s="921"/>
      <c r="AF920" s="446"/>
      <c r="AG920" s="985"/>
      <c r="AH920" s="985"/>
      <c r="AN920" s="7"/>
      <c r="AO920" s="7"/>
      <c r="AP920" s="7"/>
      <c r="AQ920" s="7"/>
      <c r="AR920" s="7"/>
      <c r="AS920" s="7"/>
    </row>
    <row r="921" spans="1:45">
      <c r="A921" s="305" t="s">
        <v>382</v>
      </c>
      <c r="B921" s="305"/>
      <c r="C921" s="61">
        <f t="shared" si="169"/>
        <v>785.72727272727298</v>
      </c>
      <c r="D921" s="237"/>
      <c r="E921" s="490"/>
      <c r="F921" s="490"/>
      <c r="G921" s="237"/>
      <c r="H921" s="490"/>
      <c r="I921" s="490"/>
      <c r="J921" s="490"/>
      <c r="K921" s="237"/>
      <c r="L921" s="490"/>
      <c r="M921" s="490"/>
      <c r="N921" s="490"/>
      <c r="O921" s="237"/>
      <c r="P921" s="490"/>
      <c r="Q921" s="490"/>
      <c r="R921" s="490"/>
      <c r="S921" s="237"/>
      <c r="T921" s="490"/>
      <c r="U921" s="490"/>
      <c r="W921" s="870"/>
      <c r="X921" s="4"/>
      <c r="Y921" s="4"/>
      <c r="Z921" s="921"/>
      <c r="AA921" s="921"/>
      <c r="AB921" s="921"/>
      <c r="AC921" s="921"/>
      <c r="AD921" s="921"/>
      <c r="AE921" s="921"/>
      <c r="AF921" s="446"/>
      <c r="AN921" s="7"/>
      <c r="AO921" s="7"/>
      <c r="AP921" s="7"/>
      <c r="AQ921" s="7"/>
      <c r="AR921" s="7"/>
      <c r="AS921" s="7"/>
    </row>
    <row r="922" spans="1:45">
      <c r="A922" s="305" t="s">
        <v>461</v>
      </c>
      <c r="B922" s="305"/>
      <c r="C922" s="61">
        <f t="shared" si="169"/>
        <v>1121158.068965517</v>
      </c>
      <c r="D922" s="237"/>
      <c r="E922" s="490"/>
      <c r="F922" s="490">
        <f>F941+F1110</f>
        <v>1171938</v>
      </c>
      <c r="G922" s="237"/>
      <c r="H922" s="490"/>
      <c r="I922" s="490">
        <f>I941+I1110</f>
        <v>1171938</v>
      </c>
      <c r="J922" s="490"/>
      <c r="K922" s="237"/>
      <c r="L922" s="490"/>
      <c r="M922" s="490" t="e">
        <f>M941+M1110</f>
        <v>#REF!</v>
      </c>
      <c r="N922" s="490"/>
      <c r="O922" s="237"/>
      <c r="P922" s="490"/>
      <c r="Q922" s="490" t="e">
        <f>Q941+Q1110</f>
        <v>#REF!</v>
      </c>
      <c r="R922" s="490"/>
      <c r="S922" s="237"/>
      <c r="T922" s="490"/>
      <c r="U922" s="490" t="e">
        <f>U941+U1110</f>
        <v>#REF!</v>
      </c>
      <c r="W922" s="54" t="s">
        <v>31</v>
      </c>
      <c r="X922" s="4"/>
      <c r="Y922" s="4"/>
      <c r="Z922" s="921"/>
      <c r="AA922" s="921"/>
      <c r="AB922" s="921"/>
      <c r="AC922" s="921"/>
      <c r="AD922" s="921"/>
      <c r="AE922" s="921"/>
      <c r="AF922" s="446"/>
      <c r="AN922" s="7"/>
      <c r="AO922" s="7"/>
      <c r="AP922" s="7"/>
      <c r="AQ922" s="7"/>
      <c r="AR922" s="7"/>
      <c r="AS922" s="7"/>
    </row>
    <row r="923" spans="1:45">
      <c r="A923" s="305" t="s">
        <v>462</v>
      </c>
      <c r="B923" s="305"/>
      <c r="C923" s="61">
        <f t="shared" si="169"/>
        <v>658962</v>
      </c>
      <c r="D923" s="237"/>
      <c r="E923" s="490"/>
      <c r="F923" s="490">
        <f>F942+F1111</f>
        <v>171330</v>
      </c>
      <c r="G923" s="237"/>
      <c r="H923" s="490"/>
      <c r="I923" s="490">
        <f>I942+I1111</f>
        <v>177920</v>
      </c>
      <c r="J923" s="490"/>
      <c r="K923" s="237"/>
      <c r="L923" s="490"/>
      <c r="M923" s="490" t="e">
        <f>M942+M1111</f>
        <v>#REF!</v>
      </c>
      <c r="N923" s="490"/>
      <c r="O923" s="237"/>
      <c r="P923" s="490"/>
      <c r="Q923" s="490" t="e">
        <f>Q942+Q1111</f>
        <v>#REF!</v>
      </c>
      <c r="R923" s="490"/>
      <c r="S923" s="237"/>
      <c r="T923" s="490"/>
      <c r="U923" s="490" t="e">
        <f>U942+U1111</f>
        <v>#REF!</v>
      </c>
      <c r="W923" s="54" t="s">
        <v>31</v>
      </c>
      <c r="X923" s="4"/>
      <c r="Y923" s="4"/>
      <c r="Z923" s="921"/>
      <c r="AA923" s="921"/>
      <c r="AB923" s="921"/>
      <c r="AC923" s="921"/>
      <c r="AD923" s="921"/>
      <c r="AE923" s="921"/>
      <c r="AF923" s="446"/>
      <c r="AN923" s="7"/>
      <c r="AO923" s="7"/>
      <c r="AP923" s="7"/>
      <c r="AQ923" s="7"/>
      <c r="AR923" s="7"/>
      <c r="AS923" s="7"/>
    </row>
    <row r="924" spans="1:45">
      <c r="A924" s="305" t="s">
        <v>391</v>
      </c>
      <c r="B924" s="305"/>
      <c r="C924" s="61">
        <f t="shared" si="169"/>
        <v>1555054.620689655</v>
      </c>
      <c r="D924" s="237"/>
      <c r="E924" s="490"/>
      <c r="F924" s="490">
        <f>F943+F1112</f>
        <v>12504540</v>
      </c>
      <c r="G924" s="237"/>
      <c r="H924" s="490"/>
      <c r="I924" s="490">
        <f>I943+I1112</f>
        <v>12497417</v>
      </c>
      <c r="J924" s="490"/>
      <c r="K924" s="237"/>
      <c r="L924" s="490"/>
      <c r="M924" s="490" t="e">
        <f>M943+M1112</f>
        <v>#REF!</v>
      </c>
      <c r="N924" s="490"/>
      <c r="O924" s="237"/>
      <c r="P924" s="490"/>
      <c r="Q924" s="490" t="e">
        <f>Q943+Q1112</f>
        <v>#REF!</v>
      </c>
      <c r="R924" s="490"/>
      <c r="S924" s="237"/>
      <c r="T924" s="490"/>
      <c r="U924" s="490" t="e">
        <f>U943+U1112</f>
        <v>#REF!</v>
      </c>
      <c r="W924" s="54" t="s">
        <v>31</v>
      </c>
      <c r="X924" s="4"/>
      <c r="Y924" s="4"/>
      <c r="Z924" s="921"/>
      <c r="AA924" s="921"/>
      <c r="AB924" s="921"/>
      <c r="AC924" s="921"/>
      <c r="AD924" s="921"/>
      <c r="AE924" s="921"/>
      <c r="AF924" s="446"/>
      <c r="AN924" s="7"/>
      <c r="AO924" s="7"/>
      <c r="AP924" s="7"/>
      <c r="AQ924" s="7"/>
      <c r="AR924" s="7"/>
      <c r="AS924" s="7"/>
    </row>
    <row r="925" spans="1:45">
      <c r="A925" s="305" t="s">
        <v>414</v>
      </c>
      <c r="B925" s="305"/>
      <c r="C925" s="61"/>
      <c r="D925" s="237"/>
      <c r="E925" s="490"/>
      <c r="F925" s="490"/>
      <c r="G925" s="237"/>
      <c r="H925" s="490"/>
      <c r="I925" s="490"/>
      <c r="J925" s="490"/>
      <c r="K925" s="237"/>
      <c r="L925" s="490"/>
      <c r="M925" s="490"/>
      <c r="N925" s="490"/>
      <c r="O925" s="237"/>
      <c r="P925" s="490"/>
      <c r="Q925" s="490"/>
      <c r="R925" s="490"/>
      <c r="S925" s="237"/>
      <c r="T925" s="490"/>
      <c r="U925" s="490"/>
      <c r="W925" s="870"/>
      <c r="AI925" s="7"/>
      <c r="AJ925" s="7"/>
      <c r="AK925" s="7"/>
      <c r="AL925" s="7"/>
      <c r="AM925" s="7"/>
      <c r="AN925" s="7"/>
      <c r="AO925" s="7"/>
      <c r="AP925" s="7"/>
    </row>
    <row r="926" spans="1:45">
      <c r="A926" s="305" t="s">
        <v>452</v>
      </c>
      <c r="B926" s="305"/>
      <c r="C926" s="61">
        <f>C945+C1114</f>
        <v>807666593.62835383</v>
      </c>
      <c r="D926" s="1062"/>
      <c r="E926" s="490"/>
      <c r="F926" s="490">
        <f>F945+F1114</f>
        <v>38763826</v>
      </c>
      <c r="G926" s="1059"/>
      <c r="H926" s="490"/>
      <c r="I926" s="490">
        <f>I945+I1114</f>
        <v>38757263</v>
      </c>
      <c r="J926" s="490"/>
      <c r="K926" s="1059"/>
      <c r="L926" s="490"/>
      <c r="M926" s="490" t="e">
        <f>M945+M1114</f>
        <v>#REF!</v>
      </c>
      <c r="N926" s="490"/>
      <c r="O926" s="1059"/>
      <c r="P926" s="490"/>
      <c r="Q926" s="490" t="e">
        <f>Q945+Q1114</f>
        <v>#REF!</v>
      </c>
      <c r="R926" s="490"/>
      <c r="S926" s="1059"/>
      <c r="T926" s="490"/>
      <c r="U926" s="490" t="e">
        <f>U945+U1114</f>
        <v>#REF!</v>
      </c>
      <c r="W926" s="54" t="s">
        <v>31</v>
      </c>
      <c r="AI926" s="7"/>
      <c r="AJ926" s="7"/>
      <c r="AK926" s="7"/>
      <c r="AL926" s="7"/>
      <c r="AM926" s="7"/>
      <c r="AN926" s="7"/>
      <c r="AO926" s="7"/>
      <c r="AP926" s="7"/>
    </row>
    <row r="927" spans="1:45">
      <c r="A927" s="305" t="s">
        <v>388</v>
      </c>
      <c r="B927" s="305"/>
      <c r="C927" s="61">
        <f>C946+C1115</f>
        <v>179017.36363636321</v>
      </c>
      <c r="D927" s="237"/>
      <c r="E927" s="490"/>
      <c r="F927" s="490">
        <f>F946+F1115</f>
        <v>101516</v>
      </c>
      <c r="G927" s="237"/>
      <c r="H927" s="490"/>
      <c r="I927" s="490">
        <f>I946+I1115</f>
        <v>101516</v>
      </c>
      <c r="J927" s="490"/>
      <c r="K927" s="237"/>
      <c r="L927" s="490"/>
      <c r="M927" s="490" t="e">
        <f>M946+M1115</f>
        <v>#REF!</v>
      </c>
      <c r="N927" s="490"/>
      <c r="O927" s="237"/>
      <c r="P927" s="490"/>
      <c r="Q927" s="490" t="e">
        <f>Q946+Q1115</f>
        <v>#REF!</v>
      </c>
      <c r="R927" s="490"/>
      <c r="S927" s="237"/>
      <c r="T927" s="490"/>
      <c r="U927" s="490" t="e">
        <f>U946+U1115</f>
        <v>#REF!</v>
      </c>
      <c r="V927" s="870"/>
      <c r="W927" s="54" t="s">
        <v>31</v>
      </c>
      <c r="AI927" s="7"/>
      <c r="AJ927" s="7"/>
      <c r="AK927" s="7"/>
      <c r="AL927" s="7"/>
      <c r="AM927" s="7"/>
      <c r="AN927" s="7"/>
      <c r="AO927" s="7"/>
      <c r="AP927" s="7"/>
    </row>
    <row r="928" spans="1:45" s="588" customFormat="1" hidden="1">
      <c r="A928" s="588" t="s">
        <v>774</v>
      </c>
      <c r="C928" s="604">
        <f>C948+C1131</f>
        <v>394620593.62835383</v>
      </c>
      <c r="D928" s="990"/>
      <c r="E928" s="635"/>
      <c r="F928" s="616"/>
      <c r="G928" s="983"/>
      <c r="H928" s="635"/>
      <c r="I928" s="616">
        <f>I948+I1131</f>
        <v>28887746</v>
      </c>
      <c r="J928" s="616"/>
      <c r="K928" s="983"/>
      <c r="L928" s="635"/>
      <c r="M928" s="616" t="e">
        <f>M948+M1131</f>
        <v>#REF!</v>
      </c>
      <c r="N928" s="616"/>
      <c r="O928" s="983"/>
      <c r="P928" s="635"/>
      <c r="Q928" s="616" t="e">
        <f>Q948+Q1131</f>
        <v>#REF!</v>
      </c>
      <c r="R928" s="616"/>
      <c r="S928" s="983"/>
      <c r="T928" s="635"/>
      <c r="U928" s="616" t="e">
        <f>U948+U1131</f>
        <v>#REF!</v>
      </c>
      <c r="W928" s="450"/>
      <c r="Z928" s="989"/>
      <c r="AA928" s="989"/>
      <c r="AF928" s="635"/>
      <c r="AG928" s="635"/>
      <c r="AH928" s="635"/>
      <c r="AI928" s="635"/>
      <c r="AJ928" s="635"/>
      <c r="AK928" s="635"/>
      <c r="AL928" s="635"/>
      <c r="AM928" s="635"/>
      <c r="AN928" s="635"/>
      <c r="AO928" s="635"/>
      <c r="AP928" s="635"/>
      <c r="AR928" s="988"/>
    </row>
    <row r="929" spans="1:44">
      <c r="A929" s="305" t="s">
        <v>369</v>
      </c>
      <c r="B929" s="305"/>
      <c r="C929" s="61">
        <f>C948+C1118</f>
        <v>807666593.62835383</v>
      </c>
      <c r="D929" s="1009"/>
      <c r="E929" s="305"/>
      <c r="F929" s="490">
        <f>F948+F1118</f>
        <v>53867673</v>
      </c>
      <c r="G929" s="490"/>
      <c r="H929" s="305"/>
      <c r="I929" s="490">
        <f>I948+I1118</f>
        <v>53861621</v>
      </c>
      <c r="J929" s="490"/>
      <c r="K929" s="490"/>
      <c r="L929" s="305"/>
      <c r="M929" s="490" t="e">
        <f>M948+M1118</f>
        <v>#REF!</v>
      </c>
      <c r="N929" s="490"/>
      <c r="O929" s="490"/>
      <c r="P929" s="305"/>
      <c r="Q929" s="490" t="e">
        <f>Q948+Q1118</f>
        <v>#REF!</v>
      </c>
      <c r="R929" s="490"/>
      <c r="S929" s="490"/>
      <c r="T929" s="305"/>
      <c r="U929" s="490" t="e">
        <f>U948+U1118</f>
        <v>#REF!</v>
      </c>
      <c r="AI929" s="7"/>
      <c r="AJ929" s="7"/>
      <c r="AK929" s="7"/>
      <c r="AL929" s="7"/>
      <c r="AM929" s="7"/>
      <c r="AN929" s="7"/>
      <c r="AO929" s="7"/>
      <c r="AP929" s="7"/>
    </row>
    <row r="930" spans="1:44">
      <c r="A930" s="305" t="s">
        <v>351</v>
      </c>
      <c r="B930" s="305"/>
      <c r="C930" s="1011">
        <f ca="1">C949+C1119</f>
        <v>13301070.745551404</v>
      </c>
      <c r="D930" s="305"/>
      <c r="E930" s="305"/>
      <c r="F930" s="1061">
        <f ca="1">F949+F1119</f>
        <v>427250.33704310609</v>
      </c>
      <c r="G930" s="305"/>
      <c r="H930" s="305"/>
      <c r="I930" s="1061">
        <f ca="1">I949+I1119</f>
        <v>427250.33704310609</v>
      </c>
      <c r="J930" s="723"/>
      <c r="K930" s="305"/>
      <c r="L930" s="305"/>
      <c r="M930" s="1061" t="e">
        <f ca="1">M949+M1119</f>
        <v>#DIV/0!</v>
      </c>
      <c r="N930" s="723"/>
      <c r="O930" s="305"/>
      <c r="P930" s="305"/>
      <c r="Q930" s="1061" t="e">
        <f ca="1">Q949+Q1119</f>
        <v>#DIV/0!</v>
      </c>
      <c r="R930" s="723"/>
      <c r="S930" s="305"/>
      <c r="T930" s="305"/>
      <c r="U930" s="1061" t="e">
        <f ca="1">U949+U1119</f>
        <v>#DIV/0!</v>
      </c>
      <c r="Z930" s="1003"/>
      <c r="AA930" s="1003"/>
      <c r="AI930" s="7"/>
      <c r="AJ930" s="7"/>
      <c r="AK930" s="7"/>
      <c r="AL930" s="7"/>
      <c r="AM930" s="7"/>
      <c r="AN930" s="7"/>
      <c r="AO930" s="7"/>
      <c r="AP930" s="7"/>
    </row>
    <row r="931" spans="1:44" ht="16.5" thickBot="1">
      <c r="A931" s="305" t="s">
        <v>370</v>
      </c>
      <c r="B931" s="305"/>
      <c r="C931" s="1063">
        <f ca="1">SUM(C929:C930)</f>
        <v>820967664.37390518</v>
      </c>
      <c r="D931" s="1036"/>
      <c r="E931" s="1030"/>
      <c r="F931" s="1064">
        <f ca="1">F929+F930</f>
        <v>54294923.337043107</v>
      </c>
      <c r="G931" s="1036"/>
      <c r="H931" s="1030"/>
      <c r="I931" s="1064">
        <f ca="1">I929+I930</f>
        <v>54288871.337043107</v>
      </c>
      <c r="J931" s="723"/>
      <c r="K931" s="1036"/>
      <c r="L931" s="1030"/>
      <c r="M931" s="1064" t="e">
        <f ca="1">M929+M930</f>
        <v>#REF!</v>
      </c>
      <c r="N931" s="723"/>
      <c r="O931" s="1036"/>
      <c r="P931" s="1030"/>
      <c r="Q931" s="1064" t="e">
        <f ca="1">Q929+Q930</f>
        <v>#REF!</v>
      </c>
      <c r="R931" s="723"/>
      <c r="S931" s="1036"/>
      <c r="T931" s="1030"/>
      <c r="U931" s="1064" t="e">
        <f ca="1">U929+U930</f>
        <v>#REF!</v>
      </c>
      <c r="V931" s="442" t="s">
        <v>352</v>
      </c>
      <c r="W931" s="997">
        <f ca="1">('Rate Spread targets'!Q28+'Rate Spread targets'!Q29+'Rate Spread targets'!Q30)*1000</f>
        <v>55611638.043099128</v>
      </c>
      <c r="X931" s="998">
        <f ca="1">(I931-F931)/F931</f>
        <v>-1.114653015058404E-4</v>
      </c>
      <c r="Y931" s="453"/>
      <c r="AI931" s="7"/>
      <c r="AJ931" s="7"/>
      <c r="AK931" s="7"/>
      <c r="AL931" s="7"/>
      <c r="AM931" s="7"/>
      <c r="AN931" s="7"/>
      <c r="AO931" s="7"/>
      <c r="AP931" s="7"/>
    </row>
    <row r="932" spans="1:44" ht="16.5" thickTop="1">
      <c r="A932" s="305"/>
      <c r="B932" s="305"/>
      <c r="C932" s="61"/>
      <c r="D932" s="237" t="s">
        <v>31</v>
      </c>
      <c r="E932" s="305"/>
      <c r="F932" s="490"/>
      <c r="G932" s="237" t="s">
        <v>31</v>
      </c>
      <c r="H932" s="305"/>
      <c r="I932" s="490" t="s">
        <v>31</v>
      </c>
      <c r="J932" s="490"/>
      <c r="K932" s="237" t="s">
        <v>31</v>
      </c>
      <c r="L932" s="305"/>
      <c r="M932" s="490" t="s">
        <v>31</v>
      </c>
      <c r="N932" s="490"/>
      <c r="O932" s="237" t="s">
        <v>31</v>
      </c>
      <c r="P932" s="305"/>
      <c r="Q932" s="490" t="s">
        <v>31</v>
      </c>
      <c r="R932" s="490"/>
      <c r="S932" s="237" t="s">
        <v>31</v>
      </c>
      <c r="T932" s="305"/>
      <c r="U932" s="490" t="s">
        <v>31</v>
      </c>
      <c r="V932" s="568" t="s">
        <v>256</v>
      </c>
      <c r="W932" s="1001">
        <f ca="1">W931-I931-I913</f>
        <v>937574.02180919726</v>
      </c>
      <c r="X932" s="1045" t="s">
        <v>31</v>
      </c>
      <c r="Y932" s="654"/>
      <c r="AI932" s="7"/>
      <c r="AJ932" s="7"/>
      <c r="AK932" s="7"/>
      <c r="AL932" s="7"/>
      <c r="AM932" s="7"/>
      <c r="AN932" s="7"/>
      <c r="AO932" s="7"/>
      <c r="AP932" s="7"/>
    </row>
    <row r="933" spans="1:44">
      <c r="A933" s="305"/>
      <c r="B933" s="305"/>
      <c r="C933" s="61"/>
      <c r="D933" s="237"/>
      <c r="E933" s="305"/>
      <c r="F933" s="490" t="s">
        <v>31</v>
      </c>
      <c r="G933" s="237"/>
      <c r="H933" s="305"/>
      <c r="I933" s="237"/>
      <c r="J933" s="237"/>
      <c r="K933" s="237"/>
      <c r="L933" s="305"/>
      <c r="M933" s="237"/>
      <c r="N933" s="237"/>
      <c r="O933" s="237"/>
      <c r="P933" s="305"/>
      <c r="Q933" s="237"/>
      <c r="R933" s="237"/>
      <c r="S933" s="237"/>
      <c r="T933" s="305"/>
      <c r="U933" s="237"/>
      <c r="X933" s="31"/>
      <c r="Y933" s="31"/>
      <c r="Z933" s="7"/>
      <c r="AA933" s="7"/>
      <c r="AB933" s="7"/>
      <c r="AC933" s="7"/>
      <c r="AD933" s="7"/>
      <c r="AE933" s="7"/>
      <c r="AF933" s="7"/>
      <c r="AG933" s="7"/>
      <c r="AH933" s="7"/>
      <c r="AI933" s="7"/>
      <c r="AJ933" s="7"/>
      <c r="AK933" s="7"/>
      <c r="AL933" s="7"/>
      <c r="AM933" s="7"/>
      <c r="AN933" s="7"/>
      <c r="AO933" s="7"/>
      <c r="AP933" s="7"/>
    </row>
    <row r="934" spans="1:44">
      <c r="A934" s="305" t="s">
        <v>464</v>
      </c>
      <c r="B934" s="305"/>
      <c r="C934" s="305"/>
      <c r="D934" s="490"/>
      <c r="E934" s="305"/>
      <c r="F934" s="305"/>
      <c r="G934" s="490"/>
      <c r="H934" s="305"/>
      <c r="I934" s="305"/>
      <c r="J934" s="305"/>
      <c r="K934" s="490"/>
      <c r="L934" s="305"/>
      <c r="M934" s="305"/>
      <c r="N934" s="305"/>
      <c r="O934" s="490"/>
      <c r="P934" s="305"/>
      <c r="Q934" s="305"/>
      <c r="R934" s="305"/>
      <c r="S934" s="490"/>
      <c r="T934" s="305"/>
      <c r="U934" s="305"/>
      <c r="V934" s="342"/>
      <c r="W934" s="31"/>
      <c r="X934" s="31"/>
      <c r="Y934" s="31"/>
      <c r="Z934" s="7"/>
      <c r="AA934" s="7"/>
      <c r="AB934" s="7"/>
      <c r="AC934" s="7"/>
      <c r="AD934" s="7"/>
      <c r="AE934" s="7"/>
      <c r="AF934" s="7"/>
      <c r="AG934" s="7"/>
      <c r="AH934" s="7"/>
      <c r="AI934" s="7"/>
      <c r="AJ934" s="7"/>
      <c r="AK934" s="7"/>
      <c r="AL934" s="7"/>
      <c r="AM934" s="7"/>
      <c r="AN934" s="7"/>
      <c r="AO934" s="7"/>
      <c r="AP934" s="7"/>
    </row>
    <row r="935" spans="1:44">
      <c r="A935" s="305" t="s">
        <v>466</v>
      </c>
      <c r="B935" s="305"/>
      <c r="C935" s="305"/>
      <c r="D935" s="490"/>
      <c r="E935" s="305"/>
      <c r="F935" s="305"/>
      <c r="G935" s="490"/>
      <c r="H935" s="305"/>
      <c r="I935" s="305"/>
      <c r="J935" s="305"/>
      <c r="K935" s="490"/>
      <c r="L935" s="305"/>
      <c r="M935" s="305"/>
      <c r="N935" s="305"/>
      <c r="O935" s="490"/>
      <c r="P935" s="305"/>
      <c r="Q935" s="305"/>
      <c r="R935" s="305"/>
      <c r="S935" s="490"/>
      <c r="T935" s="305"/>
      <c r="U935" s="305"/>
      <c r="V935" s="7"/>
      <c r="X935" s="31"/>
      <c r="Y935" s="31"/>
      <c r="Z935" s="7"/>
      <c r="AA935" s="7"/>
      <c r="AB935" s="7"/>
      <c r="AC935" s="7"/>
      <c r="AD935" s="7"/>
      <c r="AE935" s="7"/>
      <c r="AF935" s="7"/>
      <c r="AG935" s="7"/>
      <c r="AH935" s="7"/>
      <c r="AI935" s="7"/>
      <c r="AJ935" s="7"/>
      <c r="AK935" s="7"/>
      <c r="AL935" s="7"/>
      <c r="AM935" s="7"/>
      <c r="AN935" s="7"/>
      <c r="AO935" s="7"/>
      <c r="AP935" s="7"/>
    </row>
    <row r="936" spans="1:44">
      <c r="A936" s="305"/>
      <c r="B936" s="305"/>
      <c r="C936" s="305"/>
      <c r="D936" s="490"/>
      <c r="E936" s="305"/>
      <c r="F936" s="305"/>
      <c r="G936" s="490"/>
      <c r="H936" s="305"/>
      <c r="I936" s="305"/>
      <c r="J936" s="305"/>
      <c r="K936" s="490"/>
      <c r="L936" s="305"/>
      <c r="M936" s="305"/>
      <c r="N936" s="305"/>
      <c r="O936" s="490"/>
      <c r="P936" s="305"/>
      <c r="Q936" s="305"/>
      <c r="R936" s="305"/>
      <c r="S936" s="490"/>
      <c r="T936" s="305"/>
      <c r="U936" s="305"/>
      <c r="V936" s="7"/>
      <c r="W936" s="31"/>
      <c r="X936" s="31"/>
      <c r="Y936" s="31"/>
      <c r="Z936" s="7"/>
      <c r="AA936" s="7"/>
      <c r="AB936" s="7"/>
      <c r="AC936" s="7"/>
      <c r="AD936" s="7"/>
      <c r="AE936" s="7"/>
      <c r="AF936" s="7"/>
      <c r="AG936" s="7"/>
      <c r="AH936" s="7"/>
      <c r="AI936" s="7"/>
      <c r="AJ936" s="7"/>
      <c r="AK936" s="7"/>
      <c r="AL936" s="7"/>
      <c r="AM936" s="7"/>
      <c r="AN936" s="7"/>
      <c r="AO936" s="7"/>
      <c r="AP936" s="7"/>
    </row>
    <row r="937" spans="1:44">
      <c r="A937" s="305" t="s">
        <v>381</v>
      </c>
      <c r="B937" s="305"/>
      <c r="C937" s="61"/>
      <c r="D937" s="490"/>
      <c r="E937" s="305"/>
      <c r="F937" s="305"/>
      <c r="G937" s="490"/>
      <c r="H937" s="305"/>
      <c r="I937" s="305"/>
      <c r="J937" s="305"/>
      <c r="K937" s="490"/>
      <c r="L937" s="305"/>
      <c r="M937" s="305"/>
      <c r="N937" s="305"/>
      <c r="O937" s="490"/>
      <c r="P937" s="305"/>
      <c r="Q937" s="305"/>
      <c r="R937" s="305"/>
      <c r="S937" s="490"/>
      <c r="T937" s="305"/>
      <c r="U937" s="305"/>
      <c r="X937" s="7"/>
      <c r="Y937" s="7"/>
      <c r="Z937" s="85" t="s">
        <v>31</v>
      </c>
      <c r="AH937" s="517"/>
      <c r="AI937" s="7"/>
      <c r="AJ937" s="7"/>
      <c r="AK937" s="7"/>
      <c r="AL937" s="7"/>
      <c r="AM937" s="7"/>
      <c r="AN937" s="7"/>
      <c r="AO937" s="7"/>
      <c r="AP937" s="7"/>
      <c r="AQ937" s="7"/>
      <c r="AR937" s="7"/>
    </row>
    <row r="938" spans="1:44">
      <c r="A938" s="305" t="s">
        <v>459</v>
      </c>
      <c r="B938" s="305"/>
      <c r="C938" s="61">
        <f>C956+C1013</f>
        <v>773.72727272727298</v>
      </c>
      <c r="D938" s="305"/>
      <c r="E938" s="490"/>
      <c r="F938" s="490">
        <f>F956+F1013</f>
        <v>1120335</v>
      </c>
      <c r="H938" s="490"/>
      <c r="I938" s="490">
        <f>I956+I1013</f>
        <v>1120335</v>
      </c>
      <c r="J938" s="490"/>
      <c r="L938" s="490"/>
      <c r="M938" s="490" t="e">
        <f>M956+M1013</f>
        <v>#REF!</v>
      </c>
      <c r="N938" s="490"/>
      <c r="P938" s="490"/>
      <c r="Q938" s="490" t="e">
        <f>Q956+Q1013</f>
        <v>#REF!</v>
      </c>
      <c r="R938" s="490"/>
      <c r="T938" s="490"/>
      <c r="U938" s="490" t="e">
        <f>U956+U1013</f>
        <v>#REF!</v>
      </c>
      <c r="W938" s="237">
        <f>G976</f>
        <v>1442</v>
      </c>
      <c r="X938" s="54">
        <f>(W938-D956)/D956</f>
        <v>0</v>
      </c>
      <c r="Y938" s="54"/>
      <c r="AB938" s="921"/>
      <c r="AC938" s="446"/>
      <c r="AD938" s="921"/>
      <c r="AE938" s="446"/>
      <c r="AF938" s="921"/>
      <c r="AG938" s="921"/>
      <c r="AH938" s="1005"/>
      <c r="AI938" s="7"/>
      <c r="AJ938" s="7"/>
      <c r="AK938" s="7"/>
      <c r="AL938" s="7"/>
      <c r="AM938" s="7"/>
      <c r="AN938" s="7"/>
      <c r="AO938" s="7"/>
      <c r="AP938" s="7"/>
      <c r="AQ938" s="7"/>
      <c r="AR938" s="7"/>
    </row>
    <row r="939" spans="1:44">
      <c r="A939" s="305" t="s">
        <v>460</v>
      </c>
      <c r="B939" s="305"/>
      <c r="C939" s="61">
        <f>C957+C1014</f>
        <v>0</v>
      </c>
      <c r="D939" s="305"/>
      <c r="E939" s="1009"/>
      <c r="F939" s="490">
        <f>F957+F1014</f>
        <v>0</v>
      </c>
      <c r="H939" s="1009"/>
      <c r="I939" s="490">
        <f>I957+I1014</f>
        <v>0</v>
      </c>
      <c r="J939" s="490"/>
      <c r="L939" s="1009"/>
      <c r="M939" s="490" t="e">
        <f>M957+M1014</f>
        <v>#REF!</v>
      </c>
      <c r="N939" s="490"/>
      <c r="P939" s="1009"/>
      <c r="Q939" s="490" t="e">
        <f>Q957+Q1014</f>
        <v>#REF!</v>
      </c>
      <c r="R939" s="490"/>
      <c r="T939" s="1009"/>
      <c r="U939" s="490" t="e">
        <f>U957+U1014</f>
        <v>#REF!</v>
      </c>
      <c r="W939" s="237">
        <f>G977</f>
        <v>1743</v>
      </c>
      <c r="X939" s="54">
        <f>(W939-D957)/D957</f>
        <v>0</v>
      </c>
      <c r="Y939" s="54"/>
      <c r="AB939" s="921"/>
      <c r="AC939" s="446"/>
      <c r="AD939" s="921"/>
      <c r="AE939" s="446"/>
      <c r="AF939" s="921"/>
      <c r="AG939" s="921"/>
      <c r="AH939" s="1005"/>
      <c r="AI939" s="7"/>
      <c r="AJ939" s="7"/>
      <c r="AK939" s="7"/>
      <c r="AL939" s="7"/>
      <c r="AM939" s="7"/>
      <c r="AN939" s="7"/>
      <c r="AO939" s="7"/>
      <c r="AP939" s="7"/>
      <c r="AQ939" s="7"/>
      <c r="AR939" s="7"/>
    </row>
    <row r="940" spans="1:44">
      <c r="A940" s="305" t="s">
        <v>382</v>
      </c>
      <c r="B940" s="305"/>
      <c r="C940" s="61">
        <f t="shared" ref="C940" si="170">C1072+C1091</f>
        <v>773.72727272727298</v>
      </c>
      <c r="D940" s="305"/>
      <c r="E940" s="490"/>
      <c r="F940" s="490">
        <f t="shared" ref="F940" si="171">F1072+F1091</f>
        <v>0</v>
      </c>
      <c r="H940" s="490"/>
      <c r="I940" s="490">
        <f t="shared" ref="I940" si="172">I1072+I1091</f>
        <v>0</v>
      </c>
      <c r="J940" s="490"/>
      <c r="L940" s="490"/>
      <c r="M940" s="490">
        <f t="shared" ref="M940" si="173">M1072+M1091</f>
        <v>0</v>
      </c>
      <c r="N940" s="490"/>
      <c r="P940" s="490"/>
      <c r="Q940" s="490">
        <f t="shared" ref="Q940" si="174">Q1072+Q1091</f>
        <v>0</v>
      </c>
      <c r="R940" s="490"/>
      <c r="T940" s="490"/>
      <c r="U940" s="490">
        <f t="shared" ref="U940" si="175">U1072+U1091</f>
        <v>0</v>
      </c>
      <c r="W940" s="237" t="s">
        <v>31</v>
      </c>
      <c r="X940" s="870"/>
      <c r="Y940" s="870"/>
      <c r="AB940" s="921"/>
      <c r="AC940" s="446"/>
      <c r="AD940" s="921"/>
      <c r="AE940" s="446"/>
      <c r="AF940" s="921"/>
      <c r="AG940" s="921"/>
      <c r="AH940" s="1005"/>
      <c r="AI940" s="7"/>
      <c r="AJ940" s="7"/>
      <c r="AK940" s="7"/>
      <c r="AL940" s="7"/>
      <c r="AM940" s="7"/>
      <c r="AN940" s="7"/>
      <c r="AO940" s="7"/>
      <c r="AP940" s="7"/>
      <c r="AQ940" s="7"/>
      <c r="AR940" s="7"/>
    </row>
    <row r="941" spans="1:44">
      <c r="A941" s="305" t="s">
        <v>461</v>
      </c>
      <c r="B941" s="305"/>
      <c r="C941" s="61">
        <f>C959+C1016</f>
        <v>1121158.068965517</v>
      </c>
      <c r="D941" s="305"/>
      <c r="E941" s="490"/>
      <c r="F941" s="490">
        <f>F959+F1016</f>
        <v>1171938</v>
      </c>
      <c r="H941" s="490"/>
      <c r="I941" s="490">
        <f>I959+I1016</f>
        <v>1171938</v>
      </c>
      <c r="J941" s="490"/>
      <c r="L941" s="490"/>
      <c r="M941" s="490" t="e">
        <f>M959+M1016</f>
        <v>#REF!</v>
      </c>
      <c r="N941" s="490"/>
      <c r="P941" s="490"/>
      <c r="Q941" s="490" t="e">
        <f>Q959+Q1016</f>
        <v>#REF!</v>
      </c>
      <c r="R941" s="490"/>
      <c r="T941" s="490"/>
      <c r="U941" s="490" t="e">
        <f>U959+U1016</f>
        <v>#REF!</v>
      </c>
      <c r="W941" s="237">
        <f>G979</f>
        <v>1.1499999999999999</v>
      </c>
      <c r="X941" s="54">
        <f>(W941-D959)/D959</f>
        <v>0</v>
      </c>
      <c r="Y941" s="54"/>
      <c r="AB941" s="921"/>
      <c r="AC941" s="446"/>
      <c r="AD941" s="921"/>
      <c r="AE941" s="446"/>
      <c r="AF941" s="921"/>
      <c r="AG941" s="921"/>
      <c r="AH941" s="1005"/>
      <c r="AI941" s="7"/>
      <c r="AJ941" s="7"/>
      <c r="AK941" s="7"/>
      <c r="AL941" s="7"/>
      <c r="AM941" s="7"/>
      <c r="AN941" s="7"/>
      <c r="AO941" s="7"/>
      <c r="AP941" s="7"/>
      <c r="AQ941" s="7"/>
      <c r="AR941" s="7"/>
    </row>
    <row r="942" spans="1:44">
      <c r="A942" s="305" t="s">
        <v>462</v>
      </c>
      <c r="B942" s="305"/>
      <c r="C942" s="61">
        <f>C960+C1017</f>
        <v>0</v>
      </c>
      <c r="D942" s="305"/>
      <c r="E942" s="490"/>
      <c r="F942" s="490">
        <f>F960+F1017</f>
        <v>0</v>
      </c>
      <c r="H942" s="490"/>
      <c r="I942" s="490">
        <f>I960+I1017</f>
        <v>0</v>
      </c>
      <c r="J942" s="490"/>
      <c r="L942" s="490"/>
      <c r="M942" s="490" t="e">
        <f>M960+M1017</f>
        <v>#REF!</v>
      </c>
      <c r="N942" s="490"/>
      <c r="P942" s="490"/>
      <c r="Q942" s="490" t="e">
        <f>Q960+Q1017</f>
        <v>#REF!</v>
      </c>
      <c r="R942" s="490"/>
      <c r="T942" s="490"/>
      <c r="U942" s="490" t="e">
        <f>U960+U1017</f>
        <v>#REF!</v>
      </c>
      <c r="W942" s="237">
        <f>G980</f>
        <v>1.03</v>
      </c>
      <c r="X942" s="54">
        <f>(W942-D960)/D960</f>
        <v>0</v>
      </c>
      <c r="Y942" s="54"/>
      <c r="AB942" s="921"/>
      <c r="AC942" s="446"/>
      <c r="AD942" s="921"/>
      <c r="AE942" s="446"/>
      <c r="AF942" s="921"/>
      <c r="AG942" s="921"/>
      <c r="AH942" s="1005"/>
      <c r="AI942" s="7"/>
      <c r="AJ942" s="7"/>
      <c r="AK942" s="7"/>
      <c r="AL942" s="7"/>
      <c r="AM942" s="7"/>
      <c r="AN942" s="7"/>
      <c r="AO942" s="7"/>
      <c r="AP942" s="7"/>
      <c r="AQ942" s="7"/>
      <c r="AR942" s="7"/>
    </row>
    <row r="943" spans="1:44">
      <c r="A943" s="305" t="s">
        <v>391</v>
      </c>
      <c r="B943" s="305"/>
      <c r="C943" s="61">
        <f>C961+C1018</f>
        <v>909772.62068965496</v>
      </c>
      <c r="D943" s="305"/>
      <c r="E943" s="490"/>
      <c r="F943" s="490">
        <f>F961+F1018</f>
        <v>7393907</v>
      </c>
      <c r="H943" s="490"/>
      <c r="I943" s="490">
        <f>I961+I1018</f>
        <v>7399689</v>
      </c>
      <c r="J943" s="490"/>
      <c r="L943" s="490"/>
      <c r="M943" s="490" t="e">
        <f>M961+M1018</f>
        <v>#REF!</v>
      </c>
      <c r="N943" s="490"/>
      <c r="P943" s="490"/>
      <c r="Q943" s="490" t="e">
        <f>Q961+Q1018</f>
        <v>#REF!</v>
      </c>
      <c r="R943" s="490"/>
      <c r="T943" s="490"/>
      <c r="U943" s="490" t="e">
        <f>U961+U1018</f>
        <v>#REF!</v>
      </c>
      <c r="W943" s="237">
        <f>G981</f>
        <v>8.17</v>
      </c>
      <c r="X943" s="54">
        <f>(W943-D961)/D961</f>
        <v>1.2254901960784053E-3</v>
      </c>
      <c r="Y943" s="54"/>
      <c r="AA943" s="31"/>
      <c r="AB943" s="1065"/>
      <c r="AC943" s="1005"/>
      <c r="AD943" s="1065"/>
      <c r="AE943" s="1005"/>
      <c r="AF943" s="1065"/>
      <c r="AG943" s="31"/>
      <c r="AH943" s="1005"/>
      <c r="AI943" s="7"/>
      <c r="AJ943" s="7"/>
      <c r="AK943" s="7"/>
      <c r="AL943" s="7"/>
      <c r="AM943" s="7"/>
      <c r="AN943" s="7"/>
      <c r="AO943" s="7"/>
      <c r="AP943" s="7"/>
    </row>
    <row r="944" spans="1:44">
      <c r="A944" s="305" t="s">
        <v>414</v>
      </c>
      <c r="B944" s="305"/>
      <c r="C944" s="61" t="s">
        <v>31</v>
      </c>
      <c r="D944" s="305"/>
      <c r="E944" s="490"/>
      <c r="F944" s="490" t="s">
        <v>31</v>
      </c>
      <c r="H944" s="490"/>
      <c r="I944" s="490" t="s">
        <v>31</v>
      </c>
      <c r="J944" s="490"/>
      <c r="L944" s="490"/>
      <c r="M944" s="490" t="s">
        <v>31</v>
      </c>
      <c r="N944" s="490"/>
      <c r="P944" s="490"/>
      <c r="Q944" s="490" t="s">
        <v>31</v>
      </c>
      <c r="R944" s="490"/>
      <c r="T944" s="490"/>
      <c r="U944" s="490" t="s">
        <v>31</v>
      </c>
      <c r="W944" s="237" t="s">
        <v>31</v>
      </c>
      <c r="X944" s="870"/>
      <c r="Y944" s="870"/>
      <c r="AA944" s="31"/>
      <c r="AB944" s="7"/>
      <c r="AC944" s="7"/>
      <c r="AD944" s="342"/>
      <c r="AE944" s="7"/>
      <c r="AF944" s="7"/>
      <c r="AG944" s="7"/>
      <c r="AH944" s="7"/>
      <c r="AI944" s="7"/>
      <c r="AJ944" s="7"/>
      <c r="AK944" s="7"/>
      <c r="AL944" s="7"/>
      <c r="AM944" s="7"/>
      <c r="AN944" s="7"/>
      <c r="AO944" s="7"/>
      <c r="AP944" s="7"/>
    </row>
    <row r="945" spans="1:44">
      <c r="A945" s="305" t="s">
        <v>452</v>
      </c>
      <c r="B945" s="305"/>
      <c r="C945" s="61">
        <f>C963+C1020</f>
        <v>394620593.62835383</v>
      </c>
      <c r="D945" s="305"/>
      <c r="E945" s="490"/>
      <c r="F945" s="490">
        <f>F963+F1020</f>
        <v>19111097</v>
      </c>
      <c r="H945" s="490"/>
      <c r="I945" s="490">
        <f>I963+I1020</f>
        <v>19104534</v>
      </c>
      <c r="J945" s="490"/>
      <c r="L945" s="490"/>
      <c r="M945" s="490" t="e">
        <f>M963+M1020</f>
        <v>#REF!</v>
      </c>
      <c r="N945" s="490"/>
      <c r="P945" s="490"/>
      <c r="Q945" s="490" t="e">
        <f>Q963+Q1020</f>
        <v>#REF!</v>
      </c>
      <c r="R945" s="490"/>
      <c r="T945" s="490"/>
      <c r="U945" s="490" t="e">
        <f>U963+U1020</f>
        <v>#REF!</v>
      </c>
      <c r="W945" s="1059" t="s">
        <v>31</v>
      </c>
      <c r="X945" s="54" t="s">
        <v>31</v>
      </c>
      <c r="Y945" s="54"/>
      <c r="AA945" s="31"/>
      <c r="AB945" s="7"/>
      <c r="AC945" s="7"/>
      <c r="AD945" s="1065"/>
      <c r="AE945" s="7"/>
      <c r="AF945" s="7"/>
      <c r="AG945" s="7"/>
      <c r="AH945" s="7"/>
      <c r="AI945" s="7"/>
      <c r="AJ945" s="7"/>
      <c r="AK945" s="7"/>
      <c r="AL945" s="7"/>
      <c r="AM945" s="7"/>
      <c r="AN945" s="7"/>
      <c r="AO945" s="7"/>
      <c r="AP945" s="7"/>
    </row>
    <row r="946" spans="1:44">
      <c r="A946" s="305" t="s">
        <v>388</v>
      </c>
      <c r="B946" s="305"/>
      <c r="C946" s="61">
        <f>C964+C1021</f>
        <v>160351.36363636321</v>
      </c>
      <c r="D946" s="305"/>
      <c r="E946" s="490"/>
      <c r="F946" s="490">
        <f>F964+F1021</f>
        <v>91250</v>
      </c>
      <c r="H946" s="490"/>
      <c r="I946" s="490">
        <f>I964+I1021</f>
        <v>91250</v>
      </c>
      <c r="J946" s="490"/>
      <c r="L946" s="490"/>
      <c r="M946" s="490" t="e">
        <f>M964+M1021</f>
        <v>#REF!</v>
      </c>
      <c r="N946" s="490"/>
      <c r="P946" s="490"/>
      <c r="Q946" s="490" t="e">
        <f>Q964+Q1021</f>
        <v>#REF!</v>
      </c>
      <c r="R946" s="490"/>
      <c r="T946" s="490"/>
      <c r="U946" s="490" t="e">
        <f>U964+U1021</f>
        <v>#REF!</v>
      </c>
      <c r="W946" s="237">
        <f>G964</f>
        <v>0.56999999999999995</v>
      </c>
      <c r="X946" s="54">
        <f>(W946-D964)/D964</f>
        <v>0</v>
      </c>
      <c r="Y946" s="54"/>
      <c r="AA946" s="31"/>
      <c r="AB946" s="7"/>
      <c r="AC946" s="7"/>
      <c r="AD946" s="7"/>
      <c r="AE946" s="7"/>
      <c r="AF946" s="7"/>
      <c r="AG946" s="7"/>
      <c r="AH946" s="7"/>
      <c r="AI946" s="7"/>
      <c r="AJ946" s="7"/>
      <c r="AK946" s="7"/>
      <c r="AL946" s="7"/>
      <c r="AM946" s="7"/>
      <c r="AN946" s="7"/>
      <c r="AO946" s="7"/>
      <c r="AP946" s="7"/>
    </row>
    <row r="947" spans="1:44" s="588" customFormat="1" hidden="1">
      <c r="A947" s="588" t="s">
        <v>774</v>
      </c>
      <c r="C947" s="61">
        <f>C965+C1022</f>
        <v>394620593.62835383</v>
      </c>
      <c r="D947" s="990"/>
      <c r="E947" s="635"/>
      <c r="F947" s="490">
        <f>F965+F1022</f>
        <v>0</v>
      </c>
      <c r="G947" s="983"/>
      <c r="H947" s="635"/>
      <c r="I947" s="490">
        <f>I965+I1022</f>
        <v>0</v>
      </c>
      <c r="J947" s="616"/>
      <c r="K947" s="983"/>
      <c r="L947" s="635"/>
      <c r="M947" s="490" t="e">
        <f>M965+M1022</f>
        <v>#REF!</v>
      </c>
      <c r="N947" s="616"/>
      <c r="O947" s="983"/>
      <c r="P947" s="635"/>
      <c r="Q947" s="490" t="e">
        <f>Q965+Q1022</f>
        <v>#REF!</v>
      </c>
      <c r="R947" s="616"/>
      <c r="S947" s="983"/>
      <c r="T947" s="635"/>
      <c r="U947" s="490" t="e">
        <f>U965+U1022</f>
        <v>#REF!</v>
      </c>
      <c r="W947" s="450"/>
      <c r="Z947" s="989"/>
      <c r="AA947" s="989"/>
      <c r="AF947" s="635"/>
      <c r="AG947" s="635"/>
      <c r="AH947" s="635"/>
      <c r="AI947" s="635"/>
      <c r="AJ947" s="635"/>
      <c r="AK947" s="635"/>
      <c r="AL947" s="635"/>
      <c r="AM947" s="635"/>
      <c r="AN947" s="635"/>
      <c r="AO947" s="635"/>
      <c r="AP947" s="635"/>
      <c r="AR947" s="988"/>
    </row>
    <row r="948" spans="1:44">
      <c r="A948" s="305" t="s">
        <v>369</v>
      </c>
      <c r="B948" s="305"/>
      <c r="C948" s="61">
        <f>C967+C1024</f>
        <v>394620593.62835383</v>
      </c>
      <c r="D948" s="1009"/>
      <c r="E948" s="305"/>
      <c r="F948" s="490">
        <f>F967+F1024</f>
        <v>28888527</v>
      </c>
      <c r="G948" s="490"/>
      <c r="H948" s="305"/>
      <c r="I948" s="490">
        <f>I967+I1024</f>
        <v>28887746</v>
      </c>
      <c r="J948" s="490"/>
      <c r="K948" s="490"/>
      <c r="L948" s="305"/>
      <c r="M948" s="490" t="e">
        <f>M967+M1024</f>
        <v>#REF!</v>
      </c>
      <c r="N948" s="490"/>
      <c r="O948" s="490"/>
      <c r="P948" s="305"/>
      <c r="Q948" s="490" t="e">
        <f>Q967+Q1024</f>
        <v>#REF!</v>
      </c>
      <c r="R948" s="490"/>
      <c r="S948" s="490"/>
      <c r="T948" s="305"/>
      <c r="U948" s="490" t="e">
        <f>U967+U1024</f>
        <v>#REF!</v>
      </c>
      <c r="V948" s="7"/>
      <c r="X948" s="31"/>
      <c r="Y948" s="31"/>
      <c r="Z948" s="7"/>
      <c r="AA948" s="7"/>
      <c r="AB948" s="7"/>
      <c r="AC948" s="7"/>
      <c r="AD948" s="7"/>
      <c r="AE948" s="7"/>
      <c r="AF948" s="7"/>
      <c r="AG948" s="7"/>
      <c r="AH948" s="7"/>
      <c r="AI948" s="7"/>
      <c r="AJ948" s="7"/>
      <c r="AK948" s="7"/>
      <c r="AL948" s="7"/>
      <c r="AM948" s="7"/>
      <c r="AN948" s="7"/>
      <c r="AO948" s="7"/>
      <c r="AP948" s="7"/>
    </row>
    <row r="949" spans="1:44">
      <c r="A949" s="305" t="s">
        <v>351</v>
      </c>
      <c r="B949" s="305"/>
      <c r="C949" s="1011">
        <f ca="1">C968+C1025</f>
        <v>5564969.8720139796</v>
      </c>
      <c r="D949" s="305"/>
      <c r="E949" s="305"/>
      <c r="F949" s="1061">
        <f ca="1">F968+F1025</f>
        <v>276989.59644031158</v>
      </c>
      <c r="G949" s="305"/>
      <c r="H949" s="305"/>
      <c r="I949" s="1061">
        <f ca="1">I968+I1025</f>
        <v>276989.59644031158</v>
      </c>
      <c r="J949" s="723"/>
      <c r="K949" s="305"/>
      <c r="L949" s="305"/>
      <c r="M949" s="1061" t="e">
        <f ca="1">M968+M1025</f>
        <v>#DIV/0!</v>
      </c>
      <c r="N949" s="723"/>
      <c r="O949" s="305"/>
      <c r="P949" s="305"/>
      <c r="Q949" s="1061" t="e">
        <f ca="1">Q968+Q1025</f>
        <v>#DIV/0!</v>
      </c>
      <c r="R949" s="723"/>
      <c r="S949" s="305"/>
      <c r="T949" s="305"/>
      <c r="U949" s="1061" t="e">
        <f ca="1">U968+U1025</f>
        <v>#DIV/0!</v>
      </c>
      <c r="V949" s="714"/>
      <c r="W949" s="171"/>
      <c r="X949" s="31"/>
      <c r="Y949" s="31"/>
      <c r="Z949" s="7"/>
      <c r="AA949" s="7"/>
      <c r="AB949" s="7"/>
      <c r="AC949" s="7"/>
      <c r="AD949" s="7"/>
      <c r="AE949" s="7"/>
      <c r="AF949" s="7"/>
      <c r="AG949" s="7"/>
      <c r="AH949" s="7"/>
      <c r="AI949" s="7"/>
      <c r="AJ949" s="7"/>
      <c r="AK949" s="7"/>
      <c r="AL949" s="7"/>
      <c r="AM949" s="7"/>
      <c r="AN949" s="7"/>
      <c r="AO949" s="7"/>
      <c r="AP949" s="7"/>
    </row>
    <row r="950" spans="1:44" ht="16.5" thickBot="1">
      <c r="A950" s="305" t="s">
        <v>370</v>
      </c>
      <c r="B950" s="305"/>
      <c r="C950" s="1066">
        <f ca="1">C969+C1026</f>
        <v>400185563.50036788</v>
      </c>
      <c r="D950" s="1036"/>
      <c r="E950" s="1030"/>
      <c r="F950" s="1067">
        <f ca="1">F969+F1026</f>
        <v>29165516.596440315</v>
      </c>
      <c r="G950" s="1036"/>
      <c r="H950" s="1030"/>
      <c r="I950" s="1067">
        <f ca="1">I969+I1026</f>
        <v>29164735.596440315</v>
      </c>
      <c r="J950" s="723"/>
      <c r="K950" s="1036"/>
      <c r="L950" s="1030"/>
      <c r="M950" s="1067" t="e">
        <f ca="1">M969+M1026</f>
        <v>#REF!</v>
      </c>
      <c r="N950" s="723"/>
      <c r="O950" s="1036"/>
      <c r="P950" s="1030"/>
      <c r="Q950" s="1067" t="e">
        <f ca="1">Q969+Q1026</f>
        <v>#REF!</v>
      </c>
      <c r="R950" s="723"/>
      <c r="S950" s="1036"/>
      <c r="T950" s="1030"/>
      <c r="U950" s="1067" t="e">
        <f ca="1">U969+U1026</f>
        <v>#REF!</v>
      </c>
      <c r="V950" s="442" t="s">
        <v>352</v>
      </c>
      <c r="W950" s="997">
        <f ca="1">('Rate Spread targets'!Q29+'Rate Spread targets'!Q28)*1000</f>
        <v>30054041.331836291</v>
      </c>
      <c r="X950" s="998">
        <f ca="1">(I950-F950)/F950</f>
        <v>-2.6778198747740403E-5</v>
      </c>
      <c r="Y950" s="453"/>
      <c r="Z950" s="85" t="s">
        <v>31</v>
      </c>
      <c r="AA950" s="7"/>
      <c r="AB950" s="7"/>
      <c r="AC950" s="7"/>
      <c r="AD950" s="7"/>
      <c r="AE950" s="7"/>
      <c r="AF950" s="7"/>
      <c r="AG950" s="7"/>
      <c r="AH950" s="7"/>
      <c r="AI950" s="7"/>
      <c r="AJ950" s="7"/>
      <c r="AK950" s="7"/>
      <c r="AL950" s="7"/>
      <c r="AM950" s="7"/>
      <c r="AN950" s="7"/>
      <c r="AO950" s="7"/>
      <c r="AP950" s="7"/>
    </row>
    <row r="951" spans="1:44" ht="16.5" thickTop="1">
      <c r="A951" s="305"/>
      <c r="B951" s="305"/>
      <c r="C951" s="999"/>
      <c r="D951" s="1037"/>
      <c r="E951" s="1033"/>
      <c r="F951" s="723"/>
      <c r="G951" s="1037"/>
      <c r="H951" s="1033"/>
      <c r="I951" s="723"/>
      <c r="J951" s="723"/>
      <c r="K951" s="1037"/>
      <c r="L951" s="1033"/>
      <c r="M951" s="723"/>
      <c r="N951" s="723"/>
      <c r="O951" s="1037"/>
      <c r="P951" s="1033"/>
      <c r="Q951" s="723"/>
      <c r="R951" s="723"/>
      <c r="S951" s="1037"/>
      <c r="T951" s="1033"/>
      <c r="U951" s="723" t="s">
        <v>31</v>
      </c>
      <c r="V951" s="1068" t="s">
        <v>256</v>
      </c>
      <c r="W951" s="1001">
        <f ca="1">W950-I913-I969-I1026</f>
        <v>504113.05114915408</v>
      </c>
      <c r="X951" s="1069"/>
      <c r="Y951" s="31"/>
      <c r="Z951" s="7"/>
      <c r="AA951" s="7"/>
      <c r="AB951" s="7"/>
      <c r="AC951" s="7"/>
      <c r="AD951" s="7"/>
      <c r="AE951" s="7"/>
      <c r="AF951" s="7"/>
      <c r="AG951" s="7"/>
      <c r="AH951" s="7"/>
      <c r="AI951" s="7"/>
      <c r="AJ951" s="7"/>
      <c r="AK951" s="7"/>
      <c r="AL951" s="7"/>
      <c r="AM951" s="7"/>
      <c r="AN951" s="7"/>
      <c r="AO951" s="7"/>
      <c r="AP951" s="7"/>
    </row>
    <row r="952" spans="1:44">
      <c r="A952" s="305" t="s">
        <v>464</v>
      </c>
      <c r="B952" s="305"/>
      <c r="C952" s="305"/>
      <c r="D952" s="490"/>
      <c r="E952" s="305"/>
      <c r="F952" s="305"/>
      <c r="G952" s="490"/>
      <c r="H952" s="305"/>
      <c r="K952" s="490"/>
      <c r="L952" s="305"/>
      <c r="O952" s="490"/>
      <c r="P952" s="305"/>
      <c r="S952" s="490"/>
      <c r="T952" s="305"/>
      <c r="X952" s="31"/>
      <c r="Y952" s="31"/>
      <c r="Z952" s="7"/>
      <c r="AA952" s="7"/>
      <c r="AB952" s="7"/>
      <c r="AC952" s="7"/>
      <c r="AD952" s="7"/>
      <c r="AE952" s="7"/>
      <c r="AF952" s="7"/>
      <c r="AG952" s="7"/>
      <c r="AH952" s="7"/>
      <c r="AI952" s="7"/>
      <c r="AJ952" s="7"/>
      <c r="AK952" s="7"/>
      <c r="AL952" s="7"/>
      <c r="AM952" s="7"/>
      <c r="AN952" s="7"/>
      <c r="AO952" s="7"/>
      <c r="AP952" s="7"/>
    </row>
    <row r="953" spans="1:44">
      <c r="A953" s="305" t="s">
        <v>635</v>
      </c>
      <c r="B953" s="305"/>
      <c r="C953" s="305"/>
      <c r="D953" s="490"/>
      <c r="E953" s="305"/>
      <c r="F953" s="305"/>
      <c r="G953" s="490"/>
      <c r="H953" s="305"/>
      <c r="I953" s="305"/>
      <c r="J953" s="305"/>
      <c r="K953" s="490"/>
      <c r="L953" s="305"/>
      <c r="M953" s="305"/>
      <c r="N953" s="305"/>
      <c r="O953" s="490"/>
      <c r="P953" s="305"/>
      <c r="Q953" s="305"/>
      <c r="R953" s="305"/>
      <c r="S953" s="490"/>
      <c r="T953" s="305"/>
      <c r="U953" s="305"/>
      <c r="V953" s="490">
        <f ca="1">I913+I969+I1026</f>
        <v>29549928.280687138</v>
      </c>
      <c r="W953" s="31" t="s">
        <v>656</v>
      </c>
      <c r="X953" s="454">
        <f ca="1">(V953-(F950+F913))/(F950+F913)</f>
        <v>-1.9965808869944487E-5</v>
      </c>
      <c r="Y953" s="31"/>
      <c r="Z953" s="7"/>
      <c r="AA953" s="7"/>
      <c r="AB953" s="7"/>
      <c r="AC953" s="7"/>
      <c r="AD953" s="7"/>
      <c r="AE953" s="7"/>
      <c r="AF953" s="7"/>
      <c r="AG953" s="7"/>
      <c r="AH953" s="7"/>
      <c r="AI953" s="7"/>
      <c r="AJ953" s="7"/>
      <c r="AK953" s="7"/>
      <c r="AL953" s="7"/>
      <c r="AM953" s="7"/>
      <c r="AN953" s="7"/>
      <c r="AO953" s="7"/>
      <c r="AP953" s="7"/>
    </row>
    <row r="954" spans="1:44">
      <c r="A954" s="305"/>
      <c r="B954" s="305"/>
      <c r="C954" s="305"/>
      <c r="D954" s="490"/>
      <c r="E954" s="305"/>
      <c r="F954" s="305"/>
      <c r="G954" s="490"/>
      <c r="H954" s="305"/>
      <c r="I954" s="305"/>
      <c r="J954" s="305"/>
      <c r="K954" s="490"/>
      <c r="L954" s="305"/>
      <c r="M954" s="305"/>
      <c r="N954" s="305"/>
      <c r="O954" s="490"/>
      <c r="P954" s="305"/>
      <c r="Q954" s="305"/>
      <c r="R954" s="305"/>
      <c r="S954" s="490"/>
      <c r="T954" s="305"/>
      <c r="U954" s="305"/>
      <c r="V954" s="7"/>
      <c r="W954" s="31"/>
      <c r="X954" s="31"/>
      <c r="Y954" s="31"/>
      <c r="Z954" s="7"/>
      <c r="AA954" s="7"/>
      <c r="AB954" s="7"/>
      <c r="AC954" s="7"/>
      <c r="AD954" s="7"/>
      <c r="AE954" s="7"/>
      <c r="AF954" s="7"/>
      <c r="AG954" s="7"/>
      <c r="AH954" s="7"/>
      <c r="AI954" s="7"/>
      <c r="AJ954" s="7"/>
      <c r="AK954" s="7"/>
      <c r="AL954" s="7"/>
      <c r="AM954" s="7"/>
      <c r="AN954" s="7"/>
      <c r="AO954" s="7"/>
      <c r="AP954" s="7"/>
    </row>
    <row r="955" spans="1:44">
      <c r="A955" s="305" t="s">
        <v>381</v>
      </c>
      <c r="B955" s="305"/>
      <c r="C955" s="61"/>
      <c r="D955" s="490"/>
      <c r="E955" s="305"/>
      <c r="F955" s="305"/>
      <c r="G955" s="490"/>
      <c r="H955" s="305"/>
      <c r="I955" s="305"/>
      <c r="J955" s="305"/>
      <c r="K955" s="490"/>
      <c r="L955" s="305"/>
      <c r="M955" s="305"/>
      <c r="N955" s="305"/>
      <c r="O955" s="490"/>
      <c r="P955" s="305"/>
      <c r="Q955" s="305"/>
      <c r="R955" s="305"/>
      <c r="S955" s="490"/>
      <c r="T955" s="305"/>
      <c r="U955" s="305"/>
      <c r="V955" s="7"/>
      <c r="W955" s="31"/>
      <c r="X955" s="31"/>
      <c r="Y955" s="31"/>
      <c r="Z955" s="7"/>
      <c r="AA955" s="7"/>
      <c r="AB955" s="7"/>
      <c r="AC955" s="7"/>
      <c r="AD955" s="7"/>
      <c r="AE955" s="7"/>
      <c r="AF955" s="7"/>
      <c r="AG955" s="7"/>
      <c r="AH955" s="7"/>
      <c r="AI955" s="7"/>
      <c r="AJ955" s="7"/>
      <c r="AK955" s="7"/>
      <c r="AL955" s="7"/>
      <c r="AM955" s="7"/>
      <c r="AN955" s="7"/>
      <c r="AO955" s="7"/>
      <c r="AP955" s="7"/>
    </row>
    <row r="956" spans="1:44">
      <c r="A956" s="305" t="s">
        <v>459</v>
      </c>
      <c r="B956" s="305"/>
      <c r="C956" s="61">
        <f t="shared" ref="C956:C961" si="176">C976+C994</f>
        <v>641.72727272727298</v>
      </c>
      <c r="D956" s="237">
        <v>1442</v>
      </c>
      <c r="E956" s="490"/>
      <c r="F956" s="490">
        <f>ROUND(D956*C956,0)</f>
        <v>925371</v>
      </c>
      <c r="G956" s="237">
        <f>ROUND(D956*(1+$Z$936),0)</f>
        <v>1442</v>
      </c>
      <c r="H956" s="490"/>
      <c r="I956" s="490">
        <f>ROUND(G956*$C956,0)</f>
        <v>925371</v>
      </c>
      <c r="J956" s="490"/>
      <c r="K956" s="237" t="e">
        <f>#REF!</f>
        <v>#REF!</v>
      </c>
      <c r="L956" s="490"/>
      <c r="M956" s="490" t="e">
        <f>#REF!</f>
        <v>#REF!</v>
      </c>
      <c r="N956" s="490"/>
      <c r="O956" s="237" t="e">
        <f>#REF!</f>
        <v>#REF!</v>
      </c>
      <c r="P956" s="490"/>
      <c r="Q956" s="490" t="e">
        <f>#REF!</f>
        <v>#REF!</v>
      </c>
      <c r="R956" s="490"/>
      <c r="S956" s="237" t="e">
        <f>#REF!</f>
        <v>#REF!</v>
      </c>
      <c r="T956" s="490"/>
      <c r="U956" s="490" t="e">
        <f>#REF!</f>
        <v>#REF!</v>
      </c>
      <c r="V956" s="342" t="s">
        <v>31</v>
      </c>
      <c r="X956" s="454">
        <f>(G956-D956)/D956</f>
        <v>0</v>
      </c>
      <c r="Y956" s="453"/>
      <c r="Z956" s="7"/>
      <c r="AA956" s="7"/>
      <c r="AB956" s="7"/>
      <c r="AC956" s="7"/>
      <c r="AD956" s="7"/>
      <c r="AE956" s="7"/>
      <c r="AF956" s="7"/>
      <c r="AG956" s="7"/>
      <c r="AH956" s="7"/>
      <c r="AI956" s="7"/>
      <c r="AJ956" s="7"/>
      <c r="AK956" s="7"/>
      <c r="AL956" s="7"/>
      <c r="AM956" s="7"/>
      <c r="AN956" s="7"/>
      <c r="AO956" s="7"/>
      <c r="AP956" s="7"/>
    </row>
    <row r="957" spans="1:44">
      <c r="A957" s="305" t="s">
        <v>460</v>
      </c>
      <c r="B957" s="305"/>
      <c r="C957" s="61">
        <f t="shared" si="176"/>
        <v>0</v>
      </c>
      <c r="D957" s="237">
        <v>1743</v>
      </c>
      <c r="E957" s="1009"/>
      <c r="F957" s="490">
        <f>ROUND(D957*C957,0)</f>
        <v>0</v>
      </c>
      <c r="G957" s="237">
        <f>ROUND(D957*(1+$Z$936),0)</f>
        <v>1743</v>
      </c>
      <c r="H957" s="1009"/>
      <c r="I957" s="490">
        <f>ROUND(G957*$C957,0)</f>
        <v>0</v>
      </c>
      <c r="J957" s="490"/>
      <c r="K957" s="237" t="e">
        <f>#REF!</f>
        <v>#REF!</v>
      </c>
      <c r="L957" s="1009"/>
      <c r="M957" s="490" t="e">
        <f>#REF!</f>
        <v>#REF!</v>
      </c>
      <c r="N957" s="490"/>
      <c r="O957" s="237" t="e">
        <f>#REF!</f>
        <v>#REF!</v>
      </c>
      <c r="P957" s="1009"/>
      <c r="Q957" s="490" t="e">
        <f>#REF!</f>
        <v>#REF!</v>
      </c>
      <c r="R957" s="490"/>
      <c r="S957" s="237" t="e">
        <f>#REF!</f>
        <v>#REF!</v>
      </c>
      <c r="T957" s="1009"/>
      <c r="U957" s="490" t="e">
        <f>#REF!</f>
        <v>#REF!</v>
      </c>
      <c r="V957" s="7"/>
      <c r="X957" s="454">
        <f>(G957-D957)/D957</f>
        <v>0</v>
      </c>
      <c r="Y957" s="453"/>
      <c r="Z957" s="7"/>
      <c r="AA957" s="7"/>
      <c r="AB957" s="7"/>
      <c r="AC957" s="7"/>
      <c r="AD957" s="7"/>
      <c r="AE957" s="7"/>
      <c r="AF957" s="7"/>
      <c r="AG957" s="7"/>
      <c r="AH957" s="7"/>
      <c r="AI957" s="7"/>
      <c r="AJ957" s="7"/>
      <c r="AK957" s="7"/>
      <c r="AL957" s="7"/>
      <c r="AM957" s="7"/>
      <c r="AN957" s="7"/>
      <c r="AO957" s="7"/>
      <c r="AP957" s="7"/>
    </row>
    <row r="958" spans="1:44">
      <c r="A958" s="305" t="s">
        <v>382</v>
      </c>
      <c r="B958" s="305"/>
      <c r="C958" s="61">
        <f t="shared" si="176"/>
        <v>641.72727272727298</v>
      </c>
      <c r="D958" s="237"/>
      <c r="E958" s="490"/>
      <c r="F958" s="490" t="s">
        <v>31</v>
      </c>
      <c r="G958" s="237" t="s">
        <v>31</v>
      </c>
      <c r="H958" s="490"/>
      <c r="I958" s="490" t="s">
        <v>31</v>
      </c>
      <c r="J958" s="490"/>
      <c r="K958" s="237" t="s">
        <v>31</v>
      </c>
      <c r="L958" s="490"/>
      <c r="M958" s="490" t="s">
        <v>31</v>
      </c>
      <c r="N958" s="490"/>
      <c r="O958" s="237" t="s">
        <v>31</v>
      </c>
      <c r="P958" s="490"/>
      <c r="Q958" s="490" t="s">
        <v>31</v>
      </c>
      <c r="R958" s="490"/>
      <c r="S958" s="237" t="s">
        <v>31</v>
      </c>
      <c r="T958" s="490"/>
      <c r="U958" s="490" t="s">
        <v>31</v>
      </c>
      <c r="V958" s="7"/>
      <c r="X958" s="1070"/>
      <c r="Y958" s="31"/>
      <c r="Z958" s="7"/>
      <c r="AA958" s="7"/>
      <c r="AB958" s="7"/>
      <c r="AC958" s="7"/>
      <c r="AD958" s="7"/>
      <c r="AE958" s="7"/>
      <c r="AF958" s="7"/>
      <c r="AG958" s="7"/>
      <c r="AH958" s="7"/>
      <c r="AI958" s="7"/>
      <c r="AJ958" s="7"/>
      <c r="AK958" s="7"/>
      <c r="AL958" s="7"/>
      <c r="AM958" s="7"/>
      <c r="AN958" s="7"/>
      <c r="AO958" s="7"/>
      <c r="AP958" s="7"/>
    </row>
    <row r="959" spans="1:44">
      <c r="A959" s="305" t="s">
        <v>461</v>
      </c>
      <c r="B959" s="305"/>
      <c r="C959" s="61">
        <f t="shared" si="176"/>
        <v>915203.06896551698</v>
      </c>
      <c r="D959" s="237">
        <v>1.1499999999999999</v>
      </c>
      <c r="E959" s="490"/>
      <c r="F959" s="490">
        <f>ROUND(D959*C959,0)</f>
        <v>1052484</v>
      </c>
      <c r="G959" s="237">
        <f>ROUND(D959*(1+$Z$936),2)</f>
        <v>1.1499999999999999</v>
      </c>
      <c r="H959" s="490"/>
      <c r="I959" s="490">
        <f>ROUND(G959*$C959,0)</f>
        <v>1052484</v>
      </c>
      <c r="J959" s="490"/>
      <c r="K959" s="237" t="e">
        <f>#REF!</f>
        <v>#REF!</v>
      </c>
      <c r="L959" s="490"/>
      <c r="M959" s="490" t="e">
        <f>#REF!</f>
        <v>#REF!</v>
      </c>
      <c r="N959" s="490"/>
      <c r="O959" s="237" t="e">
        <f>#REF!</f>
        <v>#REF!</v>
      </c>
      <c r="P959" s="490"/>
      <c r="Q959" s="490" t="e">
        <f>#REF!</f>
        <v>#REF!</v>
      </c>
      <c r="R959" s="490"/>
      <c r="S959" s="237" t="e">
        <f>#REF!</f>
        <v>#REF!</v>
      </c>
      <c r="T959" s="490"/>
      <c r="U959" s="490" t="e">
        <f>#REF!</f>
        <v>#REF!</v>
      </c>
      <c r="V959" s="7"/>
      <c r="X959" s="454">
        <f>(G959-D959)/D959</f>
        <v>0</v>
      </c>
      <c r="Y959" s="453"/>
      <c r="Z959" s="7"/>
      <c r="AA959" s="7"/>
      <c r="AB959" s="7"/>
      <c r="AC959" s="7"/>
      <c r="AD959" s="7"/>
      <c r="AE959" s="7"/>
      <c r="AF959" s="7"/>
      <c r="AG959" s="7"/>
      <c r="AH959" s="7"/>
      <c r="AI959" s="7"/>
      <c r="AJ959" s="7"/>
      <c r="AK959" s="7"/>
      <c r="AL959" s="7"/>
      <c r="AM959" s="7"/>
      <c r="AN959" s="7"/>
      <c r="AO959" s="7"/>
      <c r="AP959" s="7"/>
    </row>
    <row r="960" spans="1:44">
      <c r="A960" s="305" t="s">
        <v>462</v>
      </c>
      <c r="B960" s="305"/>
      <c r="C960" s="61">
        <f t="shared" si="176"/>
        <v>0</v>
      </c>
      <c r="D960" s="237">
        <v>1.03</v>
      </c>
      <c r="E960" s="490"/>
      <c r="F960" s="490">
        <f>ROUND(D960*C960,0)</f>
        <v>0</v>
      </c>
      <c r="G960" s="237">
        <f>ROUND(D960*(1+$Z$936),2)</f>
        <v>1.03</v>
      </c>
      <c r="H960" s="490"/>
      <c r="I960" s="490">
        <f>ROUND(G960*$C960,0)</f>
        <v>0</v>
      </c>
      <c r="J960" s="490"/>
      <c r="K960" s="237" t="e">
        <f>#REF!</f>
        <v>#REF!</v>
      </c>
      <c r="L960" s="490"/>
      <c r="M960" s="490" t="e">
        <f>#REF!</f>
        <v>#REF!</v>
      </c>
      <c r="N960" s="490"/>
      <c r="O960" s="237" t="e">
        <f>#REF!</f>
        <v>#REF!</v>
      </c>
      <c r="P960" s="490"/>
      <c r="Q960" s="490" t="e">
        <f>#REF!</f>
        <v>#REF!</v>
      </c>
      <c r="R960" s="490"/>
      <c r="S960" s="237" t="e">
        <f>#REF!</f>
        <v>#REF!</v>
      </c>
      <c r="T960" s="490"/>
      <c r="U960" s="490" t="e">
        <f>#REF!</f>
        <v>#REF!</v>
      </c>
      <c r="V960" s="7"/>
      <c r="X960" s="454">
        <f>(G960-D960)/D960</f>
        <v>0</v>
      </c>
      <c r="Y960" s="453"/>
      <c r="Z960" s="7"/>
      <c r="AA960" s="7"/>
      <c r="AB960" s="7"/>
      <c r="AC960" s="7"/>
      <c r="AD960" s="7"/>
      <c r="AE960" s="7"/>
      <c r="AF960" s="7"/>
      <c r="AG960" s="7"/>
      <c r="AH960" s="7"/>
      <c r="AI960" s="7"/>
      <c r="AJ960" s="7"/>
      <c r="AK960" s="7"/>
      <c r="AL960" s="7"/>
      <c r="AM960" s="7"/>
      <c r="AN960" s="7"/>
      <c r="AO960" s="7"/>
      <c r="AP960" s="7"/>
    </row>
    <row r="961" spans="1:44">
      <c r="A961" s="305" t="s">
        <v>391</v>
      </c>
      <c r="B961" s="305"/>
      <c r="C961" s="61">
        <f t="shared" si="176"/>
        <v>744006.62068965496</v>
      </c>
      <c r="D961" s="237">
        <v>8.16</v>
      </c>
      <c r="E961" s="490"/>
      <c r="F961" s="490">
        <f>ROUND(D961*C961,0)</f>
        <v>6071094</v>
      </c>
      <c r="G961" s="237">
        <f>ROUND(D961*(1+($Z$936)),2)+0.01</f>
        <v>8.17</v>
      </c>
      <c r="H961" s="490"/>
      <c r="I961" s="490">
        <f>ROUND(G961*$C961,0)</f>
        <v>6078534</v>
      </c>
      <c r="J961" s="490"/>
      <c r="K961" s="237" t="e">
        <f>#REF!</f>
        <v>#REF!</v>
      </c>
      <c r="L961" s="490"/>
      <c r="M961" s="490" t="e">
        <f>#REF!</f>
        <v>#REF!</v>
      </c>
      <c r="N961" s="490"/>
      <c r="O961" s="237" t="e">
        <f>#REF!</f>
        <v>#REF!</v>
      </c>
      <c r="P961" s="490"/>
      <c r="Q961" s="490" t="e">
        <f>#REF!</f>
        <v>#REF!</v>
      </c>
      <c r="R961" s="490"/>
      <c r="S961" s="237" t="e">
        <f>#REF!</f>
        <v>#REF!</v>
      </c>
      <c r="T961" s="490"/>
      <c r="U961" s="490" t="e">
        <f>#REF!</f>
        <v>#REF!</v>
      </c>
      <c r="V961" s="7"/>
      <c r="X961" s="454">
        <f>(G961-D961)/D961</f>
        <v>1.2254901960784053E-3</v>
      </c>
      <c r="Y961" s="453"/>
      <c r="Z961" s="7"/>
      <c r="AA961" s="7"/>
      <c r="AB961" s="7"/>
      <c r="AC961" s="7"/>
      <c r="AD961" s="7"/>
      <c r="AE961" s="7"/>
      <c r="AF961" s="7"/>
      <c r="AG961" s="7"/>
      <c r="AH961" s="7"/>
      <c r="AI961" s="7"/>
      <c r="AJ961" s="7"/>
      <c r="AK961" s="7"/>
      <c r="AL961" s="7"/>
      <c r="AM961" s="7"/>
      <c r="AN961" s="7"/>
      <c r="AO961" s="7"/>
      <c r="AP961" s="7"/>
    </row>
    <row r="962" spans="1:44">
      <c r="A962" s="305" t="s">
        <v>414</v>
      </c>
      <c r="B962" s="305"/>
      <c r="C962" s="61"/>
      <c r="D962" s="237"/>
      <c r="E962" s="490"/>
      <c r="F962" s="490"/>
      <c r="G962" s="237" t="s">
        <v>31</v>
      </c>
      <c r="H962" s="490"/>
      <c r="I962" s="490"/>
      <c r="J962" s="490"/>
      <c r="K962" s="237" t="s">
        <v>31</v>
      </c>
      <c r="L962" s="490"/>
      <c r="M962" s="490"/>
      <c r="N962" s="490"/>
      <c r="O962" s="237" t="s">
        <v>31</v>
      </c>
      <c r="P962" s="490"/>
      <c r="Q962" s="490"/>
      <c r="R962" s="490"/>
      <c r="S962" s="237" t="s">
        <v>31</v>
      </c>
      <c r="T962" s="490"/>
      <c r="U962" s="490"/>
      <c r="V962" s="7"/>
      <c r="X962" s="1070"/>
      <c r="Y962" s="31"/>
      <c r="Z962" s="7"/>
      <c r="AA962" s="7"/>
      <c r="AB962" s="7"/>
      <c r="AC962" s="7"/>
      <c r="AD962" s="7"/>
      <c r="AE962" s="7"/>
      <c r="AF962" s="7"/>
      <c r="AG962" s="7"/>
      <c r="AH962" s="7"/>
      <c r="AI962" s="7"/>
      <c r="AJ962" s="7"/>
      <c r="AK962" s="7"/>
      <c r="AL962" s="7"/>
      <c r="AM962" s="7"/>
      <c r="AN962" s="7"/>
      <c r="AO962" s="7"/>
      <c r="AP962" s="7"/>
    </row>
    <row r="963" spans="1:44">
      <c r="A963" s="305" t="s">
        <v>452</v>
      </c>
      <c r="B963" s="305"/>
      <c r="C963" s="61">
        <f>C983+C1001</f>
        <v>328149970.81905723</v>
      </c>
      <c r="D963" s="1059">
        <v>4.8520000000000003</v>
      </c>
      <c r="E963" s="490" t="s">
        <v>362</v>
      </c>
      <c r="F963" s="490">
        <f>ROUND(D963/100*C963,0)</f>
        <v>15921837</v>
      </c>
      <c r="G963" s="1059">
        <f>ROUND(D963*(1+$Z$936),3)-0.002</f>
        <v>4.8500000000000005</v>
      </c>
      <c r="H963" s="490" t="s">
        <v>362</v>
      </c>
      <c r="I963" s="490">
        <f>ROUND(G963/100*$C963,0)</f>
        <v>15915274</v>
      </c>
      <c r="J963" s="490"/>
      <c r="K963" s="1059" t="e">
        <f>#REF!</f>
        <v>#REF!</v>
      </c>
      <c r="L963" s="490" t="s">
        <v>31</v>
      </c>
      <c r="M963" s="490" t="e">
        <f>#REF!</f>
        <v>#REF!</v>
      </c>
      <c r="N963" s="490"/>
      <c r="O963" s="1059" t="e">
        <f>#REF!</f>
        <v>#REF!</v>
      </c>
      <c r="P963" s="490" t="s">
        <v>362</v>
      </c>
      <c r="Q963" s="490" t="e">
        <f>#REF!</f>
        <v>#REF!</v>
      </c>
      <c r="R963" s="490"/>
      <c r="S963" s="1059" t="e">
        <f>#REF!</f>
        <v>#REF!</v>
      </c>
      <c r="T963" s="490" t="s">
        <v>362</v>
      </c>
      <c r="U963" s="490" t="e">
        <f>#REF!</f>
        <v>#REF!</v>
      </c>
      <c r="V963" s="7"/>
      <c r="X963" s="454">
        <f>((G963+G965)-D963)/D963</f>
        <v>-4.1220115416318624E-4</v>
      </c>
      <c r="Y963" s="453"/>
      <c r="Z963" s="7"/>
      <c r="AA963" s="7"/>
      <c r="AB963" s="7"/>
      <c r="AC963" s="7"/>
      <c r="AD963" s="7"/>
      <c r="AE963" s="7"/>
      <c r="AF963" s="7"/>
      <c r="AG963" s="7"/>
      <c r="AH963" s="7"/>
      <c r="AI963" s="7"/>
      <c r="AJ963" s="7"/>
      <c r="AK963" s="7"/>
      <c r="AL963" s="7"/>
      <c r="AM963" s="7"/>
      <c r="AN963" s="7"/>
      <c r="AO963" s="7"/>
      <c r="AP963" s="7"/>
    </row>
    <row r="964" spans="1:44">
      <c r="A964" s="305" t="s">
        <v>388</v>
      </c>
      <c r="B964" s="305"/>
      <c r="C964" s="61">
        <f>C984+C1002</f>
        <v>145335.36363636321</v>
      </c>
      <c r="D964" s="237">
        <v>0.56999999999999995</v>
      </c>
      <c r="E964" s="490"/>
      <c r="F964" s="490">
        <f>ROUND(D964*C964,0)</f>
        <v>82841</v>
      </c>
      <c r="G964" s="237">
        <f>ROUND(D964*(1+$Z$936),2)</f>
        <v>0.56999999999999995</v>
      </c>
      <c r="H964" s="490"/>
      <c r="I964" s="490">
        <f>ROUND(G964*$C964,0)</f>
        <v>82841</v>
      </c>
      <c r="J964" s="490"/>
      <c r="K964" s="237" t="e">
        <f>#REF!</f>
        <v>#REF!</v>
      </c>
      <c r="L964" s="490"/>
      <c r="M964" s="490" t="e">
        <f>#REF!</f>
        <v>#REF!</v>
      </c>
      <c r="N964" s="490"/>
      <c r="O964" s="237" t="e">
        <f>#REF!</f>
        <v>#REF!</v>
      </c>
      <c r="P964" s="490"/>
      <c r="Q964" s="490" t="e">
        <f>#REF!</f>
        <v>#REF!</v>
      </c>
      <c r="R964" s="490"/>
      <c r="S964" s="237" t="e">
        <f>#REF!</f>
        <v>#REF!</v>
      </c>
      <c r="T964" s="490"/>
      <c r="U964" s="490" t="e">
        <f>#REF!</f>
        <v>#REF!</v>
      </c>
      <c r="V964" s="7"/>
      <c r="X964" s="454">
        <f>(G964-D964)/D964</f>
        <v>0</v>
      </c>
      <c r="Y964" s="453"/>
      <c r="Z964" s="7"/>
      <c r="AA964" s="7"/>
      <c r="AB964" s="7"/>
      <c r="AC964" s="7"/>
      <c r="AD964" s="7"/>
      <c r="AE964" s="7"/>
      <c r="AF964" s="7"/>
      <c r="AG964" s="7"/>
      <c r="AH964" s="7"/>
      <c r="AI964" s="7"/>
      <c r="AJ964" s="7"/>
      <c r="AK964" s="7"/>
      <c r="AL964" s="7"/>
      <c r="AM964" s="7"/>
      <c r="AN964" s="7"/>
      <c r="AO964" s="7"/>
      <c r="AP964" s="7"/>
    </row>
    <row r="965" spans="1:44" s="588" customFormat="1" hidden="1">
      <c r="A965" s="588" t="s">
        <v>774</v>
      </c>
      <c r="C965" s="604">
        <f>C986+C1003</f>
        <v>328149970.81905723</v>
      </c>
      <c r="D965" s="987">
        <f>D963</f>
        <v>4.8520000000000003</v>
      </c>
      <c r="E965" s="616" t="s">
        <v>362</v>
      </c>
      <c r="F965" s="616"/>
      <c r="G965" s="987">
        <v>0</v>
      </c>
      <c r="H965" s="616" t="s">
        <v>362</v>
      </c>
      <c r="I965" s="616">
        <f>ROUND(G965/100*$C965,0)</f>
        <v>0</v>
      </c>
      <c r="J965" s="616"/>
      <c r="K965" s="987" t="e">
        <f>#REF!</f>
        <v>#REF!</v>
      </c>
      <c r="L965" s="616" t="s">
        <v>31</v>
      </c>
      <c r="M965" s="490" t="e">
        <f>#REF!</f>
        <v>#REF!</v>
      </c>
      <c r="N965" s="616"/>
      <c r="O965" s="987" t="e">
        <f>#REF!</f>
        <v>#REF!</v>
      </c>
      <c r="P965" s="616" t="s">
        <v>31</v>
      </c>
      <c r="Q965" s="490" t="e">
        <f>#REF!</f>
        <v>#REF!</v>
      </c>
      <c r="R965" s="616"/>
      <c r="S965" s="987" t="e">
        <f>#REF!</f>
        <v>#REF!</v>
      </c>
      <c r="T965" s="616" t="s">
        <v>362</v>
      </c>
      <c r="U965" s="490" t="e">
        <f>#REF!</f>
        <v>#REF!</v>
      </c>
      <c r="V965" s="988" t="e">
        <f>#REF!</f>
        <v>#REF!</v>
      </c>
      <c r="W965" s="450" t="s">
        <v>752</v>
      </c>
      <c r="Z965" s="989"/>
      <c r="AA965" s="989"/>
      <c r="AF965" s="635"/>
      <c r="AG965" s="635"/>
      <c r="AH965" s="635"/>
      <c r="AI965" s="635"/>
      <c r="AJ965" s="635"/>
      <c r="AK965" s="635"/>
      <c r="AL965" s="635"/>
      <c r="AM965" s="635"/>
      <c r="AN965" s="635"/>
      <c r="AO965" s="635"/>
      <c r="AP965" s="635"/>
      <c r="AR965" s="988"/>
    </row>
    <row r="966" spans="1:44" s="588" customFormat="1" hidden="1">
      <c r="A966" s="588" t="s">
        <v>760</v>
      </c>
      <c r="C966" s="604"/>
      <c r="D966" s="1060">
        <f>D963</f>
        <v>4.8520000000000003</v>
      </c>
      <c r="E966" s="616" t="s">
        <v>362</v>
      </c>
      <c r="F966" s="616"/>
      <c r="G966" s="987">
        <f>D966</f>
        <v>4.8520000000000003</v>
      </c>
      <c r="H966" s="616" t="s">
        <v>362</v>
      </c>
      <c r="I966" s="616"/>
      <c r="J966" s="616"/>
      <c r="K966" s="1058" t="s">
        <v>31</v>
      </c>
      <c r="L966" s="616" t="s">
        <v>31</v>
      </c>
      <c r="M966" s="616"/>
      <c r="N966" s="616"/>
      <c r="O966" s="1058" t="e">
        <f>O963+O965</f>
        <v>#REF!</v>
      </c>
      <c r="P966" s="616" t="s">
        <v>362</v>
      </c>
      <c r="Q966" s="616"/>
      <c r="R966" s="616"/>
      <c r="S966" s="1058" t="e">
        <f>S963+S965</f>
        <v>#REF!</v>
      </c>
      <c r="T966" s="616" t="s">
        <v>362</v>
      </c>
      <c r="U966" s="616"/>
      <c r="V966" s="988"/>
      <c r="W966" s="450"/>
      <c r="X966" s="454">
        <f>(G966-D966)/D966</f>
        <v>0</v>
      </c>
      <c r="Z966" s="989"/>
      <c r="AA966" s="989"/>
      <c r="AF966" s="635"/>
      <c r="AG966" s="635"/>
      <c r="AH966" s="635"/>
      <c r="AI966" s="635"/>
      <c r="AJ966" s="635"/>
      <c r="AK966" s="635"/>
      <c r="AL966" s="635"/>
      <c r="AM966" s="635"/>
      <c r="AN966" s="635"/>
      <c r="AO966" s="635"/>
      <c r="AP966" s="635"/>
      <c r="AR966" s="988"/>
    </row>
    <row r="967" spans="1:44">
      <c r="A967" s="305" t="s">
        <v>369</v>
      </c>
      <c r="B967" s="305"/>
      <c r="C967" s="61">
        <f>C963</f>
        <v>328149970.81905723</v>
      </c>
      <c r="D967" s="1021"/>
      <c r="E967" s="305"/>
      <c r="F967" s="490">
        <f>SUM(F956:F964)</f>
        <v>24053627</v>
      </c>
      <c r="G967" s="1021"/>
      <c r="H967" s="305"/>
      <c r="I967" s="490">
        <f>SUM(I956:I966)</f>
        <v>24054504</v>
      </c>
      <c r="J967" s="490"/>
      <c r="K967" s="1021"/>
      <c r="L967" s="305"/>
      <c r="M967" s="490" t="e">
        <f>SUM(M956:M966)</f>
        <v>#REF!</v>
      </c>
      <c r="N967" s="490"/>
      <c r="O967" s="1021"/>
      <c r="P967" s="305"/>
      <c r="Q967" s="490" t="e">
        <f>SUM(Q956:Q966)</f>
        <v>#REF!</v>
      </c>
      <c r="R967" s="490"/>
      <c r="S967" s="1021"/>
      <c r="T967" s="305"/>
      <c r="U967" s="490" t="e">
        <f>SUM(U956:U966)</f>
        <v>#REF!</v>
      </c>
      <c r="V967" s="7"/>
      <c r="W967" s="31"/>
      <c r="X967" s="31"/>
      <c r="Y967" s="31"/>
      <c r="Z967" s="7"/>
      <c r="AA967" s="7"/>
      <c r="AB967" s="7"/>
      <c r="AC967" s="7"/>
      <c r="AD967" s="7"/>
      <c r="AE967" s="7"/>
      <c r="AF967" s="7"/>
      <c r="AG967" s="7"/>
      <c r="AH967" s="7"/>
      <c r="AI967" s="7"/>
      <c r="AJ967" s="7"/>
      <c r="AK967" s="7"/>
      <c r="AL967" s="7"/>
      <c r="AM967" s="7"/>
      <c r="AN967" s="7"/>
      <c r="AO967" s="7"/>
      <c r="AP967" s="7"/>
    </row>
    <row r="968" spans="1:44">
      <c r="A968" s="305" t="s">
        <v>351</v>
      </c>
      <c r="B968" s="305"/>
      <c r="C968" s="61">
        <f ca="1">C987+C1005</f>
        <v>4944665.5555615174</v>
      </c>
      <c r="D968" s="305"/>
      <c r="E968" s="305"/>
      <c r="F968" s="993">
        <f ca="1">F987+F1005</f>
        <v>214529.84657170458</v>
      </c>
      <c r="G968" s="305"/>
      <c r="H968" s="305"/>
      <c r="I968" s="993">
        <f ca="1">F968</f>
        <v>214529.84657170458</v>
      </c>
      <c r="J968" s="723"/>
      <c r="K968" s="305"/>
      <c r="L968" s="305"/>
      <c r="M968" s="1061" t="e">
        <f ca="1">$I$968*V971/($V971+$W$971+$X$971)</f>
        <v>#DIV/0!</v>
      </c>
      <c r="N968" s="723"/>
      <c r="O968" s="305"/>
      <c r="P968" s="305"/>
      <c r="Q968" s="1061" t="e">
        <f ca="1">$I$968*W971/($V971+$W$971+$X$971)</f>
        <v>#DIV/0!</v>
      </c>
      <c r="R968" s="723"/>
      <c r="S968" s="305"/>
      <c r="T968" s="305"/>
      <c r="U968" s="1061" t="e">
        <f ca="1">$I$968*X971/($V971+$W$971+$X$971)</f>
        <v>#DIV/0!</v>
      </c>
      <c r="V968" s="714"/>
      <c r="W968" s="171"/>
      <c r="X968" s="31"/>
      <c r="Y968" s="31"/>
      <c r="Z968" s="7"/>
      <c r="AA968" s="7"/>
      <c r="AB968" s="7"/>
      <c r="AC968" s="7"/>
      <c r="AD968" s="7"/>
      <c r="AE968" s="7"/>
      <c r="AF968" s="7"/>
      <c r="AG968" s="7"/>
      <c r="AH968" s="7"/>
      <c r="AI968" s="7"/>
      <c r="AJ968" s="7"/>
      <c r="AK968" s="7"/>
      <c r="AL968" s="7"/>
      <c r="AM968" s="7"/>
      <c r="AN968" s="7"/>
      <c r="AO968" s="7"/>
      <c r="AP968" s="7"/>
    </row>
    <row r="969" spans="1:44" ht="18" customHeight="1" thickBot="1">
      <c r="A969" s="305" t="s">
        <v>370</v>
      </c>
      <c r="B969" s="305"/>
      <c r="C969" s="994">
        <f ca="1">SUM(C967)+C968</f>
        <v>333094636.37461877</v>
      </c>
      <c r="D969" s="1036"/>
      <c r="E969" s="1030"/>
      <c r="F969" s="995">
        <f ca="1">F967+F968</f>
        <v>24268156.846571706</v>
      </c>
      <c r="G969" s="1036"/>
      <c r="H969" s="1030"/>
      <c r="I969" s="995">
        <f ca="1">I967+I968</f>
        <v>24269033.846571706</v>
      </c>
      <c r="J969" s="723"/>
      <c r="K969" s="1036"/>
      <c r="L969" s="1030"/>
      <c r="M969" s="995" t="e">
        <f ca="1">M967+M968</f>
        <v>#REF!</v>
      </c>
      <c r="N969" s="995"/>
      <c r="O969" s="1036"/>
      <c r="P969" s="1030"/>
      <c r="Q969" s="995" t="e">
        <f ca="1">Q967+Q968</f>
        <v>#REF!</v>
      </c>
      <c r="R969" s="995"/>
      <c r="S969" s="1036"/>
      <c r="T969" s="1030"/>
      <c r="U969" s="995" t="e">
        <f ca="1">U967+U968</f>
        <v>#REF!</v>
      </c>
      <c r="V969" s="7"/>
      <c r="W969" s="31"/>
      <c r="X969" s="31"/>
      <c r="Y969" s="31"/>
      <c r="Z969" s="446" t="s">
        <v>31</v>
      </c>
      <c r="AA969" s="7"/>
      <c r="AB969" s="7"/>
      <c r="AC969" s="7"/>
      <c r="AD969" s="7"/>
      <c r="AE969" s="7"/>
      <c r="AF969" s="7"/>
      <c r="AG969" s="7"/>
      <c r="AH969" s="7"/>
      <c r="AI969" s="7"/>
      <c r="AJ969" s="7"/>
      <c r="AK969" s="7"/>
      <c r="AL969" s="7"/>
      <c r="AM969" s="7"/>
      <c r="AN969" s="7"/>
      <c r="AO969" s="7"/>
      <c r="AP969" s="7"/>
    </row>
    <row r="970" spans="1:44" ht="16.5" thickTop="1">
      <c r="A970" s="305"/>
      <c r="B970" s="305"/>
      <c r="C970" s="61"/>
      <c r="D970" s="237"/>
      <c r="E970" s="305"/>
      <c r="F970" s="490" t="s">
        <v>31</v>
      </c>
      <c r="G970" s="237"/>
      <c r="H970" s="305"/>
      <c r="I970" s="237"/>
      <c r="J970" s="237"/>
      <c r="K970" s="237"/>
      <c r="L970" s="305"/>
      <c r="M970" s="237"/>
      <c r="N970" s="237"/>
      <c r="O970" s="237"/>
      <c r="P970" s="305"/>
      <c r="Q970" s="237"/>
      <c r="R970" s="237"/>
      <c r="S970" s="237"/>
      <c r="T970" s="305"/>
      <c r="U970" s="237"/>
      <c r="V970" s="1071"/>
      <c r="W970" s="1071"/>
      <c r="X970" s="1071"/>
      <c r="Y970" s="31"/>
      <c r="Z970" s="7" t="s">
        <v>31</v>
      </c>
      <c r="AA970" s="7"/>
      <c r="AB970" s="7"/>
      <c r="AC970" s="7"/>
      <c r="AD970" s="7"/>
      <c r="AE970" s="7"/>
      <c r="AF970" s="7"/>
      <c r="AG970" s="7"/>
      <c r="AH970" s="7"/>
      <c r="AI970" s="7"/>
      <c r="AJ970" s="7"/>
      <c r="AK970" s="7"/>
      <c r="AL970" s="7"/>
      <c r="AM970" s="7"/>
      <c r="AN970" s="7"/>
      <c r="AO970" s="7"/>
      <c r="AP970" s="7"/>
    </row>
    <row r="971" spans="1:44">
      <c r="A971" s="305"/>
      <c r="B971" s="305"/>
      <c r="C971" s="61"/>
      <c r="D971" s="237"/>
      <c r="E971" s="305"/>
      <c r="F971" s="490"/>
      <c r="G971" s="237"/>
      <c r="H971" s="305"/>
      <c r="I971" s="237"/>
      <c r="J971" s="237"/>
      <c r="K971" s="237"/>
      <c r="L971" s="305"/>
      <c r="M971" s="237"/>
      <c r="N971" s="237"/>
      <c r="O971" s="237"/>
      <c r="P971" s="305"/>
      <c r="Q971" s="237"/>
      <c r="R971" s="237"/>
      <c r="S971" s="237"/>
      <c r="T971" s="305"/>
      <c r="U971" s="237"/>
      <c r="V971" s="295"/>
      <c r="W971" s="295"/>
      <c r="X971" s="295"/>
      <c r="Y971" s="31"/>
      <c r="Z971" s="7"/>
      <c r="AA971" s="7"/>
      <c r="AB971" s="7"/>
      <c r="AC971" s="7"/>
      <c r="AD971" s="7"/>
      <c r="AE971" s="7"/>
      <c r="AF971" s="7"/>
      <c r="AG971" s="7"/>
      <c r="AH971" s="7"/>
      <c r="AI971" s="7"/>
      <c r="AJ971" s="7"/>
      <c r="AK971" s="7"/>
      <c r="AL971" s="7"/>
      <c r="AM971" s="7"/>
      <c r="AN971" s="7"/>
      <c r="AO971" s="7"/>
      <c r="AP971" s="7"/>
    </row>
    <row r="972" spans="1:44">
      <c r="A972" s="305" t="s">
        <v>464</v>
      </c>
      <c r="B972" s="305"/>
      <c r="C972" s="305"/>
      <c r="D972" s="490"/>
      <c r="E972" s="305"/>
      <c r="F972" s="305"/>
      <c r="G972" s="490"/>
      <c r="H972" s="305"/>
      <c r="I972" s="305"/>
      <c r="J972" s="305"/>
      <c r="K972" s="490"/>
      <c r="L972" s="305"/>
      <c r="M972" s="305"/>
      <c r="N972" s="305"/>
      <c r="O972" s="490"/>
      <c r="P972" s="305"/>
      <c r="Q972" s="305"/>
      <c r="R972" s="305"/>
      <c r="S972" s="490"/>
      <c r="T972" s="305"/>
      <c r="U972" s="305"/>
      <c r="V972" s="7"/>
      <c r="W972" s="31"/>
      <c r="X972" s="31"/>
      <c r="Y972" s="31"/>
      <c r="Z972" s="7"/>
      <c r="AA972" s="7"/>
      <c r="AB972" s="7"/>
      <c r="AC972" s="7"/>
      <c r="AD972" s="7"/>
      <c r="AE972" s="7"/>
      <c r="AF972" s="7"/>
      <c r="AG972" s="7"/>
      <c r="AH972" s="7"/>
      <c r="AI972" s="7"/>
      <c r="AJ972" s="7"/>
      <c r="AK972" s="7"/>
      <c r="AL972" s="7"/>
      <c r="AM972" s="7"/>
      <c r="AN972" s="7"/>
      <c r="AO972" s="7"/>
      <c r="AP972" s="7"/>
    </row>
    <row r="973" spans="1:44">
      <c r="A973" s="305" t="s">
        <v>634</v>
      </c>
      <c r="B973" s="305"/>
      <c r="C973" s="305"/>
      <c r="D973" s="490"/>
      <c r="E973" s="305"/>
      <c r="F973" s="305"/>
      <c r="G973" s="490"/>
      <c r="H973" s="305"/>
      <c r="I973" s="305"/>
      <c r="J973" s="305"/>
      <c r="K973" s="490"/>
      <c r="L973" s="305"/>
      <c r="M973" s="305"/>
      <c r="N973" s="305"/>
      <c r="O973" s="490"/>
      <c r="P973" s="305"/>
      <c r="Q973" s="305"/>
      <c r="R973" s="305"/>
      <c r="S973" s="490"/>
      <c r="T973" s="305"/>
      <c r="U973" s="305"/>
      <c r="V973" s="7"/>
      <c r="W973" s="31"/>
      <c r="X973" s="31"/>
      <c r="Y973" s="31"/>
      <c r="Z973" s="7"/>
      <c r="AA973" s="7"/>
      <c r="AB973" s="7"/>
      <c r="AC973" s="7"/>
      <c r="AD973" s="7"/>
      <c r="AE973" s="7"/>
      <c r="AF973" s="7"/>
      <c r="AG973" s="7"/>
      <c r="AH973" s="7"/>
      <c r="AI973" s="7"/>
      <c r="AJ973" s="7"/>
      <c r="AK973" s="7"/>
      <c r="AL973" s="7"/>
      <c r="AM973" s="7"/>
      <c r="AN973" s="7"/>
      <c r="AO973" s="7"/>
      <c r="AP973" s="7"/>
    </row>
    <row r="974" spans="1:44">
      <c r="A974" s="305"/>
      <c r="B974" s="305"/>
      <c r="C974" s="305"/>
      <c r="D974" s="490"/>
      <c r="E974" s="305"/>
      <c r="F974" s="305"/>
      <c r="G974" s="490"/>
      <c r="H974" s="305"/>
      <c r="I974" s="305"/>
      <c r="J974" s="305"/>
      <c r="K974" s="490"/>
      <c r="L974" s="305"/>
      <c r="M974" s="305"/>
      <c r="N974" s="305"/>
      <c r="O974" s="490"/>
      <c r="P974" s="305"/>
      <c r="Q974" s="305"/>
      <c r="R974" s="305"/>
      <c r="S974" s="490"/>
      <c r="T974" s="305"/>
      <c r="U974" s="305"/>
      <c r="V974" s="7"/>
      <c r="W974" s="31"/>
      <c r="X974" s="31"/>
      <c r="Y974" s="31"/>
      <c r="Z974" s="7"/>
      <c r="AA974" s="7"/>
      <c r="AB974" s="7"/>
      <c r="AC974" s="7"/>
      <c r="AD974" s="7"/>
      <c r="AE974" s="7"/>
      <c r="AF974" s="7"/>
      <c r="AG974" s="7"/>
      <c r="AH974" s="7"/>
      <c r="AI974" s="7"/>
      <c r="AJ974" s="7"/>
      <c r="AK974" s="7"/>
      <c r="AL974" s="7"/>
      <c r="AM974" s="7"/>
      <c r="AN974" s="7"/>
      <c r="AO974" s="7"/>
      <c r="AP974" s="7"/>
    </row>
    <row r="975" spans="1:44">
      <c r="A975" s="305" t="s">
        <v>381</v>
      </c>
      <c r="B975" s="305"/>
      <c r="C975" s="61"/>
      <c r="D975" s="490"/>
      <c r="E975" s="305"/>
      <c r="F975" s="305"/>
      <c r="G975" s="490"/>
      <c r="H975" s="305"/>
      <c r="I975" s="305"/>
      <c r="J975" s="305"/>
      <c r="K975" s="490"/>
      <c r="L975" s="305"/>
      <c r="M975" s="305"/>
      <c r="N975" s="305"/>
      <c r="O975" s="490"/>
      <c r="P975" s="305"/>
      <c r="Q975" s="305"/>
      <c r="R975" s="305"/>
      <c r="S975" s="490"/>
      <c r="T975" s="305"/>
      <c r="U975" s="305"/>
      <c r="V975" s="7"/>
      <c r="W975" s="31" t="s">
        <v>31</v>
      </c>
      <c r="X975" s="31"/>
      <c r="Y975" s="31"/>
      <c r="Z975" s="7"/>
      <c r="AA975" s="7"/>
      <c r="AB975" s="7"/>
      <c r="AC975" s="7"/>
      <c r="AD975" s="7"/>
      <c r="AE975" s="7"/>
      <c r="AF975" s="7"/>
      <c r="AG975" s="7"/>
      <c r="AH975" s="7"/>
      <c r="AI975" s="7"/>
      <c r="AJ975" s="7"/>
      <c r="AK975" s="7"/>
      <c r="AL975" s="7"/>
      <c r="AM975" s="7"/>
      <c r="AN975" s="7"/>
      <c r="AO975" s="7"/>
      <c r="AP975" s="7"/>
    </row>
    <row r="976" spans="1:44">
      <c r="A976" s="305" t="s">
        <v>459</v>
      </c>
      <c r="B976" s="305"/>
      <c r="C976" s="61">
        <v>328.84848484848499</v>
      </c>
      <c r="D976" s="237">
        <f>D956</f>
        <v>1442</v>
      </c>
      <c r="E976" s="490"/>
      <c r="F976" s="490">
        <f>ROUND(D976*C976,0)</f>
        <v>474200</v>
      </c>
      <c r="G976" s="237">
        <f>G956</f>
        <v>1442</v>
      </c>
      <c r="H976" s="490"/>
      <c r="I976" s="490">
        <f>ROUND(G976*$C976,0)</f>
        <v>474200</v>
      </c>
      <c r="J976" s="490"/>
      <c r="K976" s="237" t="e">
        <f>K956</f>
        <v>#REF!</v>
      </c>
      <c r="L976" s="490"/>
      <c r="M976" s="490" t="e">
        <f>ROUND(K976*$C976,0)</f>
        <v>#REF!</v>
      </c>
      <c r="N976" s="490"/>
      <c r="O976" s="237" t="e">
        <f>O956</f>
        <v>#REF!</v>
      </c>
      <c r="P976" s="490"/>
      <c r="Q976" s="490" t="e">
        <f>ROUND(O976*$C976,0)</f>
        <v>#REF!</v>
      </c>
      <c r="R976" s="490"/>
      <c r="S976" s="237" t="e">
        <f>S956</f>
        <v>#REF!</v>
      </c>
      <c r="T976" s="490"/>
      <c r="U976" s="490" t="e">
        <f>ROUND(S976*$C976,0)</f>
        <v>#REF!</v>
      </c>
      <c r="V976" s="7"/>
      <c r="W976" s="31"/>
      <c r="X976" s="31"/>
      <c r="Y976" s="31"/>
      <c r="Z976" s="7"/>
      <c r="AA976" s="7"/>
      <c r="AB976" s="7"/>
      <c r="AC976" s="7"/>
      <c r="AD976" s="7"/>
      <c r="AE976" s="7"/>
      <c r="AF976" s="7"/>
      <c r="AG976" s="7"/>
      <c r="AH976" s="7"/>
      <c r="AI976" s="7"/>
      <c r="AJ976" s="7"/>
      <c r="AK976" s="7"/>
      <c r="AL976" s="7"/>
      <c r="AM976" s="7"/>
      <c r="AN976" s="7"/>
      <c r="AO976" s="7"/>
      <c r="AP976" s="7"/>
    </row>
    <row r="977" spans="1:44">
      <c r="A977" s="305" t="s">
        <v>460</v>
      </c>
      <c r="B977" s="305"/>
      <c r="C977" s="61">
        <v>0</v>
      </c>
      <c r="D977" s="237">
        <f>D957</f>
        <v>1743</v>
      </c>
      <c r="E977" s="1009"/>
      <c r="F977" s="490">
        <f>ROUND(D977*C977,0)</f>
        <v>0</v>
      </c>
      <c r="G977" s="237">
        <f>G957</f>
        <v>1743</v>
      </c>
      <c r="H977" s="1009"/>
      <c r="I977" s="490">
        <f>ROUND(G977*$C977,0)</f>
        <v>0</v>
      </c>
      <c r="J977" s="490"/>
      <c r="K977" s="237" t="e">
        <f>K957</f>
        <v>#REF!</v>
      </c>
      <c r="L977" s="1009"/>
      <c r="M977" s="490" t="e">
        <f>ROUND(K977*$C977,0)</f>
        <v>#REF!</v>
      </c>
      <c r="N977" s="490"/>
      <c r="O977" s="237" t="e">
        <f>O957</f>
        <v>#REF!</v>
      </c>
      <c r="P977" s="1009"/>
      <c r="Q977" s="490" t="e">
        <f>ROUND(O977*$C977,0)</f>
        <v>#REF!</v>
      </c>
      <c r="R977" s="490"/>
      <c r="S977" s="237" t="e">
        <f>S957</f>
        <v>#REF!</v>
      </c>
      <c r="T977" s="1009"/>
      <c r="U977" s="490" t="e">
        <f>ROUND(S977*$C977,0)</f>
        <v>#REF!</v>
      </c>
      <c r="V977" s="7"/>
      <c r="W977" s="31"/>
      <c r="X977" s="31"/>
      <c r="Y977" s="31"/>
      <c r="Z977" s="7"/>
      <c r="AA977" s="7"/>
      <c r="AB977" s="7"/>
      <c r="AC977" s="7"/>
      <c r="AD977" s="7"/>
      <c r="AE977" s="7"/>
      <c r="AF977" s="7"/>
      <c r="AG977" s="7"/>
      <c r="AH977" s="7"/>
      <c r="AI977" s="7"/>
      <c r="AJ977" s="7"/>
      <c r="AK977" s="7"/>
      <c r="AL977" s="7"/>
      <c r="AM977" s="7"/>
      <c r="AN977" s="7"/>
      <c r="AO977" s="7"/>
      <c r="AP977" s="7"/>
    </row>
    <row r="978" spans="1:44">
      <c r="A978" s="305" t="s">
        <v>382</v>
      </c>
      <c r="B978" s="305"/>
      <c r="C978" s="61">
        <f>SUM(C976:C977)</f>
        <v>328.84848484848499</v>
      </c>
      <c r="D978" s="237"/>
      <c r="E978" s="490"/>
      <c r="F978" s="490" t="s">
        <v>31</v>
      </c>
      <c r="G978" s="237" t="s">
        <v>31</v>
      </c>
      <c r="H978" s="490"/>
      <c r="I978" s="490" t="s">
        <v>31</v>
      </c>
      <c r="J978" s="490"/>
      <c r="K978" s="237" t="s">
        <v>31</v>
      </c>
      <c r="L978" s="490"/>
      <c r="M978" s="490" t="s">
        <v>31</v>
      </c>
      <c r="N978" s="490"/>
      <c r="O978" s="237" t="s">
        <v>31</v>
      </c>
      <c r="P978" s="490"/>
      <c r="Q978" s="490" t="s">
        <v>31</v>
      </c>
      <c r="R978" s="490"/>
      <c r="S978" s="237" t="s">
        <v>31</v>
      </c>
      <c r="T978" s="490"/>
      <c r="U978" s="490" t="s">
        <v>31</v>
      </c>
      <c r="V978" s="7"/>
      <c r="W978" s="31"/>
      <c r="X978" s="31"/>
      <c r="Y978" s="31"/>
      <c r="Z978" s="7"/>
      <c r="AA978" s="7"/>
      <c r="AB978" s="7"/>
      <c r="AC978" s="7"/>
      <c r="AD978" s="7"/>
      <c r="AE978" s="7"/>
      <c r="AF978" s="7"/>
      <c r="AG978" s="7"/>
      <c r="AH978" s="7"/>
      <c r="AI978" s="7"/>
      <c r="AJ978" s="7"/>
      <c r="AK978" s="7"/>
      <c r="AL978" s="7"/>
      <c r="AM978" s="7"/>
      <c r="AN978" s="7"/>
      <c r="AO978" s="7"/>
      <c r="AP978" s="7"/>
    </row>
    <row r="979" spans="1:44">
      <c r="A979" s="305" t="s">
        <v>461</v>
      </c>
      <c r="B979" s="305"/>
      <c r="C979" s="61">
        <v>407303.06896551698</v>
      </c>
      <c r="D979" s="237">
        <f>D959</f>
        <v>1.1499999999999999</v>
      </c>
      <c r="E979" s="490"/>
      <c r="F979" s="490">
        <f>ROUND(D979*C979,0)</f>
        <v>468399</v>
      </c>
      <c r="G979" s="237">
        <f>G959</f>
        <v>1.1499999999999999</v>
      </c>
      <c r="H979" s="490"/>
      <c r="I979" s="490">
        <f>ROUND(G979*$C979,0)</f>
        <v>468399</v>
      </c>
      <c r="J979" s="490"/>
      <c r="K979" s="237" t="e">
        <f>K959</f>
        <v>#REF!</v>
      </c>
      <c r="L979" s="490"/>
      <c r="M979" s="490" t="e">
        <f>ROUND(K979*$C979,0)</f>
        <v>#REF!</v>
      </c>
      <c r="N979" s="490"/>
      <c r="O979" s="237" t="e">
        <f>O959</f>
        <v>#REF!</v>
      </c>
      <c r="P979" s="490"/>
      <c r="Q979" s="490" t="e">
        <f>ROUND(O979*$C979,0)</f>
        <v>#REF!</v>
      </c>
      <c r="R979" s="490"/>
      <c r="S979" s="237" t="e">
        <f>S959</f>
        <v>#REF!</v>
      </c>
      <c r="T979" s="490"/>
      <c r="U979" s="490" t="e">
        <f>ROUND(S979*$C979,0)</f>
        <v>#REF!</v>
      </c>
      <c r="V979" s="7"/>
      <c r="W979" s="31"/>
      <c r="X979" s="31"/>
      <c r="Y979" s="31"/>
      <c r="Z979" s="7"/>
      <c r="AA979" s="7"/>
      <c r="AB979" s="7"/>
      <c r="AC979" s="7"/>
      <c r="AD979" s="7"/>
      <c r="AE979" s="7"/>
      <c r="AF979" s="7"/>
      <c r="AG979" s="7"/>
      <c r="AH979" s="7"/>
      <c r="AI979" s="7"/>
      <c r="AJ979" s="7"/>
      <c r="AK979" s="7"/>
      <c r="AL979" s="7"/>
      <c r="AM979" s="7"/>
      <c r="AN979" s="7"/>
      <c r="AO979" s="7"/>
      <c r="AP979" s="7"/>
    </row>
    <row r="980" spans="1:44">
      <c r="A980" s="305" t="s">
        <v>462</v>
      </c>
      <c r="B980" s="305"/>
      <c r="C980" s="61">
        <v>0</v>
      </c>
      <c r="D980" s="237">
        <f t="shared" ref="D980:D981" si="177">D960</f>
        <v>1.03</v>
      </c>
      <c r="E980" s="490"/>
      <c r="F980" s="490">
        <f>ROUND(D980*C980,0)</f>
        <v>0</v>
      </c>
      <c r="G980" s="237">
        <f>G960</f>
        <v>1.03</v>
      </c>
      <c r="H980" s="490"/>
      <c r="I980" s="490">
        <f>ROUND(G980*$C980,0)</f>
        <v>0</v>
      </c>
      <c r="J980" s="490"/>
      <c r="K980" s="237" t="e">
        <f>K960</f>
        <v>#REF!</v>
      </c>
      <c r="L980" s="490"/>
      <c r="M980" s="490" t="e">
        <f>ROUND(K980*$C980,0)</f>
        <v>#REF!</v>
      </c>
      <c r="N980" s="490"/>
      <c r="O980" s="237" t="e">
        <f>O960</f>
        <v>#REF!</v>
      </c>
      <c r="P980" s="490"/>
      <c r="Q980" s="490" t="e">
        <f>ROUND(O980*$C980,0)</f>
        <v>#REF!</v>
      </c>
      <c r="R980" s="490"/>
      <c r="S980" s="237" t="e">
        <f>S960</f>
        <v>#REF!</v>
      </c>
      <c r="T980" s="490"/>
      <c r="U980" s="490" t="e">
        <f>ROUND(S980*$C980,0)</f>
        <v>#REF!</v>
      </c>
      <c r="V980" s="7"/>
      <c r="W980" s="31"/>
      <c r="X980" s="31"/>
      <c r="Y980" s="31"/>
      <c r="Z980" s="7"/>
      <c r="AA980" s="7"/>
      <c r="AB980" s="7"/>
      <c r="AC980" s="7"/>
      <c r="AD980" s="7"/>
      <c r="AE980" s="7"/>
      <c r="AF980" s="7"/>
      <c r="AG980" s="7"/>
      <c r="AH980" s="7"/>
      <c r="AI980" s="7"/>
      <c r="AJ980" s="7"/>
      <c r="AK980" s="7"/>
      <c r="AL980" s="7"/>
      <c r="AM980" s="7"/>
      <c r="AN980" s="7"/>
      <c r="AO980" s="7"/>
      <c r="AP980" s="7"/>
    </row>
    <row r="981" spans="1:44">
      <c r="A981" s="305" t="s">
        <v>391</v>
      </c>
      <c r="B981" s="305"/>
      <c r="C981" s="61">
        <v>303247.62068965501</v>
      </c>
      <c r="D981" s="237">
        <f t="shared" si="177"/>
        <v>8.16</v>
      </c>
      <c r="E981" s="490"/>
      <c r="F981" s="490">
        <f>ROUND(D981*C981,0)</f>
        <v>2474501</v>
      </c>
      <c r="G981" s="237">
        <f>G961</f>
        <v>8.17</v>
      </c>
      <c r="H981" s="490"/>
      <c r="I981" s="490">
        <f>ROUND(G981*$C981,0)</f>
        <v>2477533</v>
      </c>
      <c r="J981" s="490"/>
      <c r="K981" s="237" t="e">
        <f>K961</f>
        <v>#REF!</v>
      </c>
      <c r="L981" s="490"/>
      <c r="M981" s="490" t="e">
        <f>ROUND(K981*$C981,0)</f>
        <v>#REF!</v>
      </c>
      <c r="N981" s="490"/>
      <c r="O981" s="237" t="e">
        <f>O961</f>
        <v>#REF!</v>
      </c>
      <c r="P981" s="490"/>
      <c r="Q981" s="490" t="e">
        <f>ROUND(O981*$C981,0)</f>
        <v>#REF!</v>
      </c>
      <c r="R981" s="490"/>
      <c r="S981" s="237" t="e">
        <f>S961</f>
        <v>#REF!</v>
      </c>
      <c r="T981" s="490"/>
      <c r="U981" s="490" t="e">
        <f>ROUND(S981*$C981,0)</f>
        <v>#REF!</v>
      </c>
      <c r="V981" s="7"/>
      <c r="W981" s="31"/>
      <c r="X981" s="31"/>
      <c r="Y981" s="31"/>
      <c r="Z981" s="7"/>
      <c r="AA981" s="7"/>
      <c r="AB981" s="7"/>
      <c r="AC981" s="7"/>
      <c r="AD981" s="7"/>
      <c r="AE981" s="7"/>
      <c r="AF981" s="7"/>
      <c r="AG981" s="7"/>
      <c r="AH981" s="7"/>
      <c r="AI981" s="7"/>
      <c r="AJ981" s="7"/>
      <c r="AK981" s="7"/>
      <c r="AL981" s="7"/>
      <c r="AM981" s="7"/>
      <c r="AN981" s="7"/>
      <c r="AO981" s="7"/>
      <c r="AP981" s="7"/>
    </row>
    <row r="982" spans="1:44">
      <c r="A982" s="305" t="s">
        <v>414</v>
      </c>
      <c r="B982" s="305"/>
      <c r="C982" s="61"/>
      <c r="D982" s="237"/>
      <c r="E982" s="490"/>
      <c r="F982" s="490"/>
      <c r="G982" s="237" t="s">
        <v>31</v>
      </c>
      <c r="H982" s="490"/>
      <c r="I982" s="490"/>
      <c r="J982" s="490"/>
      <c r="K982" s="237" t="s">
        <v>31</v>
      </c>
      <c r="L982" s="490"/>
      <c r="M982" s="490"/>
      <c r="N982" s="490"/>
      <c r="O982" s="237" t="s">
        <v>31</v>
      </c>
      <c r="P982" s="490"/>
      <c r="Q982" s="490"/>
      <c r="R982" s="490"/>
      <c r="S982" s="237" t="s">
        <v>31</v>
      </c>
      <c r="T982" s="490"/>
      <c r="U982" s="490"/>
      <c r="V982" s="7"/>
      <c r="W982" s="31"/>
      <c r="X982" s="31"/>
      <c r="Y982" s="31"/>
      <c r="Z982" s="7"/>
      <c r="AA982" s="7"/>
      <c r="AB982" s="7"/>
      <c r="AC982" s="7"/>
      <c r="AD982" s="7"/>
      <c r="AE982" s="7"/>
      <c r="AF982" s="7"/>
      <c r="AG982" s="7"/>
      <c r="AH982" s="7"/>
      <c r="AI982" s="7"/>
      <c r="AJ982" s="7"/>
      <c r="AK982" s="7"/>
      <c r="AL982" s="7"/>
      <c r="AM982" s="7"/>
      <c r="AN982" s="7"/>
      <c r="AO982" s="7"/>
      <c r="AP982" s="7"/>
    </row>
    <row r="983" spans="1:44">
      <c r="A983" s="305" t="s">
        <v>452</v>
      </c>
      <c r="B983" s="305"/>
      <c r="C983" s="61">
        <v>127260720.81905724</v>
      </c>
      <c r="D983" s="1059">
        <f>D963</f>
        <v>4.8520000000000003</v>
      </c>
      <c r="E983" s="490" t="s">
        <v>362</v>
      </c>
      <c r="F983" s="490">
        <f>ROUND(D983/100*C983,0)</f>
        <v>6174690</v>
      </c>
      <c r="G983" s="1059">
        <f>G963</f>
        <v>4.8500000000000005</v>
      </c>
      <c r="H983" s="490" t="s">
        <v>362</v>
      </c>
      <c r="I983" s="490">
        <f>ROUND(G983/100*$C983,0)</f>
        <v>6172145</v>
      </c>
      <c r="J983" s="490"/>
      <c r="K983" s="1059" t="e">
        <f>K963</f>
        <v>#REF!</v>
      </c>
      <c r="L983" s="490" t="s">
        <v>362</v>
      </c>
      <c r="M983" s="490" t="e">
        <f>ROUND(K983/100*$C983,0)</f>
        <v>#REF!</v>
      </c>
      <c r="N983" s="490"/>
      <c r="O983" s="1059" t="e">
        <f>O963</f>
        <v>#REF!</v>
      </c>
      <c r="P983" s="490" t="s">
        <v>362</v>
      </c>
      <c r="Q983" s="490" t="e">
        <f>ROUND(O983/100*$C983,0)</f>
        <v>#REF!</v>
      </c>
      <c r="R983" s="490"/>
      <c r="S983" s="1059" t="e">
        <f>S963</f>
        <v>#REF!</v>
      </c>
      <c r="T983" s="490" t="s">
        <v>362</v>
      </c>
      <c r="U983" s="490" t="e">
        <f>ROUND(S983/100*$C983,0)</f>
        <v>#REF!</v>
      </c>
      <c r="V983" s="7"/>
      <c r="W983" s="31"/>
      <c r="X983" s="31"/>
      <c r="Y983" s="31"/>
      <c r="Z983" s="7"/>
      <c r="AA983" s="7"/>
      <c r="AB983" s="7"/>
      <c r="AC983" s="7"/>
      <c r="AD983" s="7"/>
      <c r="AE983" s="7"/>
      <c r="AF983" s="7"/>
      <c r="AG983" s="7"/>
      <c r="AH983" s="7"/>
      <c r="AI983" s="7"/>
      <c r="AJ983" s="7"/>
      <c r="AK983" s="7"/>
      <c r="AL983" s="7"/>
      <c r="AM983" s="7"/>
      <c r="AN983" s="7"/>
      <c r="AO983" s="7"/>
      <c r="AP983" s="7"/>
    </row>
    <row r="984" spans="1:44">
      <c r="A984" s="305" t="s">
        <v>388</v>
      </c>
      <c r="B984" s="305"/>
      <c r="C984" s="61">
        <v>27823.4242424242</v>
      </c>
      <c r="D984" s="237">
        <f>D964</f>
        <v>0.56999999999999995</v>
      </c>
      <c r="E984" s="490"/>
      <c r="F984" s="490">
        <f>ROUND(D984*C984,0)</f>
        <v>15859</v>
      </c>
      <c r="G984" s="237">
        <f>G964</f>
        <v>0.56999999999999995</v>
      </c>
      <c r="H984" s="490"/>
      <c r="I984" s="490">
        <f>ROUND(G984*$C984,0)</f>
        <v>15859</v>
      </c>
      <c r="J984" s="490"/>
      <c r="K984" s="237" t="e">
        <f>K964</f>
        <v>#REF!</v>
      </c>
      <c r="L984" s="490"/>
      <c r="M984" s="490" t="e">
        <f>ROUND(K984*$C984,0)</f>
        <v>#REF!</v>
      </c>
      <c r="N984" s="490"/>
      <c r="O984" s="237" t="e">
        <f>O964</f>
        <v>#REF!</v>
      </c>
      <c r="P984" s="490"/>
      <c r="Q984" s="490" t="e">
        <f>ROUND(O984*$C984,0)</f>
        <v>#REF!</v>
      </c>
      <c r="R984" s="490"/>
      <c r="S984" s="237" t="e">
        <f>S964</f>
        <v>#REF!</v>
      </c>
      <c r="T984" s="490"/>
      <c r="U984" s="490" t="e">
        <f>ROUND(S984*$C984,0)</f>
        <v>#REF!</v>
      </c>
      <c r="V984" s="7"/>
      <c r="W984" s="31"/>
      <c r="X984" s="31"/>
      <c r="Y984" s="31"/>
      <c r="Z984" s="7"/>
      <c r="AA984" s="7"/>
      <c r="AB984" s="7"/>
      <c r="AC984" s="7"/>
      <c r="AD984" s="7"/>
      <c r="AE984" s="7"/>
      <c r="AF984" s="7"/>
      <c r="AG984" s="7"/>
      <c r="AH984" s="7"/>
      <c r="AI984" s="7"/>
      <c r="AJ984" s="7"/>
      <c r="AK984" s="7"/>
      <c r="AL984" s="7"/>
      <c r="AM984" s="7"/>
      <c r="AN984" s="7"/>
      <c r="AO984" s="7"/>
      <c r="AP984" s="7"/>
    </row>
    <row r="985" spans="1:44" s="588" customFormat="1" hidden="1">
      <c r="A985" s="588" t="s">
        <v>774</v>
      </c>
      <c r="C985" s="631">
        <f>C983</f>
        <v>127260720.81905724</v>
      </c>
      <c r="D985" s="990">
        <v>0</v>
      </c>
      <c r="E985" s="635"/>
      <c r="F985" s="616"/>
      <c r="G985" s="987">
        <f>G965</f>
        <v>0</v>
      </c>
      <c r="H985" s="616" t="s">
        <v>362</v>
      </c>
      <c r="I985" s="616">
        <f>ROUND(G985*$C985/100,0)</f>
        <v>0</v>
      </c>
      <c r="J985" s="616"/>
      <c r="K985" s="987" t="e">
        <f>K965</f>
        <v>#REF!</v>
      </c>
      <c r="L985" s="616" t="s">
        <v>362</v>
      </c>
      <c r="M985" s="616" t="e">
        <f>ROUND(K985*$C985/100,0)</f>
        <v>#REF!</v>
      </c>
      <c r="N985" s="616"/>
      <c r="O985" s="987" t="e">
        <f>O965</f>
        <v>#REF!</v>
      </c>
      <c r="P985" s="616" t="s">
        <v>362</v>
      </c>
      <c r="Q985" s="616" t="e">
        <f>ROUND(O985*$C985/100,0)</f>
        <v>#REF!</v>
      </c>
      <c r="R985" s="616"/>
      <c r="S985" s="987" t="e">
        <f>S965</f>
        <v>#REF!</v>
      </c>
      <c r="T985" s="616" t="s">
        <v>362</v>
      </c>
      <c r="U985" s="616" t="e">
        <f>ROUND(S985*$C985/100,0)</f>
        <v>#REF!</v>
      </c>
      <c r="W985" s="450"/>
      <c r="Z985" s="989"/>
      <c r="AA985" s="989"/>
      <c r="AF985" s="635"/>
      <c r="AG985" s="635"/>
      <c r="AH985" s="635"/>
      <c r="AI985" s="635"/>
      <c r="AJ985" s="635"/>
      <c r="AK985" s="635"/>
      <c r="AL985" s="635"/>
      <c r="AM985" s="635"/>
      <c r="AN985" s="635"/>
      <c r="AO985" s="635"/>
      <c r="AP985" s="635"/>
      <c r="AR985" s="988"/>
    </row>
    <row r="986" spans="1:44">
      <c r="A986" s="305" t="s">
        <v>369</v>
      </c>
      <c r="B986" s="305"/>
      <c r="C986" s="61">
        <f>C983</f>
        <v>127260720.81905724</v>
      </c>
      <c r="D986" s="1021"/>
      <c r="E986" s="305"/>
      <c r="F986" s="490">
        <f>SUM(F976:F984)</f>
        <v>9607649</v>
      </c>
      <c r="G986" s="1021"/>
      <c r="H986" s="305"/>
      <c r="I986" s="490">
        <f>SUM(I976:I985)</f>
        <v>9608136</v>
      </c>
      <c r="J986" s="490"/>
      <c r="K986" s="1021"/>
      <c r="L986" s="305"/>
      <c r="M986" s="490" t="e">
        <f>SUM(M976:M985)</f>
        <v>#REF!</v>
      </c>
      <c r="N986" s="490"/>
      <c r="O986" s="1021"/>
      <c r="P986" s="305"/>
      <c r="Q986" s="490" t="e">
        <f>SUM(Q976:Q985)</f>
        <v>#REF!</v>
      </c>
      <c r="R986" s="490"/>
      <c r="S986" s="1021"/>
      <c r="T986" s="305"/>
      <c r="U986" s="490" t="e">
        <f>SUM(U976:U985)</f>
        <v>#REF!</v>
      </c>
      <c r="V986" s="7"/>
      <c r="W986" s="31"/>
      <c r="X986" s="453"/>
      <c r="Y986" s="453"/>
      <c r="Z986" s="7"/>
      <c r="AA986" s="7"/>
      <c r="AB986" s="7"/>
      <c r="AC986" s="7"/>
      <c r="AD986" s="7"/>
      <c r="AE986" s="7"/>
      <c r="AF986" s="7"/>
      <c r="AG986" s="7"/>
      <c r="AH986" s="7"/>
      <c r="AI986" s="7"/>
      <c r="AJ986" s="7"/>
      <c r="AK986" s="7"/>
      <c r="AL986" s="7"/>
      <c r="AM986" s="7"/>
      <c r="AN986" s="7"/>
      <c r="AO986" s="7"/>
      <c r="AP986" s="7"/>
    </row>
    <row r="987" spans="1:44">
      <c r="A987" s="305" t="s">
        <v>351</v>
      </c>
      <c r="B987" s="305"/>
      <c r="C987" s="61">
        <f>C986/($C$986+$C$1044)*$C$1081</f>
        <v>1169270.4870616279</v>
      </c>
      <c r="D987" s="305"/>
      <c r="E987" s="305"/>
      <c r="F987" s="993">
        <f>F986/($F$986+$F$1044)*$F$1081</f>
        <v>127037.9544727436</v>
      </c>
      <c r="G987" s="305"/>
      <c r="H987" s="305"/>
      <c r="I987" s="993">
        <f>F987</f>
        <v>127037.9544727436</v>
      </c>
      <c r="J987" s="723"/>
      <c r="K987" s="305"/>
      <c r="L987" s="305"/>
      <c r="M987" s="993" t="e">
        <f>$I$987*V971/($V971+$W$971+$X$971)</f>
        <v>#DIV/0!</v>
      </c>
      <c r="N987" s="723"/>
      <c r="O987" s="305"/>
      <c r="P987" s="305"/>
      <c r="Q987" s="993" t="e">
        <f>$I$987*W971/($V971+$W$971+$X$971)</f>
        <v>#DIV/0!</v>
      </c>
      <c r="R987" s="723"/>
      <c r="S987" s="305"/>
      <c r="T987" s="305"/>
      <c r="U987" s="993" t="e">
        <f>$I$987*X971/($V971+$W$971+$X$971)</f>
        <v>#DIV/0!</v>
      </c>
      <c r="V987" s="714"/>
      <c r="W987" s="453" t="s">
        <v>31</v>
      </c>
      <c r="Z987" s="7"/>
      <c r="AA987" s="7"/>
      <c r="AB987" s="7"/>
      <c r="AC987" s="7"/>
      <c r="AD987" s="7"/>
      <c r="AE987" s="7"/>
      <c r="AF987" s="7"/>
      <c r="AG987" s="7"/>
      <c r="AH987" s="7"/>
      <c r="AI987" s="7"/>
      <c r="AJ987" s="7"/>
      <c r="AK987" s="7"/>
      <c r="AL987" s="7"/>
      <c r="AM987" s="7"/>
      <c r="AN987" s="7"/>
      <c r="AO987" s="7"/>
      <c r="AP987" s="7"/>
    </row>
    <row r="988" spans="1:44" ht="16.5" thickBot="1">
      <c r="A988" s="305" t="s">
        <v>370</v>
      </c>
      <c r="B988" s="305"/>
      <c r="C988" s="994">
        <f>SUM(C986)+C987</f>
        <v>128429991.30611888</v>
      </c>
      <c r="D988" s="1036"/>
      <c r="E988" s="1030"/>
      <c r="F988" s="995">
        <f>F986+F987</f>
        <v>9734686.954472743</v>
      </c>
      <c r="G988" s="1036"/>
      <c r="H988" s="1030"/>
      <c r="I988" s="995">
        <f>I986+I987</f>
        <v>9735173.954472743</v>
      </c>
      <c r="J988" s="723"/>
      <c r="K988" s="1036"/>
      <c r="L988" s="1030"/>
      <c r="M988" s="995" t="e">
        <f>M986+M987</f>
        <v>#REF!</v>
      </c>
      <c r="N988" s="995"/>
      <c r="O988" s="1036"/>
      <c r="P988" s="1030"/>
      <c r="Q988" s="995" t="e">
        <f>Q986+Q987</f>
        <v>#REF!</v>
      </c>
      <c r="R988" s="995"/>
      <c r="S988" s="1036"/>
      <c r="T988" s="1030"/>
      <c r="U988" s="995" t="e">
        <f>U986+U987</f>
        <v>#REF!</v>
      </c>
      <c r="V988" s="295"/>
      <c r="W988" s="453" t="s">
        <v>31</v>
      </c>
      <c r="X988" s="31"/>
      <c r="Y988" s="31"/>
      <c r="Z988" s="446" t="s">
        <v>31</v>
      </c>
      <c r="AA988" s="7"/>
      <c r="AB988" s="7"/>
      <c r="AC988" s="7"/>
      <c r="AD988" s="7"/>
      <c r="AE988" s="7"/>
      <c r="AF988" s="7"/>
      <c r="AG988" s="7"/>
      <c r="AH988" s="7"/>
      <c r="AI988" s="7"/>
      <c r="AJ988" s="7"/>
      <c r="AK988" s="7"/>
      <c r="AL988" s="7"/>
      <c r="AM988" s="7"/>
      <c r="AN988" s="7"/>
      <c r="AO988" s="7"/>
      <c r="AP988" s="7"/>
    </row>
    <row r="989" spans="1:44" ht="16.5" thickTop="1">
      <c r="A989" s="305"/>
      <c r="B989" s="305"/>
      <c r="C989" s="61"/>
      <c r="D989" s="237"/>
      <c r="E989" s="305"/>
      <c r="F989" s="490"/>
      <c r="G989" s="237"/>
      <c r="H989" s="305"/>
      <c r="I989" s="237"/>
      <c r="J989" s="237"/>
      <c r="K989" s="237"/>
      <c r="L989" s="305"/>
      <c r="M989" s="237"/>
      <c r="N989" s="237"/>
      <c r="O989" s="237"/>
      <c r="P989" s="305"/>
      <c r="Q989" s="237"/>
      <c r="R989" s="237"/>
      <c r="S989" s="237"/>
      <c r="T989" s="305"/>
      <c r="U989" s="237"/>
      <c r="V989" s="7"/>
      <c r="W989" s="31"/>
      <c r="X989" s="31"/>
      <c r="Y989" s="31"/>
      <c r="Z989" s="7"/>
      <c r="AA989" s="7"/>
      <c r="AB989" s="7"/>
      <c r="AC989" s="7"/>
      <c r="AD989" s="7"/>
      <c r="AE989" s="7"/>
      <c r="AF989" s="7"/>
      <c r="AG989" s="7"/>
      <c r="AH989" s="7"/>
      <c r="AI989" s="7"/>
      <c r="AJ989" s="7"/>
      <c r="AK989" s="7"/>
      <c r="AL989" s="7"/>
      <c r="AM989" s="7"/>
      <c r="AN989" s="7"/>
      <c r="AO989" s="7"/>
      <c r="AP989" s="7"/>
    </row>
    <row r="990" spans="1:44">
      <c r="A990" s="305" t="s">
        <v>464</v>
      </c>
      <c r="B990" s="305"/>
      <c r="C990" s="305"/>
      <c r="D990" s="490"/>
      <c r="E990" s="305"/>
      <c r="F990" s="305"/>
      <c r="G990" s="490"/>
      <c r="H990" s="305"/>
      <c r="I990" s="305"/>
      <c r="J990" s="305"/>
      <c r="K990" s="490"/>
      <c r="L990" s="305"/>
      <c r="M990" s="305"/>
      <c r="N990" s="305"/>
      <c r="O990" s="490"/>
      <c r="P990" s="305"/>
      <c r="Q990" s="305"/>
      <c r="R990" s="305"/>
      <c r="S990" s="490"/>
      <c r="T990" s="305"/>
      <c r="U990" s="305"/>
      <c r="V990" s="7"/>
      <c r="W990" s="31"/>
      <c r="X990" s="31"/>
      <c r="Y990" s="31"/>
      <c r="Z990" s="7"/>
      <c r="AA990" s="7"/>
      <c r="AB990" s="7"/>
      <c r="AC990" s="7"/>
      <c r="AD990" s="7"/>
      <c r="AE990" s="7"/>
      <c r="AF990" s="7"/>
      <c r="AG990" s="7"/>
      <c r="AH990" s="7"/>
      <c r="AI990" s="7"/>
      <c r="AJ990" s="7"/>
      <c r="AK990" s="7"/>
      <c r="AL990" s="7"/>
      <c r="AM990" s="7"/>
      <c r="AN990" s="7"/>
      <c r="AO990" s="7"/>
      <c r="AP990" s="7"/>
    </row>
    <row r="991" spans="1:44">
      <c r="A991" s="305" t="s">
        <v>633</v>
      </c>
      <c r="B991" s="305"/>
      <c r="C991" s="305"/>
      <c r="D991" s="490"/>
      <c r="E991" s="305"/>
      <c r="F991" s="305"/>
      <c r="G991" s="490"/>
      <c r="H991" s="305"/>
      <c r="I991" s="305"/>
      <c r="J991" s="305"/>
      <c r="K991" s="490"/>
      <c r="L991" s="305"/>
      <c r="M991" s="305"/>
      <c r="N991" s="305"/>
      <c r="O991" s="490"/>
      <c r="P991" s="305"/>
      <c r="Q991" s="305"/>
      <c r="R991" s="305"/>
      <c r="S991" s="490"/>
      <c r="T991" s="305"/>
      <c r="U991" s="305"/>
      <c r="V991" s="7"/>
      <c r="W991" s="31"/>
      <c r="X991" s="31"/>
      <c r="Y991" s="31"/>
      <c r="Z991" s="7"/>
      <c r="AA991" s="7"/>
      <c r="AB991" s="7"/>
      <c r="AC991" s="7"/>
      <c r="AD991" s="7"/>
      <c r="AE991" s="7"/>
      <c r="AF991" s="7"/>
      <c r="AG991" s="7"/>
      <c r="AH991" s="7"/>
      <c r="AI991" s="7"/>
      <c r="AJ991" s="7"/>
      <c r="AK991" s="7"/>
      <c r="AL991" s="7"/>
      <c r="AM991" s="7"/>
      <c r="AN991" s="7"/>
      <c r="AO991" s="7"/>
      <c r="AP991" s="7"/>
    </row>
    <row r="992" spans="1:44">
      <c r="A992" s="305"/>
      <c r="B992" s="305"/>
      <c r="C992" s="305"/>
      <c r="D992" s="490"/>
      <c r="E992" s="305"/>
      <c r="F992" s="305"/>
      <c r="G992" s="490"/>
      <c r="H992" s="305"/>
      <c r="I992" s="305"/>
      <c r="J992" s="305"/>
      <c r="K992" s="490"/>
      <c r="L992" s="305"/>
      <c r="M992" s="305"/>
      <c r="N992" s="305"/>
      <c r="O992" s="490"/>
      <c r="P992" s="305"/>
      <c r="Q992" s="305"/>
      <c r="R992" s="305"/>
      <c r="S992" s="490"/>
      <c r="T992" s="305"/>
      <c r="U992" s="305"/>
      <c r="V992" s="7"/>
      <c r="W992" s="31"/>
      <c r="X992" s="31"/>
      <c r="Y992" s="31"/>
      <c r="Z992" s="7"/>
      <c r="AA992" s="7"/>
      <c r="AB992" s="7"/>
      <c r="AC992" s="7"/>
      <c r="AD992" s="7"/>
      <c r="AE992" s="7"/>
      <c r="AF992" s="7"/>
      <c r="AG992" s="7"/>
      <c r="AH992" s="7"/>
      <c r="AI992" s="7"/>
      <c r="AJ992" s="7"/>
      <c r="AK992" s="7"/>
      <c r="AL992" s="7"/>
      <c r="AM992" s="7"/>
      <c r="AN992" s="7"/>
      <c r="AO992" s="7"/>
      <c r="AP992" s="7"/>
    </row>
    <row r="993" spans="1:44">
      <c r="A993" s="305" t="s">
        <v>381</v>
      </c>
      <c r="B993" s="305"/>
      <c r="C993" s="61"/>
      <c r="D993" s="490"/>
      <c r="E993" s="305"/>
      <c r="F993" s="305"/>
      <c r="G993" s="490"/>
      <c r="H993" s="305"/>
      <c r="I993" s="305"/>
      <c r="J993" s="305"/>
      <c r="K993" s="490"/>
      <c r="L993" s="305"/>
      <c r="M993" s="305"/>
      <c r="N993" s="305"/>
      <c r="O993" s="490"/>
      <c r="P993" s="305"/>
      <c r="Q993" s="305"/>
      <c r="R993" s="305"/>
      <c r="S993" s="490"/>
      <c r="T993" s="305"/>
      <c r="U993" s="305"/>
      <c r="V993" s="7"/>
      <c r="W993" s="31"/>
      <c r="X993" s="31"/>
      <c r="Y993" s="31"/>
      <c r="Z993" s="7"/>
      <c r="AA993" s="7"/>
      <c r="AB993" s="7"/>
      <c r="AC993" s="7"/>
      <c r="AD993" s="7"/>
      <c r="AE993" s="7"/>
      <c r="AF993" s="7"/>
      <c r="AG993" s="7"/>
      <c r="AH993" s="7"/>
      <c r="AI993" s="7"/>
      <c r="AJ993" s="7"/>
      <c r="AK993" s="7"/>
      <c r="AL993" s="7"/>
      <c r="AM993" s="7"/>
      <c r="AN993" s="7"/>
      <c r="AO993" s="7"/>
      <c r="AP993" s="7"/>
    </row>
    <row r="994" spans="1:44">
      <c r="A994" s="305" t="s">
        <v>459</v>
      </c>
      <c r="B994" s="305"/>
      <c r="C994" s="61">
        <v>312.87878787878799</v>
      </c>
      <c r="D994" s="237">
        <f>D956</f>
        <v>1442</v>
      </c>
      <c r="E994" s="490"/>
      <c r="F994" s="490">
        <f>ROUND(D994*C994,0)</f>
        <v>451171</v>
      </c>
      <c r="G994" s="237">
        <f>G956</f>
        <v>1442</v>
      </c>
      <c r="H994" s="490"/>
      <c r="I994" s="490">
        <f>ROUND(G994*$C994,0)</f>
        <v>451171</v>
      </c>
      <c r="J994" s="490"/>
      <c r="K994" s="237" t="e">
        <f>K956</f>
        <v>#REF!</v>
      </c>
      <c r="L994" s="490"/>
      <c r="M994" s="490" t="e">
        <f>ROUND(K994*$C994,0)</f>
        <v>#REF!</v>
      </c>
      <c r="N994" s="490"/>
      <c r="O994" s="237" t="e">
        <f>O956</f>
        <v>#REF!</v>
      </c>
      <c r="P994" s="490"/>
      <c r="Q994" s="490" t="e">
        <f>ROUND(O994*$C994,0)</f>
        <v>#REF!</v>
      </c>
      <c r="R994" s="490"/>
      <c r="S994" s="237" t="e">
        <f>S956</f>
        <v>#REF!</v>
      </c>
      <c r="T994" s="490"/>
      <c r="U994" s="490" t="e">
        <f>ROUND(S994*$C994,0)</f>
        <v>#REF!</v>
      </c>
      <c r="V994" s="7"/>
      <c r="W994" s="31"/>
      <c r="X994" s="31"/>
      <c r="Y994" s="31"/>
      <c r="Z994" s="7"/>
      <c r="AA994" s="7"/>
      <c r="AB994" s="7"/>
      <c r="AC994" s="7"/>
      <c r="AD994" s="7"/>
      <c r="AE994" s="7"/>
      <c r="AF994" s="7"/>
      <c r="AG994" s="7"/>
      <c r="AH994" s="7"/>
      <c r="AI994" s="7"/>
      <c r="AJ994" s="7"/>
      <c r="AK994" s="7"/>
      <c r="AL994" s="7"/>
      <c r="AM994" s="7"/>
      <c r="AN994" s="7"/>
      <c r="AO994" s="7"/>
      <c r="AP994" s="7"/>
    </row>
    <row r="995" spans="1:44">
      <c r="A995" s="305" t="s">
        <v>460</v>
      </c>
      <c r="B995" s="305"/>
      <c r="C995" s="61">
        <v>0</v>
      </c>
      <c r="D995" s="237">
        <f>D957</f>
        <v>1743</v>
      </c>
      <c r="E995" s="1009"/>
      <c r="F995" s="490">
        <f>ROUND(D995*C995,0)</f>
        <v>0</v>
      </c>
      <c r="G995" s="237">
        <f>G957</f>
        <v>1743</v>
      </c>
      <c r="H995" s="1009"/>
      <c r="I995" s="490">
        <f>ROUND(G995*$C995,0)</f>
        <v>0</v>
      </c>
      <c r="J995" s="490"/>
      <c r="K995" s="237" t="e">
        <f>K957</f>
        <v>#REF!</v>
      </c>
      <c r="L995" s="1009"/>
      <c r="M995" s="490" t="e">
        <f>ROUND(K995*$C995,0)</f>
        <v>#REF!</v>
      </c>
      <c r="N995" s="490"/>
      <c r="O995" s="237" t="e">
        <f>O957</f>
        <v>#REF!</v>
      </c>
      <c r="P995" s="1009"/>
      <c r="Q995" s="490" t="e">
        <f>ROUND(O995*$C995,0)</f>
        <v>#REF!</v>
      </c>
      <c r="R995" s="490"/>
      <c r="S995" s="237" t="e">
        <f>S957</f>
        <v>#REF!</v>
      </c>
      <c r="T995" s="1009"/>
      <c r="U995" s="490" t="e">
        <f>ROUND(S995*$C995,0)</f>
        <v>#REF!</v>
      </c>
      <c r="V995" s="7"/>
      <c r="W995" s="31"/>
      <c r="X995" s="31"/>
      <c r="Y995" s="31"/>
      <c r="Z995" s="7"/>
      <c r="AA995" s="7"/>
      <c r="AB995" s="7"/>
      <c r="AC995" s="7"/>
      <c r="AD995" s="7"/>
      <c r="AE995" s="7"/>
      <c r="AF995" s="7"/>
      <c r="AG995" s="7"/>
      <c r="AH995" s="7"/>
      <c r="AI995" s="7"/>
      <c r="AJ995" s="7"/>
      <c r="AK995" s="7"/>
      <c r="AL995" s="7"/>
      <c r="AM995" s="7"/>
      <c r="AN995" s="7"/>
      <c r="AO995" s="7"/>
      <c r="AP995" s="7"/>
    </row>
    <row r="996" spans="1:44">
      <c r="A996" s="305" t="s">
        <v>382</v>
      </c>
      <c r="B996" s="305"/>
      <c r="C996" s="61">
        <f>SUM(C994:C995)</f>
        <v>312.87878787878799</v>
      </c>
      <c r="D996" s="237"/>
      <c r="E996" s="490"/>
      <c r="F996" s="490" t="s">
        <v>31</v>
      </c>
      <c r="G996" s="237" t="s">
        <v>31</v>
      </c>
      <c r="H996" s="490"/>
      <c r="I996" s="490" t="s">
        <v>31</v>
      </c>
      <c r="J996" s="490"/>
      <c r="K996" s="237" t="s">
        <v>31</v>
      </c>
      <c r="L996" s="490"/>
      <c r="M996" s="490" t="s">
        <v>31</v>
      </c>
      <c r="N996" s="490"/>
      <c r="O996" s="237" t="s">
        <v>31</v>
      </c>
      <c r="P996" s="490"/>
      <c r="Q996" s="490" t="s">
        <v>31</v>
      </c>
      <c r="R996" s="490"/>
      <c r="S996" s="237" t="s">
        <v>31</v>
      </c>
      <c r="T996" s="490"/>
      <c r="U996" s="490" t="s">
        <v>31</v>
      </c>
      <c r="V996" s="7"/>
      <c r="W996" s="31"/>
      <c r="X996" s="31"/>
      <c r="Y996" s="31"/>
      <c r="Z996" s="7"/>
      <c r="AA996" s="7"/>
      <c r="AB996" s="7"/>
      <c r="AC996" s="7"/>
      <c r="AD996" s="7"/>
      <c r="AE996" s="7"/>
      <c r="AF996" s="7"/>
      <c r="AG996" s="7"/>
      <c r="AH996" s="7"/>
      <c r="AI996" s="7"/>
      <c r="AJ996" s="7"/>
      <c r="AK996" s="7"/>
      <c r="AL996" s="7"/>
      <c r="AM996" s="7"/>
      <c r="AN996" s="7"/>
      <c r="AO996" s="7"/>
      <c r="AP996" s="7"/>
    </row>
    <row r="997" spans="1:44">
      <c r="A997" s="305" t="s">
        <v>461</v>
      </c>
      <c r="B997" s="305"/>
      <c r="C997" s="61">
        <v>507900</v>
      </c>
      <c r="D997" s="237">
        <f>D959</f>
        <v>1.1499999999999999</v>
      </c>
      <c r="E997" s="490"/>
      <c r="F997" s="490">
        <f>ROUND(D997*C997,0)</f>
        <v>584085</v>
      </c>
      <c r="G997" s="237">
        <f>G959</f>
        <v>1.1499999999999999</v>
      </c>
      <c r="H997" s="490"/>
      <c r="I997" s="490">
        <f>ROUND(G997*$C997,0)</f>
        <v>584085</v>
      </c>
      <c r="J997" s="490"/>
      <c r="K997" s="237" t="e">
        <f>K959</f>
        <v>#REF!</v>
      </c>
      <c r="L997" s="490"/>
      <c r="M997" s="490" t="e">
        <f>ROUND(K997*$C997,0)</f>
        <v>#REF!</v>
      </c>
      <c r="N997" s="490"/>
      <c r="O997" s="237" t="e">
        <f>O959</f>
        <v>#REF!</v>
      </c>
      <c r="P997" s="490"/>
      <c r="Q997" s="490" t="e">
        <f>ROUND(O997*$C997,0)</f>
        <v>#REF!</v>
      </c>
      <c r="R997" s="490"/>
      <c r="S997" s="237" t="e">
        <f>S959</f>
        <v>#REF!</v>
      </c>
      <c r="T997" s="490"/>
      <c r="U997" s="490" t="e">
        <f>ROUND(S997*$C997,0)</f>
        <v>#REF!</v>
      </c>
      <c r="V997" s="7"/>
      <c r="W997" s="31"/>
      <c r="X997" s="31"/>
      <c r="Y997" s="31"/>
      <c r="Z997" s="7"/>
      <c r="AA997" s="7"/>
      <c r="AB997" s="7"/>
      <c r="AC997" s="7"/>
      <c r="AD997" s="7"/>
      <c r="AE997" s="7"/>
      <c r="AF997" s="7"/>
      <c r="AG997" s="7"/>
      <c r="AH997" s="7"/>
      <c r="AI997" s="7"/>
      <c r="AJ997" s="7"/>
      <c r="AK997" s="7"/>
      <c r="AL997" s="7"/>
      <c r="AM997" s="7"/>
      <c r="AN997" s="7"/>
      <c r="AO997" s="7"/>
      <c r="AP997" s="7"/>
    </row>
    <row r="998" spans="1:44">
      <c r="A998" s="305" t="s">
        <v>462</v>
      </c>
      <c r="B998" s="305"/>
      <c r="C998" s="61">
        <v>0</v>
      </c>
      <c r="D998" s="237">
        <f t="shared" ref="D998:D999" si="178">D960</f>
        <v>1.03</v>
      </c>
      <c r="E998" s="490"/>
      <c r="F998" s="490">
        <f>ROUND(D998*C998,0)</f>
        <v>0</v>
      </c>
      <c r="G998" s="237">
        <f>G960</f>
        <v>1.03</v>
      </c>
      <c r="H998" s="490"/>
      <c r="I998" s="490">
        <f>ROUND(G998*$C998,0)</f>
        <v>0</v>
      </c>
      <c r="J998" s="490"/>
      <c r="K998" s="237" t="e">
        <f>K960</f>
        <v>#REF!</v>
      </c>
      <c r="L998" s="490"/>
      <c r="M998" s="490" t="e">
        <f>ROUND(K998*$C998,0)</f>
        <v>#REF!</v>
      </c>
      <c r="N998" s="490"/>
      <c r="O998" s="237" t="e">
        <f>O960</f>
        <v>#REF!</v>
      </c>
      <c r="P998" s="490"/>
      <c r="Q998" s="490" t="e">
        <f>ROUND(O998*$C998,0)</f>
        <v>#REF!</v>
      </c>
      <c r="R998" s="490"/>
      <c r="S998" s="237" t="e">
        <f>S960</f>
        <v>#REF!</v>
      </c>
      <c r="T998" s="490"/>
      <c r="U998" s="490" t="e">
        <f>ROUND(S998*$C998,0)</f>
        <v>#REF!</v>
      </c>
      <c r="V998" s="7"/>
      <c r="W998" s="31"/>
      <c r="X998" s="31"/>
      <c r="Y998" s="31"/>
      <c r="Z998" s="7"/>
      <c r="AA998" s="7"/>
      <c r="AB998" s="7"/>
      <c r="AC998" s="7"/>
      <c r="AD998" s="7"/>
      <c r="AE998" s="7"/>
      <c r="AF998" s="7"/>
      <c r="AG998" s="7"/>
      <c r="AH998" s="7"/>
      <c r="AI998" s="7"/>
      <c r="AJ998" s="7"/>
      <c r="AK998" s="7"/>
      <c r="AL998" s="7"/>
      <c r="AM998" s="7"/>
      <c r="AN998" s="7"/>
      <c r="AO998" s="7"/>
      <c r="AP998" s="7"/>
    </row>
    <row r="999" spans="1:44">
      <c r="A999" s="305" t="s">
        <v>391</v>
      </c>
      <c r="B999" s="305"/>
      <c r="C999" s="61">
        <v>440759</v>
      </c>
      <c r="D999" s="237">
        <f t="shared" si="178"/>
        <v>8.16</v>
      </c>
      <c r="E999" s="490"/>
      <c r="F999" s="490">
        <f>ROUND(D999*C999,0)</f>
        <v>3596593</v>
      </c>
      <c r="G999" s="237">
        <f>G961</f>
        <v>8.17</v>
      </c>
      <c r="H999" s="490"/>
      <c r="I999" s="490">
        <f>ROUND(G999*$C999,0)</f>
        <v>3601001</v>
      </c>
      <c r="J999" s="490"/>
      <c r="K999" s="237" t="e">
        <f>K961</f>
        <v>#REF!</v>
      </c>
      <c r="L999" s="490"/>
      <c r="M999" s="490" t="e">
        <f>ROUND(K999*$C999,0)</f>
        <v>#REF!</v>
      </c>
      <c r="N999" s="490"/>
      <c r="O999" s="237" t="e">
        <f>O961</f>
        <v>#REF!</v>
      </c>
      <c r="P999" s="490"/>
      <c r="Q999" s="490" t="e">
        <f>ROUND(O999*$C999,0)</f>
        <v>#REF!</v>
      </c>
      <c r="R999" s="490"/>
      <c r="S999" s="237" t="e">
        <f>S961</f>
        <v>#REF!</v>
      </c>
      <c r="T999" s="490"/>
      <c r="U999" s="490" t="e">
        <f>ROUND(S999*$C999,0)</f>
        <v>#REF!</v>
      </c>
      <c r="V999" s="7"/>
      <c r="W999" s="31"/>
      <c r="X999" s="31"/>
      <c r="Y999" s="31"/>
      <c r="Z999" s="7"/>
      <c r="AA999" s="7"/>
      <c r="AB999" s="7"/>
      <c r="AC999" s="7"/>
      <c r="AD999" s="7"/>
      <c r="AE999" s="7"/>
      <c r="AF999" s="7"/>
      <c r="AG999" s="7"/>
      <c r="AH999" s="7"/>
      <c r="AI999" s="7"/>
      <c r="AJ999" s="7"/>
      <c r="AK999" s="7"/>
      <c r="AL999" s="7"/>
      <c r="AM999" s="7"/>
      <c r="AN999" s="7"/>
      <c r="AO999" s="7"/>
      <c r="AP999" s="7"/>
    </row>
    <row r="1000" spans="1:44">
      <c r="A1000" s="305" t="s">
        <v>414</v>
      </c>
      <c r="B1000" s="305"/>
      <c r="C1000" s="61"/>
      <c r="D1000" s="237"/>
      <c r="E1000" s="490"/>
      <c r="F1000" s="490"/>
      <c r="G1000" s="237" t="s">
        <v>31</v>
      </c>
      <c r="H1000" s="490"/>
      <c r="I1000" s="490"/>
      <c r="J1000" s="490"/>
      <c r="K1000" s="237" t="s">
        <v>31</v>
      </c>
      <c r="L1000" s="490"/>
      <c r="M1000" s="490"/>
      <c r="N1000" s="490"/>
      <c r="O1000" s="237" t="s">
        <v>31</v>
      </c>
      <c r="P1000" s="490"/>
      <c r="Q1000" s="490"/>
      <c r="R1000" s="490"/>
      <c r="S1000" s="237" t="s">
        <v>31</v>
      </c>
      <c r="T1000" s="490"/>
      <c r="U1000" s="490"/>
      <c r="V1000" s="7"/>
      <c r="W1000" s="31"/>
      <c r="X1000" s="31"/>
      <c r="Y1000" s="31"/>
      <c r="Z1000" s="7"/>
      <c r="AA1000" s="7"/>
      <c r="AB1000" s="7"/>
      <c r="AC1000" s="7"/>
      <c r="AD1000" s="7"/>
      <c r="AE1000" s="7"/>
      <c r="AF1000" s="7"/>
      <c r="AG1000" s="7"/>
      <c r="AH1000" s="7"/>
      <c r="AI1000" s="7"/>
      <c r="AJ1000" s="7"/>
      <c r="AK1000" s="7"/>
      <c r="AL1000" s="7"/>
      <c r="AM1000" s="7"/>
      <c r="AN1000" s="7"/>
      <c r="AO1000" s="7"/>
      <c r="AP1000" s="7"/>
    </row>
    <row r="1001" spans="1:44">
      <c r="A1001" s="305" t="s">
        <v>452</v>
      </c>
      <c r="B1001" s="305"/>
      <c r="C1001" s="61">
        <v>200889250</v>
      </c>
      <c r="D1001" s="1059">
        <f>D963</f>
        <v>4.8520000000000003</v>
      </c>
      <c r="E1001" s="490" t="s">
        <v>362</v>
      </c>
      <c r="F1001" s="490">
        <f>ROUND(D1001/100*C1001,0)</f>
        <v>9747146</v>
      </c>
      <c r="G1001" s="1059">
        <f>G963</f>
        <v>4.8500000000000005</v>
      </c>
      <c r="H1001" s="490" t="s">
        <v>362</v>
      </c>
      <c r="I1001" s="490">
        <f>ROUND(G1001/100*$C1001,0)</f>
        <v>9743129</v>
      </c>
      <c r="J1001" s="490"/>
      <c r="K1001" s="1059" t="e">
        <f>K963</f>
        <v>#REF!</v>
      </c>
      <c r="L1001" s="490" t="s">
        <v>362</v>
      </c>
      <c r="M1001" s="490" t="e">
        <f>ROUND(K1001/100*$C1001,0)</f>
        <v>#REF!</v>
      </c>
      <c r="N1001" s="490"/>
      <c r="O1001" s="1059" t="e">
        <f>O963</f>
        <v>#REF!</v>
      </c>
      <c r="P1001" s="490" t="s">
        <v>362</v>
      </c>
      <c r="Q1001" s="490" t="e">
        <f>ROUND(O1001/100*$C1001,0)</f>
        <v>#REF!</v>
      </c>
      <c r="R1001" s="490"/>
      <c r="S1001" s="1059" t="e">
        <f>S963</f>
        <v>#REF!</v>
      </c>
      <c r="T1001" s="490" t="s">
        <v>362</v>
      </c>
      <c r="U1001" s="490" t="e">
        <f>ROUND(S1001/100*$C1001,0)</f>
        <v>#REF!</v>
      </c>
      <c r="V1001" s="7"/>
      <c r="W1001" s="31"/>
      <c r="X1001" s="31"/>
      <c r="Y1001" s="31"/>
      <c r="Z1001" s="7"/>
      <c r="AA1001" s="7"/>
      <c r="AB1001" s="7"/>
      <c r="AC1001" s="7"/>
      <c r="AD1001" s="7"/>
      <c r="AE1001" s="7"/>
      <c r="AF1001" s="7"/>
      <c r="AG1001" s="7"/>
      <c r="AH1001" s="7"/>
      <c r="AI1001" s="7"/>
      <c r="AJ1001" s="7"/>
      <c r="AK1001" s="7"/>
      <c r="AL1001" s="7"/>
      <c r="AM1001" s="7"/>
      <c r="AN1001" s="7"/>
      <c r="AO1001" s="7"/>
      <c r="AP1001" s="7"/>
    </row>
    <row r="1002" spans="1:44">
      <c r="A1002" s="305" t="s">
        <v>388</v>
      </c>
      <c r="B1002" s="305"/>
      <c r="C1002" s="61">
        <v>117511.939393939</v>
      </c>
      <c r="D1002" s="237">
        <f>D964</f>
        <v>0.56999999999999995</v>
      </c>
      <c r="E1002" s="490"/>
      <c r="F1002" s="490">
        <f>ROUND(D1002*C1002,0)</f>
        <v>66982</v>
      </c>
      <c r="G1002" s="237">
        <f>G964</f>
        <v>0.56999999999999995</v>
      </c>
      <c r="H1002" s="490"/>
      <c r="I1002" s="490">
        <f>ROUND(G1002*$C1002,0)</f>
        <v>66982</v>
      </c>
      <c r="J1002" s="490"/>
      <c r="K1002" s="237" t="e">
        <f>K964</f>
        <v>#REF!</v>
      </c>
      <c r="L1002" s="490"/>
      <c r="M1002" s="490" t="e">
        <f>ROUND(K1002*$C1002,0)</f>
        <v>#REF!</v>
      </c>
      <c r="N1002" s="490"/>
      <c r="O1002" s="237" t="e">
        <f>O964</f>
        <v>#REF!</v>
      </c>
      <c r="P1002" s="490"/>
      <c r="Q1002" s="490" t="e">
        <f>ROUND(O1002*$C1002,0)</f>
        <v>#REF!</v>
      </c>
      <c r="R1002" s="490"/>
      <c r="S1002" s="237" t="e">
        <f>S964</f>
        <v>#REF!</v>
      </c>
      <c r="T1002" s="490"/>
      <c r="U1002" s="490" t="e">
        <f>ROUND(S1002*$C1002,0)</f>
        <v>#REF!</v>
      </c>
      <c r="V1002" s="7"/>
      <c r="W1002" s="31"/>
      <c r="X1002" s="31"/>
      <c r="Y1002" s="31"/>
      <c r="Z1002" s="7"/>
      <c r="AA1002" s="7"/>
      <c r="AB1002" s="7"/>
      <c r="AC1002" s="7"/>
      <c r="AD1002" s="7"/>
      <c r="AE1002" s="7"/>
      <c r="AF1002" s="7"/>
      <c r="AG1002" s="7"/>
      <c r="AH1002" s="7"/>
      <c r="AI1002" s="7"/>
      <c r="AJ1002" s="7"/>
      <c r="AK1002" s="7"/>
      <c r="AL1002" s="7"/>
      <c r="AM1002" s="7"/>
      <c r="AN1002" s="7"/>
      <c r="AO1002" s="7"/>
      <c r="AP1002" s="7"/>
    </row>
    <row r="1003" spans="1:44" s="588" customFormat="1" hidden="1">
      <c r="A1003" s="588" t="s">
        <v>774</v>
      </c>
      <c r="C1003" s="631">
        <f>C1001</f>
        <v>200889250</v>
      </c>
      <c r="D1003" s="990">
        <v>0</v>
      </c>
      <c r="E1003" s="635"/>
      <c r="F1003" s="616"/>
      <c r="G1003" s="987">
        <f>G965</f>
        <v>0</v>
      </c>
      <c r="H1003" s="616" t="s">
        <v>362</v>
      </c>
      <c r="I1003" s="616">
        <f>ROUND(G1003*$C1003/100,0)</f>
        <v>0</v>
      </c>
      <c r="J1003" s="616"/>
      <c r="K1003" s="987" t="e">
        <f>K965</f>
        <v>#REF!</v>
      </c>
      <c r="L1003" s="616" t="s">
        <v>362</v>
      </c>
      <c r="M1003" s="616" t="e">
        <f>ROUND(K1003*$C1003/100,0)</f>
        <v>#REF!</v>
      </c>
      <c r="N1003" s="616"/>
      <c r="O1003" s="987" t="e">
        <f>O965</f>
        <v>#REF!</v>
      </c>
      <c r="P1003" s="616" t="s">
        <v>362</v>
      </c>
      <c r="Q1003" s="616" t="e">
        <f>ROUND(O1003*$C1003/100,0)</f>
        <v>#REF!</v>
      </c>
      <c r="R1003" s="616"/>
      <c r="S1003" s="987" t="e">
        <f>S965</f>
        <v>#REF!</v>
      </c>
      <c r="T1003" s="616" t="s">
        <v>362</v>
      </c>
      <c r="U1003" s="616" t="e">
        <f>ROUND(S1003*$C1003/100,0)</f>
        <v>#REF!</v>
      </c>
      <c r="W1003" s="450"/>
      <c r="Z1003" s="989"/>
      <c r="AA1003" s="989"/>
      <c r="AF1003" s="635"/>
      <c r="AG1003" s="635"/>
      <c r="AH1003" s="635"/>
      <c r="AI1003" s="635"/>
      <c r="AJ1003" s="635"/>
      <c r="AK1003" s="635"/>
      <c r="AL1003" s="635"/>
      <c r="AM1003" s="635"/>
      <c r="AN1003" s="635"/>
      <c r="AO1003" s="635"/>
      <c r="AP1003" s="635"/>
      <c r="AR1003" s="988"/>
    </row>
    <row r="1004" spans="1:44">
      <c r="A1004" s="305" t="s">
        <v>369</v>
      </c>
      <c r="B1004" s="305"/>
      <c r="C1004" s="61">
        <f>C1001</f>
        <v>200889250</v>
      </c>
      <c r="D1004" s="1021"/>
      <c r="E1004" s="305"/>
      <c r="F1004" s="490">
        <f>SUM(F994:F1002)</f>
        <v>14445977</v>
      </c>
      <c r="G1004" s="1021"/>
      <c r="H1004" s="305"/>
      <c r="I1004" s="490">
        <f>SUM(I994:I1003)</f>
        <v>14446368</v>
      </c>
      <c r="J1004" s="490"/>
      <c r="K1004" s="1021"/>
      <c r="L1004" s="305"/>
      <c r="M1004" s="490" t="e">
        <f>SUM(M994:M1003)</f>
        <v>#REF!</v>
      </c>
      <c r="N1004" s="490"/>
      <c r="O1004" s="1021"/>
      <c r="P1004" s="305"/>
      <c r="Q1004" s="490" t="e">
        <f>SUM(Q994:Q1003)</f>
        <v>#REF!</v>
      </c>
      <c r="R1004" s="490"/>
      <c r="S1004" s="1021"/>
      <c r="T1004" s="305"/>
      <c r="U1004" s="490" t="e">
        <f>SUM(U994:U1003)</f>
        <v>#REF!</v>
      </c>
      <c r="V1004" s="7" t="s">
        <v>31</v>
      </c>
      <c r="W1004" s="31"/>
      <c r="X1004" s="31"/>
      <c r="Y1004" s="31"/>
      <c r="Z1004" s="7"/>
      <c r="AA1004" s="7"/>
      <c r="AB1004" s="7"/>
      <c r="AC1004" s="7"/>
      <c r="AD1004" s="7"/>
      <c r="AE1004" s="7"/>
      <c r="AF1004" s="7"/>
      <c r="AG1004" s="7"/>
      <c r="AH1004" s="7"/>
      <c r="AI1004" s="7"/>
      <c r="AJ1004" s="7"/>
      <c r="AK1004" s="7"/>
      <c r="AL1004" s="7"/>
      <c r="AM1004" s="7"/>
      <c r="AN1004" s="7"/>
      <c r="AO1004" s="7"/>
      <c r="AP1004" s="7"/>
    </row>
    <row r="1005" spans="1:44">
      <c r="A1005" s="305" t="s">
        <v>351</v>
      </c>
      <c r="B1005" s="305"/>
      <c r="C1005" s="61">
        <f ca="1">C1004/($C$1004+$C$1062)*$C$1100</f>
        <v>3775395.0684998897</v>
      </c>
      <c r="D1005" s="305"/>
      <c r="E1005" s="305"/>
      <c r="F1005" s="993">
        <f ca="1">F1004/($F$1004+$F$1062)*$F$1100</f>
        <v>87491.892098960976</v>
      </c>
      <c r="G1005" s="305"/>
      <c r="H1005" s="305"/>
      <c r="I1005" s="993">
        <f ca="1">F1005</f>
        <v>87491.892098960976</v>
      </c>
      <c r="J1005" s="723"/>
      <c r="K1005" s="305"/>
      <c r="L1005" s="305"/>
      <c r="M1005" s="993" t="e">
        <f ca="1">$I$1005*V971/($V971+$W$971+$X$971)</f>
        <v>#DIV/0!</v>
      </c>
      <c r="N1005" s="723"/>
      <c r="O1005" s="305"/>
      <c r="P1005" s="305"/>
      <c r="Q1005" s="993" t="e">
        <f ca="1">$I$1005*W971/($V971+$W$971+$X$971)</f>
        <v>#DIV/0!</v>
      </c>
      <c r="R1005" s="723"/>
      <c r="S1005" s="305"/>
      <c r="T1005" s="305"/>
      <c r="U1005" s="993" t="e">
        <f ca="1">$I$1005*X971/($V971+$W$971+$X$971)</f>
        <v>#DIV/0!</v>
      </c>
      <c r="V1005" s="714"/>
      <c r="W1005" s="171"/>
      <c r="X1005" s="31"/>
      <c r="Y1005" s="31"/>
      <c r="Z1005" s="7"/>
      <c r="AA1005" s="7"/>
      <c r="AB1005" s="7"/>
      <c r="AC1005" s="7"/>
      <c r="AD1005" s="7"/>
      <c r="AE1005" s="7"/>
      <c r="AF1005" s="7"/>
      <c r="AG1005" s="7"/>
      <c r="AH1005" s="7"/>
      <c r="AI1005" s="7"/>
      <c r="AJ1005" s="7"/>
      <c r="AK1005" s="7"/>
      <c r="AL1005" s="7"/>
      <c r="AM1005" s="7"/>
      <c r="AN1005" s="7"/>
      <c r="AO1005" s="7"/>
      <c r="AP1005" s="7"/>
    </row>
    <row r="1006" spans="1:44" ht="16.5" thickBot="1">
      <c r="A1006" s="305" t="s">
        <v>370</v>
      </c>
      <c r="B1006" s="305"/>
      <c r="C1006" s="994">
        <f ca="1">SUM(C1004)+C1005</f>
        <v>204664645.06849989</v>
      </c>
      <c r="D1006" s="1036"/>
      <c r="E1006" s="1030"/>
      <c r="F1006" s="995">
        <f ca="1">F1004+F1005</f>
        <v>14533468.892098961</v>
      </c>
      <c r="G1006" s="1036"/>
      <c r="H1006" s="1030"/>
      <c r="I1006" s="995">
        <f ca="1">I1004+I1005</f>
        <v>14533859.892098961</v>
      </c>
      <c r="J1006" s="723"/>
      <c r="K1006" s="1036"/>
      <c r="L1006" s="1030"/>
      <c r="M1006" s="995" t="e">
        <f ca="1">M1004+M1005</f>
        <v>#REF!</v>
      </c>
      <c r="N1006" s="995"/>
      <c r="O1006" s="1036"/>
      <c r="P1006" s="1030"/>
      <c r="Q1006" s="995" t="e">
        <f ca="1">Q1004+Q1005</f>
        <v>#REF!</v>
      </c>
      <c r="R1006" s="995"/>
      <c r="S1006" s="1036"/>
      <c r="T1006" s="1030"/>
      <c r="U1006" s="995" t="e">
        <f ca="1">U1004+U1005</f>
        <v>#REF!</v>
      </c>
      <c r="V1006" s="295"/>
      <c r="W1006" s="354"/>
      <c r="X1006" s="31"/>
      <c r="Y1006" s="31"/>
      <c r="Z1006" s="446" t="s">
        <v>31</v>
      </c>
      <c r="AA1006" s="7"/>
      <c r="AB1006" s="7"/>
      <c r="AC1006" s="7"/>
      <c r="AD1006" s="7"/>
      <c r="AE1006" s="7"/>
      <c r="AF1006" s="7"/>
      <c r="AG1006" s="7"/>
      <c r="AH1006" s="7"/>
      <c r="AI1006" s="7"/>
      <c r="AJ1006" s="7"/>
      <c r="AK1006" s="7"/>
      <c r="AL1006" s="7"/>
      <c r="AM1006" s="7"/>
      <c r="AN1006" s="7"/>
      <c r="AO1006" s="7"/>
      <c r="AP1006" s="7"/>
    </row>
    <row r="1007" spans="1:44" ht="16.5" thickTop="1">
      <c r="A1007" s="305"/>
      <c r="B1007" s="305"/>
      <c r="C1007" s="61"/>
      <c r="D1007" s="237"/>
      <c r="E1007" s="305"/>
      <c r="F1007" s="490"/>
      <c r="G1007" s="237"/>
      <c r="H1007" s="305"/>
      <c r="I1007" s="237"/>
      <c r="J1007" s="237"/>
      <c r="K1007" s="237"/>
      <c r="L1007" s="305"/>
      <c r="M1007" s="237"/>
      <c r="N1007" s="237"/>
      <c r="O1007" s="237"/>
      <c r="P1007" s="305"/>
      <c r="Q1007" s="237"/>
      <c r="R1007" s="237"/>
      <c r="S1007" s="237"/>
      <c r="T1007" s="305"/>
      <c r="U1007" s="237"/>
      <c r="W1007" s="31"/>
      <c r="X1007" s="453" t="s">
        <v>31</v>
      </c>
      <c r="Y1007" s="453"/>
      <c r="Z1007" s="7"/>
      <c r="AA1007" s="7"/>
      <c r="AB1007" s="7"/>
      <c r="AC1007" s="7"/>
      <c r="AD1007" s="7"/>
      <c r="AE1007" s="7"/>
      <c r="AF1007" s="7"/>
      <c r="AG1007" s="7"/>
      <c r="AH1007" s="7"/>
      <c r="AI1007" s="7"/>
      <c r="AJ1007" s="7"/>
      <c r="AK1007" s="7"/>
      <c r="AL1007" s="7"/>
      <c r="AM1007" s="7"/>
      <c r="AN1007" s="7"/>
      <c r="AO1007" s="7"/>
      <c r="AP1007" s="7"/>
    </row>
    <row r="1008" spans="1:44">
      <c r="A1008" s="305"/>
      <c r="B1008" s="305"/>
      <c r="C1008" s="61"/>
      <c r="D1008" s="237"/>
      <c r="E1008" s="305"/>
      <c r="F1008" s="490"/>
      <c r="G1008" s="237"/>
      <c r="H1008" s="305"/>
      <c r="I1008" s="237"/>
      <c r="J1008" s="237"/>
      <c r="K1008" s="237"/>
      <c r="L1008" s="305"/>
      <c r="M1008" s="237"/>
      <c r="N1008" s="237"/>
      <c r="O1008" s="237"/>
      <c r="P1008" s="305"/>
      <c r="Q1008" s="237"/>
      <c r="R1008" s="237"/>
      <c r="S1008" s="237"/>
      <c r="T1008" s="305"/>
      <c r="U1008" s="237"/>
      <c r="W1008" s="31"/>
      <c r="X1008" s="453"/>
      <c r="Y1008" s="453"/>
      <c r="Z1008" s="7"/>
      <c r="AA1008" s="7"/>
      <c r="AB1008" s="7"/>
      <c r="AC1008" s="7"/>
      <c r="AD1008" s="7"/>
      <c r="AE1008" s="7"/>
      <c r="AF1008" s="7"/>
      <c r="AG1008" s="7"/>
      <c r="AH1008" s="7"/>
      <c r="AI1008" s="7"/>
      <c r="AJ1008" s="7"/>
      <c r="AK1008" s="7"/>
      <c r="AL1008" s="7"/>
      <c r="AM1008" s="7"/>
      <c r="AN1008" s="7"/>
      <c r="AO1008" s="7"/>
      <c r="AP1008" s="7"/>
    </row>
    <row r="1009" spans="1:44">
      <c r="A1009" s="305" t="s">
        <v>464</v>
      </c>
      <c r="B1009" s="305"/>
      <c r="C1009" s="305"/>
      <c r="D1009" s="490"/>
      <c r="E1009" s="305"/>
      <c r="F1009" s="305"/>
      <c r="G1009" s="490"/>
      <c r="H1009" s="305"/>
      <c r="I1009" s="305"/>
      <c r="J1009" s="305"/>
      <c r="K1009" s="490"/>
      <c r="L1009" s="305"/>
      <c r="M1009" s="305"/>
      <c r="N1009" s="305"/>
      <c r="O1009" s="490"/>
      <c r="P1009" s="305"/>
      <c r="Q1009" s="305"/>
      <c r="R1009" s="305"/>
      <c r="S1009" s="490"/>
      <c r="T1009" s="305"/>
      <c r="U1009" s="305"/>
      <c r="V1009" s="7"/>
      <c r="W1009" s="31"/>
      <c r="X1009" s="31"/>
      <c r="Y1009" s="31"/>
      <c r="Z1009" s="7"/>
      <c r="AA1009" s="7"/>
      <c r="AB1009" s="7"/>
      <c r="AC1009" s="7"/>
      <c r="AD1009" s="7"/>
      <c r="AE1009" s="7"/>
      <c r="AF1009" s="7"/>
      <c r="AG1009" s="7"/>
      <c r="AH1009" s="7"/>
      <c r="AI1009" s="7"/>
      <c r="AJ1009" s="7"/>
      <c r="AK1009" s="7"/>
      <c r="AL1009" s="7"/>
      <c r="AM1009" s="7"/>
      <c r="AN1009" s="7"/>
      <c r="AO1009" s="7"/>
      <c r="AP1009" s="7"/>
    </row>
    <row r="1010" spans="1:44">
      <c r="A1010" s="305" t="s">
        <v>636</v>
      </c>
      <c r="B1010" s="305"/>
      <c r="C1010" s="305"/>
      <c r="D1010" s="490"/>
      <c r="E1010" s="305"/>
      <c r="F1010" s="305"/>
      <c r="G1010" s="490"/>
      <c r="H1010" s="305"/>
      <c r="I1010" s="305"/>
      <c r="J1010" s="305"/>
      <c r="K1010" s="490"/>
      <c r="L1010" s="305"/>
      <c r="M1010" s="305"/>
      <c r="N1010" s="305"/>
      <c r="O1010" s="490"/>
      <c r="P1010" s="305"/>
      <c r="Q1010" s="305"/>
      <c r="R1010" s="305"/>
      <c r="S1010" s="490"/>
      <c r="T1010" s="305"/>
      <c r="U1010" s="305"/>
      <c r="V1010" s="7"/>
      <c r="W1010" s="31"/>
      <c r="X1010" s="31"/>
      <c r="Y1010" s="31"/>
      <c r="Z1010" s="7"/>
      <c r="AA1010" s="7"/>
      <c r="AB1010" s="7"/>
      <c r="AC1010" s="7"/>
      <c r="AD1010" s="7"/>
      <c r="AE1010" s="7"/>
      <c r="AF1010" s="7"/>
      <c r="AG1010" s="7"/>
      <c r="AH1010" s="7"/>
      <c r="AI1010" s="7"/>
      <c r="AJ1010" s="7"/>
      <c r="AK1010" s="7"/>
      <c r="AL1010" s="7"/>
      <c r="AM1010" s="7"/>
      <c r="AN1010" s="7"/>
      <c r="AO1010" s="7"/>
      <c r="AP1010" s="7"/>
    </row>
    <row r="1011" spans="1:44">
      <c r="A1011" s="305" t="s">
        <v>31</v>
      </c>
      <c r="B1011" s="305"/>
      <c r="C1011" s="305"/>
      <c r="D1011" s="490"/>
      <c r="E1011" s="305"/>
      <c r="F1011" s="305"/>
      <c r="G1011" s="490"/>
      <c r="H1011" s="305"/>
      <c r="I1011" s="305"/>
      <c r="J1011" s="305"/>
      <c r="K1011" s="490"/>
      <c r="L1011" s="305"/>
      <c r="M1011" s="305"/>
      <c r="N1011" s="305"/>
      <c r="O1011" s="490"/>
      <c r="P1011" s="305"/>
      <c r="Q1011" s="305"/>
      <c r="R1011" s="305"/>
      <c r="S1011" s="490"/>
      <c r="T1011" s="305"/>
      <c r="U1011" s="305"/>
      <c r="V1011" s="7"/>
      <c r="W1011" s="31"/>
      <c r="X1011" s="31"/>
      <c r="Y1011" s="31"/>
      <c r="Z1011" s="7"/>
      <c r="AA1011" s="7"/>
      <c r="AB1011" s="7"/>
      <c r="AC1011" s="7"/>
      <c r="AD1011" s="7"/>
      <c r="AE1011" s="7"/>
      <c r="AF1011" s="7"/>
      <c r="AG1011" s="7"/>
      <c r="AH1011" s="7"/>
      <c r="AI1011" s="7"/>
      <c r="AJ1011" s="7"/>
      <c r="AK1011" s="7"/>
      <c r="AL1011" s="7"/>
      <c r="AM1011" s="7"/>
      <c r="AN1011" s="7"/>
      <c r="AO1011" s="7"/>
      <c r="AP1011" s="7"/>
    </row>
    <row r="1012" spans="1:44">
      <c r="A1012" s="305" t="s">
        <v>381</v>
      </c>
      <c r="B1012" s="305"/>
      <c r="C1012" s="61"/>
      <c r="D1012" s="490"/>
      <c r="E1012" s="305"/>
      <c r="F1012" s="305"/>
      <c r="G1012" s="490"/>
      <c r="H1012" s="305"/>
      <c r="I1012" s="305"/>
      <c r="J1012" s="305"/>
      <c r="K1012" s="490"/>
      <c r="L1012" s="305"/>
      <c r="M1012" s="305"/>
      <c r="N1012" s="305"/>
      <c r="O1012" s="490"/>
      <c r="P1012" s="305"/>
      <c r="Q1012" s="305"/>
      <c r="R1012" s="305"/>
      <c r="S1012" s="490"/>
      <c r="T1012" s="305"/>
      <c r="U1012" s="305"/>
      <c r="W1012" s="31"/>
      <c r="X1012" s="31"/>
      <c r="Y1012" s="31"/>
      <c r="Z1012" s="7"/>
      <c r="AA1012" s="7"/>
      <c r="AB1012" s="7"/>
      <c r="AC1012" s="7"/>
      <c r="AD1012" s="7"/>
      <c r="AE1012" s="7"/>
      <c r="AF1012" s="7"/>
      <c r="AG1012" s="7"/>
      <c r="AH1012" s="7"/>
      <c r="AI1012" s="7"/>
      <c r="AJ1012" s="7"/>
      <c r="AK1012" s="7"/>
      <c r="AL1012" s="7"/>
      <c r="AM1012" s="7"/>
      <c r="AN1012" s="7"/>
      <c r="AO1012" s="7"/>
      <c r="AP1012" s="7"/>
    </row>
    <row r="1013" spans="1:44">
      <c r="A1013" s="305" t="s">
        <v>459</v>
      </c>
      <c r="B1013" s="305"/>
      <c r="C1013" s="61">
        <f t="shared" ref="C1013:C1018" si="179">C1034+C1052</f>
        <v>132</v>
      </c>
      <c r="D1013" s="237">
        <v>1477</v>
      </c>
      <c r="E1013" s="490"/>
      <c r="F1013" s="490">
        <f>ROUND(D1013*C1013,0)</f>
        <v>194964</v>
      </c>
      <c r="G1013" s="237">
        <f>ROUND(D1013*(1+$Z$936),0)</f>
        <v>1477</v>
      </c>
      <c r="H1013" s="490"/>
      <c r="I1013" s="490">
        <f>ROUND(G1013*$C1013,0)</f>
        <v>194964</v>
      </c>
      <c r="J1013" s="490"/>
      <c r="K1013" s="237" t="e">
        <f>#REF!</f>
        <v>#REF!</v>
      </c>
      <c r="L1013" s="490"/>
      <c r="M1013" s="490" t="e">
        <f>#REF!</f>
        <v>#REF!</v>
      </c>
      <c r="N1013" s="490"/>
      <c r="O1013" s="237" t="e">
        <f>#REF!</f>
        <v>#REF!</v>
      </c>
      <c r="P1013" s="490"/>
      <c r="Q1013" s="490" t="e">
        <f>#REF!</f>
        <v>#REF!</v>
      </c>
      <c r="R1013" s="490"/>
      <c r="S1013" s="237" t="e">
        <f>#REF!</f>
        <v>#REF!</v>
      </c>
      <c r="T1013" s="490"/>
      <c r="U1013" s="490" t="e">
        <f>#REF!</f>
        <v>#REF!</v>
      </c>
      <c r="V1013" s="7"/>
      <c r="X1013" s="454">
        <f>(G1013-D1013)/D1013</f>
        <v>0</v>
      </c>
      <c r="Y1013" s="453"/>
      <c r="Z1013" s="7"/>
      <c r="AA1013" s="7"/>
      <c r="AB1013" s="7"/>
      <c r="AC1013" s="7"/>
      <c r="AD1013" s="7"/>
      <c r="AE1013" s="7"/>
      <c r="AF1013" s="7"/>
      <c r="AG1013" s="7"/>
      <c r="AH1013" s="7"/>
      <c r="AI1013" s="7"/>
      <c r="AJ1013" s="7"/>
      <c r="AK1013" s="7"/>
      <c r="AL1013" s="7"/>
      <c r="AM1013" s="7"/>
      <c r="AN1013" s="7"/>
      <c r="AO1013" s="7"/>
      <c r="AP1013" s="7"/>
    </row>
    <row r="1014" spans="1:44">
      <c r="A1014" s="305" t="s">
        <v>460</v>
      </c>
      <c r="B1014" s="305"/>
      <c r="C1014" s="61">
        <f t="shared" si="179"/>
        <v>0</v>
      </c>
      <c r="D1014" s="237">
        <v>1777</v>
      </c>
      <c r="E1014" s="1009"/>
      <c r="F1014" s="490">
        <f>ROUND(D1014*C1014,0)</f>
        <v>0</v>
      </c>
      <c r="G1014" s="237">
        <f>ROUND(D1014*(1+$Z$936),0)</f>
        <v>1777</v>
      </c>
      <c r="H1014" s="1009"/>
      <c r="I1014" s="490">
        <f>ROUND(G1014*$C1014,0)</f>
        <v>0</v>
      </c>
      <c r="J1014" s="490"/>
      <c r="K1014" s="237" t="e">
        <f>#REF!</f>
        <v>#REF!</v>
      </c>
      <c r="L1014" s="1009"/>
      <c r="M1014" s="490" t="e">
        <f>#REF!</f>
        <v>#REF!</v>
      </c>
      <c r="N1014" s="490"/>
      <c r="O1014" s="237" t="e">
        <f>#REF!</f>
        <v>#REF!</v>
      </c>
      <c r="P1014" s="1009"/>
      <c r="Q1014" s="490" t="e">
        <f>#REF!</f>
        <v>#REF!</v>
      </c>
      <c r="R1014" s="490"/>
      <c r="S1014" s="237" t="e">
        <f>#REF!</f>
        <v>#REF!</v>
      </c>
      <c r="T1014" s="1009"/>
      <c r="U1014" s="490" t="e">
        <f>#REF!</f>
        <v>#REF!</v>
      </c>
      <c r="V1014" s="7"/>
      <c r="X1014" s="454">
        <f>(G1014-D1014)/D1014</f>
        <v>0</v>
      </c>
      <c r="Y1014" s="453"/>
      <c r="Z1014" s="7"/>
      <c r="AA1014" s="7"/>
      <c r="AB1014" s="7"/>
      <c r="AC1014" s="7"/>
      <c r="AD1014" s="7"/>
      <c r="AE1014" s="7"/>
      <c r="AF1014" s="7"/>
      <c r="AG1014" s="7"/>
      <c r="AH1014" s="7"/>
      <c r="AI1014" s="7"/>
      <c r="AJ1014" s="7"/>
      <c r="AK1014" s="7"/>
      <c r="AL1014" s="7"/>
      <c r="AM1014" s="7"/>
      <c r="AN1014" s="7"/>
      <c r="AO1014" s="7"/>
      <c r="AP1014" s="7"/>
    </row>
    <row r="1015" spans="1:44">
      <c r="A1015" s="305" t="s">
        <v>382</v>
      </c>
      <c r="B1015" s="305"/>
      <c r="C1015" s="61">
        <f t="shared" si="179"/>
        <v>132</v>
      </c>
      <c r="D1015" s="237"/>
      <c r="E1015" s="490"/>
      <c r="F1015" s="490" t="s">
        <v>31</v>
      </c>
      <c r="G1015" s="237" t="s">
        <v>31</v>
      </c>
      <c r="H1015" s="490"/>
      <c r="I1015" s="490" t="s">
        <v>31</v>
      </c>
      <c r="J1015" s="490"/>
      <c r="K1015" s="237" t="s">
        <v>31</v>
      </c>
      <c r="L1015" s="490"/>
      <c r="M1015" s="490" t="s">
        <v>31</v>
      </c>
      <c r="N1015" s="490"/>
      <c r="O1015" s="237" t="s">
        <v>31</v>
      </c>
      <c r="P1015" s="490"/>
      <c r="Q1015" s="490" t="s">
        <v>31</v>
      </c>
      <c r="R1015" s="490"/>
      <c r="S1015" s="237" t="s">
        <v>31</v>
      </c>
      <c r="T1015" s="490"/>
      <c r="U1015" s="490" t="s">
        <v>31</v>
      </c>
      <c r="V1015" s="7"/>
      <c r="X1015" s="1070"/>
      <c r="Y1015" s="31"/>
      <c r="Z1015" s="7"/>
      <c r="AA1015" s="7"/>
      <c r="AB1015" s="7"/>
      <c r="AC1015" s="7"/>
      <c r="AD1015" s="7"/>
      <c r="AE1015" s="7"/>
      <c r="AF1015" s="7"/>
      <c r="AG1015" s="7"/>
      <c r="AH1015" s="7"/>
      <c r="AI1015" s="7"/>
      <c r="AJ1015" s="7"/>
      <c r="AK1015" s="7"/>
      <c r="AL1015" s="7"/>
      <c r="AM1015" s="7"/>
      <c r="AN1015" s="7"/>
      <c r="AO1015" s="7"/>
      <c r="AP1015" s="7"/>
    </row>
    <row r="1016" spans="1:44">
      <c r="A1016" s="305" t="s">
        <v>461</v>
      </c>
      <c r="B1016" s="305"/>
      <c r="C1016" s="61">
        <f t="shared" si="179"/>
        <v>205955</v>
      </c>
      <c r="D1016" s="237">
        <v>0.57999999999999996</v>
      </c>
      <c r="E1016" s="490"/>
      <c r="F1016" s="490">
        <f>ROUND(D1016*C1016,0)</f>
        <v>119454</v>
      </c>
      <c r="G1016" s="237">
        <f>ROUND(D1016*(1+$Z$936),2)</f>
        <v>0.57999999999999996</v>
      </c>
      <c r="H1016" s="490"/>
      <c r="I1016" s="490">
        <f>ROUND(G1016*$C1016,0)</f>
        <v>119454</v>
      </c>
      <c r="J1016" s="490"/>
      <c r="K1016" s="237" t="e">
        <f>#REF!</f>
        <v>#REF!</v>
      </c>
      <c r="L1016" s="490"/>
      <c r="M1016" s="490" t="e">
        <f>#REF!</f>
        <v>#REF!</v>
      </c>
      <c r="N1016" s="490"/>
      <c r="O1016" s="237" t="e">
        <f>#REF!</f>
        <v>#REF!</v>
      </c>
      <c r="P1016" s="490"/>
      <c r="Q1016" s="490" t="e">
        <f>#REF!</f>
        <v>#REF!</v>
      </c>
      <c r="R1016" s="490"/>
      <c r="S1016" s="237" t="e">
        <f>#REF!</f>
        <v>#REF!</v>
      </c>
      <c r="T1016" s="490"/>
      <c r="U1016" s="490" t="e">
        <f>#REF!</f>
        <v>#REF!</v>
      </c>
      <c r="X1016" s="454">
        <f>(G1016-D1016)/D1016</f>
        <v>0</v>
      </c>
      <c r="Y1016" s="453"/>
      <c r="Z1016" s="7" t="s">
        <v>31</v>
      </c>
      <c r="AA1016" s="7"/>
      <c r="AB1016" s="7"/>
      <c r="AC1016" s="7"/>
      <c r="AD1016" s="7"/>
      <c r="AE1016" s="7"/>
      <c r="AF1016" s="7"/>
      <c r="AG1016" s="7"/>
      <c r="AH1016" s="7"/>
      <c r="AI1016" s="7"/>
      <c r="AJ1016" s="7"/>
      <c r="AK1016" s="7"/>
      <c r="AL1016" s="7"/>
      <c r="AM1016" s="7"/>
      <c r="AN1016" s="7"/>
      <c r="AO1016" s="7"/>
      <c r="AP1016" s="7"/>
    </row>
    <row r="1017" spans="1:44">
      <c r="A1017" s="305" t="s">
        <v>462</v>
      </c>
      <c r="B1017" s="305"/>
      <c r="C1017" s="61">
        <f t="shared" si="179"/>
        <v>0</v>
      </c>
      <c r="D1017" s="237">
        <v>0.47</v>
      </c>
      <c r="E1017" s="490"/>
      <c r="F1017" s="490">
        <f>ROUND(D1017*C1017,0)</f>
        <v>0</v>
      </c>
      <c r="G1017" s="237">
        <f>ROUND(D1017*(1+$Z$936),2)</f>
        <v>0.47</v>
      </c>
      <c r="H1017" s="490"/>
      <c r="I1017" s="490">
        <f>ROUND(G1017*$C1017,0)</f>
        <v>0</v>
      </c>
      <c r="J1017" s="490"/>
      <c r="K1017" s="237" t="e">
        <f>#REF!</f>
        <v>#REF!</v>
      </c>
      <c r="L1017" s="490"/>
      <c r="M1017" s="490" t="e">
        <f>#REF!</f>
        <v>#REF!</v>
      </c>
      <c r="N1017" s="490"/>
      <c r="O1017" s="237" t="e">
        <f>#REF!</f>
        <v>#REF!</v>
      </c>
      <c r="P1017" s="490"/>
      <c r="Q1017" s="490" t="e">
        <f>#REF!</f>
        <v>#REF!</v>
      </c>
      <c r="R1017" s="490"/>
      <c r="S1017" s="237" t="e">
        <f>#REF!</f>
        <v>#REF!</v>
      </c>
      <c r="T1017" s="490"/>
      <c r="U1017" s="490" t="e">
        <f>#REF!</f>
        <v>#REF!</v>
      </c>
      <c r="V1017" s="7"/>
      <c r="X1017" s="454">
        <f>(G1017-D1017)/D1017</f>
        <v>0</v>
      </c>
      <c r="Y1017" s="453"/>
      <c r="Z1017" s="7"/>
      <c r="AA1017" s="7"/>
      <c r="AB1017" s="7"/>
      <c r="AC1017" s="7"/>
      <c r="AD1017" s="7"/>
      <c r="AE1017" s="7"/>
      <c r="AF1017" s="7"/>
      <c r="AG1017" s="7"/>
      <c r="AH1017" s="7"/>
      <c r="AI1017" s="7"/>
      <c r="AJ1017" s="7"/>
      <c r="AK1017" s="7"/>
      <c r="AL1017" s="7"/>
      <c r="AM1017" s="7"/>
      <c r="AN1017" s="7"/>
      <c r="AO1017" s="7"/>
      <c r="AP1017" s="7"/>
    </row>
    <row r="1018" spans="1:44">
      <c r="A1018" s="305" t="s">
        <v>391</v>
      </c>
      <c r="B1018" s="305"/>
      <c r="C1018" s="61">
        <f t="shared" si="179"/>
        <v>165766</v>
      </c>
      <c r="D1018" s="237">
        <v>7.98</v>
      </c>
      <c r="E1018" s="490"/>
      <c r="F1018" s="490">
        <f>ROUND(D1018*C1018,0)</f>
        <v>1322813</v>
      </c>
      <c r="G1018" s="237">
        <f>ROUND(D1018*(1+$Z$936),2)-0.01</f>
        <v>7.9700000000000006</v>
      </c>
      <c r="H1018" s="490"/>
      <c r="I1018" s="490">
        <f>ROUND(G1018*$C1018,0)</f>
        <v>1321155</v>
      </c>
      <c r="J1018" s="490"/>
      <c r="K1018" s="237" t="e">
        <f>#REF!</f>
        <v>#REF!</v>
      </c>
      <c r="L1018" s="490"/>
      <c r="M1018" s="490" t="e">
        <f>#REF!</f>
        <v>#REF!</v>
      </c>
      <c r="N1018" s="490"/>
      <c r="O1018" s="237" t="e">
        <f>#REF!</f>
        <v>#REF!</v>
      </c>
      <c r="P1018" s="490"/>
      <c r="Q1018" s="490" t="e">
        <f>#REF!</f>
        <v>#REF!</v>
      </c>
      <c r="R1018" s="490"/>
      <c r="S1018" s="237" t="e">
        <f>#REF!</f>
        <v>#REF!</v>
      </c>
      <c r="T1018" s="490"/>
      <c r="U1018" s="490" t="e">
        <f>#REF!</f>
        <v>#REF!</v>
      </c>
      <c r="V1018" s="7"/>
      <c r="X1018" s="454">
        <f>(G1018-D1018)/D1018</f>
        <v>-1.2531328320801738E-3</v>
      </c>
      <c r="Y1018" s="453"/>
      <c r="Z1018" s="7"/>
      <c r="AA1018" s="7"/>
      <c r="AB1018" s="7"/>
      <c r="AC1018" s="7"/>
      <c r="AD1018" s="7"/>
      <c r="AE1018" s="7"/>
      <c r="AF1018" s="7"/>
      <c r="AG1018" s="7"/>
      <c r="AH1018" s="7"/>
      <c r="AI1018" s="7"/>
      <c r="AJ1018" s="7"/>
      <c r="AK1018" s="7"/>
      <c r="AL1018" s="7"/>
      <c r="AM1018" s="7"/>
      <c r="AN1018" s="7"/>
      <c r="AO1018" s="7"/>
      <c r="AP1018" s="7"/>
    </row>
    <row r="1019" spans="1:44">
      <c r="A1019" s="305" t="s">
        <v>414</v>
      </c>
      <c r="B1019" s="305"/>
      <c r="C1019" s="61"/>
      <c r="D1019" s="237"/>
      <c r="E1019" s="490"/>
      <c r="F1019" s="490"/>
      <c r="G1019" s="237" t="s">
        <v>31</v>
      </c>
      <c r="H1019" s="490"/>
      <c r="I1019" s="490"/>
      <c r="J1019" s="490"/>
      <c r="K1019" s="237" t="s">
        <v>31</v>
      </c>
      <c r="L1019" s="490"/>
      <c r="M1019" s="490"/>
      <c r="N1019" s="490"/>
      <c r="O1019" s="237" t="s">
        <v>31</v>
      </c>
      <c r="P1019" s="490"/>
      <c r="Q1019" s="490"/>
      <c r="R1019" s="490"/>
      <c r="S1019" s="237" t="s">
        <v>31</v>
      </c>
      <c r="T1019" s="490"/>
      <c r="U1019" s="490"/>
      <c r="V1019" s="7"/>
      <c r="X1019" s="1070"/>
      <c r="Y1019" s="31"/>
      <c r="Z1019" s="7"/>
      <c r="AA1019" s="7"/>
      <c r="AB1019" s="7"/>
      <c r="AC1019" s="7"/>
      <c r="AD1019" s="7"/>
      <c r="AE1019" s="7"/>
      <c r="AF1019" s="7"/>
      <c r="AG1019" s="7"/>
      <c r="AH1019" s="7"/>
      <c r="AI1019" s="7"/>
      <c r="AJ1019" s="7"/>
      <c r="AK1019" s="7"/>
      <c r="AL1019" s="7"/>
      <c r="AM1019" s="7"/>
      <c r="AN1019" s="7"/>
      <c r="AO1019" s="7"/>
      <c r="AP1019" s="7"/>
    </row>
    <row r="1020" spans="1:44">
      <c r="A1020" s="305" t="s">
        <v>452</v>
      </c>
      <c r="B1020" s="305"/>
      <c r="C1020" s="61">
        <f>C1041+C1059</f>
        <v>66470622.809296638</v>
      </c>
      <c r="D1020" s="1059">
        <v>4.798</v>
      </c>
      <c r="E1020" s="490" t="s">
        <v>362</v>
      </c>
      <c r="F1020" s="490">
        <f>ROUND(D1020/100*C1020,0)</f>
        <v>3189260</v>
      </c>
      <c r="G1020" s="1059">
        <f>ROUND(D1020*(1+$Z$936),3)</f>
        <v>4.798</v>
      </c>
      <c r="H1020" s="490" t="s">
        <v>362</v>
      </c>
      <c r="I1020" s="490">
        <f>ROUND(G1020/100*$C1020,0)</f>
        <v>3189260</v>
      </c>
      <c r="J1020" s="490"/>
      <c r="K1020" s="1059" t="e">
        <f>#REF!</f>
        <v>#REF!</v>
      </c>
      <c r="L1020" s="490" t="s">
        <v>31</v>
      </c>
      <c r="M1020" s="490" t="e">
        <f>#REF!</f>
        <v>#REF!</v>
      </c>
      <c r="N1020" s="490"/>
      <c r="O1020" s="1059" t="e">
        <f>#REF!</f>
        <v>#REF!</v>
      </c>
      <c r="P1020" s="490" t="s">
        <v>362</v>
      </c>
      <c r="Q1020" s="490" t="e">
        <f>#REF!</f>
        <v>#REF!</v>
      </c>
      <c r="R1020" s="490"/>
      <c r="S1020" s="1059" t="e">
        <f>#REF!</f>
        <v>#REF!</v>
      </c>
      <c r="T1020" s="490" t="s">
        <v>362</v>
      </c>
      <c r="U1020" s="490" t="e">
        <f>#REF!</f>
        <v>#REF!</v>
      </c>
      <c r="V1020" s="7"/>
      <c r="X1020" s="454">
        <f>((G1020+G1022)-D1020)/D1020</f>
        <v>0</v>
      </c>
      <c r="Y1020" s="453"/>
      <c r="Z1020" s="7"/>
      <c r="AA1020" s="7"/>
      <c r="AB1020" s="7"/>
      <c r="AC1020" s="7"/>
      <c r="AD1020" s="7"/>
      <c r="AE1020" s="7"/>
      <c r="AF1020" s="7"/>
      <c r="AG1020" s="7"/>
      <c r="AH1020" s="7"/>
      <c r="AI1020" s="7"/>
      <c r="AJ1020" s="7"/>
      <c r="AK1020" s="7"/>
      <c r="AL1020" s="7"/>
      <c r="AM1020" s="7"/>
      <c r="AN1020" s="7"/>
      <c r="AO1020" s="7"/>
      <c r="AP1020" s="7"/>
    </row>
    <row r="1021" spans="1:44">
      <c r="A1021" s="305" t="s">
        <v>388</v>
      </c>
      <c r="B1021" s="305"/>
      <c r="C1021" s="61">
        <f>C1042+C1060</f>
        <v>15016</v>
      </c>
      <c r="D1021" s="237">
        <v>0.56000000000000005</v>
      </c>
      <c r="E1021" s="490"/>
      <c r="F1021" s="490">
        <f>ROUND(D1021*C1021,0)</f>
        <v>8409</v>
      </c>
      <c r="G1021" s="237">
        <f>ROUND(D1021*(1+$Z$936),2)</f>
        <v>0.56000000000000005</v>
      </c>
      <c r="H1021" s="490"/>
      <c r="I1021" s="490">
        <f>ROUND(G1021*$C1021,0)</f>
        <v>8409</v>
      </c>
      <c r="J1021" s="490"/>
      <c r="K1021" s="237" t="e">
        <f>#REF!</f>
        <v>#REF!</v>
      </c>
      <c r="L1021" s="490"/>
      <c r="M1021" s="490" t="e">
        <f>#REF!</f>
        <v>#REF!</v>
      </c>
      <c r="N1021" s="490"/>
      <c r="O1021" s="237" t="e">
        <f>#REF!</f>
        <v>#REF!</v>
      </c>
      <c r="P1021" s="490"/>
      <c r="Q1021" s="490" t="e">
        <f>#REF!</f>
        <v>#REF!</v>
      </c>
      <c r="R1021" s="490"/>
      <c r="S1021" s="237" t="e">
        <f>#REF!</f>
        <v>#REF!</v>
      </c>
      <c r="T1021" s="490"/>
      <c r="U1021" s="490" t="e">
        <f>#REF!</f>
        <v>#REF!</v>
      </c>
      <c r="V1021" s="7"/>
      <c r="X1021" s="454">
        <f>(G1021-D1021)/D1021</f>
        <v>0</v>
      </c>
      <c r="Y1021" s="453"/>
      <c r="Z1021" s="7"/>
      <c r="AA1021" s="7"/>
      <c r="AB1021" s="7"/>
      <c r="AC1021" s="7"/>
      <c r="AD1021" s="7"/>
      <c r="AE1021" s="7"/>
      <c r="AF1021" s="7"/>
      <c r="AG1021" s="7"/>
      <c r="AH1021" s="7"/>
      <c r="AI1021" s="7"/>
      <c r="AJ1021" s="7"/>
      <c r="AK1021" s="7"/>
      <c r="AL1021" s="7"/>
      <c r="AM1021" s="7"/>
      <c r="AN1021" s="7"/>
      <c r="AO1021" s="7"/>
      <c r="AP1021" s="7"/>
    </row>
    <row r="1022" spans="1:44" s="588" customFormat="1" hidden="1">
      <c r="A1022" s="588" t="s">
        <v>774</v>
      </c>
      <c r="C1022" s="631">
        <f>C1020</f>
        <v>66470622.809296638</v>
      </c>
      <c r="D1022" s="1059">
        <f>D1020</f>
        <v>4.798</v>
      </c>
      <c r="E1022" s="490" t="s">
        <v>362</v>
      </c>
      <c r="F1022" s="616"/>
      <c r="G1022" s="987">
        <v>0</v>
      </c>
      <c r="H1022" s="616" t="s">
        <v>362</v>
      </c>
      <c r="I1022" s="616">
        <f>ROUND(G1022/100*$C1022,0)</f>
        <v>0</v>
      </c>
      <c r="J1022" s="616"/>
      <c r="K1022" s="987" t="e">
        <f>#REF!</f>
        <v>#REF!</v>
      </c>
      <c r="L1022" s="616" t="s">
        <v>31</v>
      </c>
      <c r="M1022" s="490" t="e">
        <f>#REF!</f>
        <v>#REF!</v>
      </c>
      <c r="N1022" s="616"/>
      <c r="O1022" s="987" t="e">
        <f>#REF!</f>
        <v>#REF!</v>
      </c>
      <c r="P1022" s="616" t="s">
        <v>31</v>
      </c>
      <c r="Q1022" s="490" t="e">
        <f>#REF!</f>
        <v>#REF!</v>
      </c>
      <c r="R1022" s="616"/>
      <c r="S1022" s="987" t="e">
        <f>#REF!</f>
        <v>#REF!</v>
      </c>
      <c r="T1022" s="616" t="s">
        <v>362</v>
      </c>
      <c r="U1022" s="490" t="e">
        <f>#REF!</f>
        <v>#REF!</v>
      </c>
      <c r="V1022" s="988" t="e">
        <f>#REF!</f>
        <v>#REF!</v>
      </c>
      <c r="W1022" s="450" t="s">
        <v>752</v>
      </c>
      <c r="Z1022" s="989"/>
      <c r="AA1022" s="989"/>
      <c r="AF1022" s="635"/>
      <c r="AG1022" s="635"/>
      <c r="AH1022" s="635"/>
      <c r="AI1022" s="635"/>
      <c r="AJ1022" s="635"/>
      <c r="AK1022" s="635"/>
      <c r="AL1022" s="635"/>
      <c r="AM1022" s="635"/>
      <c r="AN1022" s="635"/>
      <c r="AO1022" s="635"/>
      <c r="AP1022" s="635"/>
      <c r="AR1022" s="988"/>
    </row>
    <row r="1023" spans="1:44" s="588" customFormat="1" hidden="1">
      <c r="A1023" s="588" t="s">
        <v>760</v>
      </c>
      <c r="C1023" s="631"/>
      <c r="D1023" s="1060">
        <f>D1020</f>
        <v>4.798</v>
      </c>
      <c r="E1023" s="616" t="s">
        <v>362</v>
      </c>
      <c r="F1023" s="616"/>
      <c r="G1023" s="987">
        <f>D1023</f>
        <v>4.798</v>
      </c>
      <c r="H1023" s="616" t="s">
        <v>362</v>
      </c>
      <c r="I1023" s="616"/>
      <c r="J1023" s="616"/>
      <c r="K1023" s="1058" t="s">
        <v>31</v>
      </c>
      <c r="L1023" s="616" t="s">
        <v>31</v>
      </c>
      <c r="M1023" s="616"/>
      <c r="N1023" s="616"/>
      <c r="O1023" s="1058" t="e">
        <f>O1020+O1022</f>
        <v>#REF!</v>
      </c>
      <c r="P1023" s="616" t="s">
        <v>362</v>
      </c>
      <c r="Q1023" s="616"/>
      <c r="R1023" s="616"/>
      <c r="S1023" s="1058" t="e">
        <f>S1020+S1022</f>
        <v>#REF!</v>
      </c>
      <c r="T1023" s="616" t="s">
        <v>362</v>
      </c>
      <c r="U1023" s="616"/>
      <c r="V1023" s="988"/>
      <c r="W1023" s="450"/>
      <c r="X1023" s="454">
        <f>(G1023-D1023)/D1023</f>
        <v>0</v>
      </c>
      <c r="Z1023" s="989"/>
      <c r="AA1023" s="989"/>
      <c r="AF1023" s="635"/>
      <c r="AG1023" s="635"/>
      <c r="AH1023" s="635"/>
      <c r="AI1023" s="635"/>
      <c r="AJ1023" s="635"/>
      <c r="AK1023" s="635"/>
      <c r="AL1023" s="635"/>
      <c r="AM1023" s="635"/>
      <c r="AN1023" s="635"/>
      <c r="AO1023" s="635"/>
      <c r="AP1023" s="635"/>
      <c r="AR1023" s="988"/>
    </row>
    <row r="1024" spans="1:44">
      <c r="A1024" s="305" t="s">
        <v>369</v>
      </c>
      <c r="B1024" s="305"/>
      <c r="C1024" s="61">
        <f>C1020</f>
        <v>66470622.809296638</v>
      </c>
      <c r="D1024" s="1021"/>
      <c r="E1024" s="305"/>
      <c r="F1024" s="490">
        <f>SUM(F1013:F1021)</f>
        <v>4834900</v>
      </c>
      <c r="G1024" s="1021"/>
      <c r="H1024" s="305"/>
      <c r="I1024" s="490">
        <f>SUM(I1013:I1023)</f>
        <v>4833242</v>
      </c>
      <c r="J1024" s="490"/>
      <c r="K1024" s="1021"/>
      <c r="L1024" s="305"/>
      <c r="M1024" s="490" t="e">
        <f>SUM(M1013:M1023)</f>
        <v>#REF!</v>
      </c>
      <c r="N1024" s="490"/>
      <c r="O1024" s="1021"/>
      <c r="P1024" s="305"/>
      <c r="Q1024" s="490" t="e">
        <f>SUM(Q1013:Q1023)</f>
        <v>#REF!</v>
      </c>
      <c r="R1024" s="490"/>
      <c r="S1024" s="1021"/>
      <c r="T1024" s="305"/>
      <c r="U1024" s="490" t="e">
        <f>SUM(U1013:U1023)</f>
        <v>#REF!</v>
      </c>
      <c r="V1024" s="7"/>
      <c r="W1024" s="31"/>
      <c r="X1024" s="31"/>
      <c r="Y1024" s="31"/>
      <c r="Z1024" s="7"/>
      <c r="AA1024" s="7"/>
      <c r="AB1024" s="7"/>
      <c r="AC1024" s="7"/>
      <c r="AD1024" s="7"/>
      <c r="AE1024" s="7"/>
      <c r="AF1024" s="7"/>
      <c r="AG1024" s="7"/>
      <c r="AH1024" s="7"/>
      <c r="AI1024" s="7"/>
      <c r="AJ1024" s="7"/>
      <c r="AK1024" s="7"/>
      <c r="AL1024" s="7"/>
      <c r="AM1024" s="7"/>
      <c r="AN1024" s="7"/>
      <c r="AO1024" s="7"/>
      <c r="AP1024" s="7"/>
    </row>
    <row r="1025" spans="1:42">
      <c r="A1025" s="305" t="s">
        <v>351</v>
      </c>
      <c r="B1025" s="305"/>
      <c r="C1025" s="61">
        <f ca="1">C1045+C1063</f>
        <v>620304.31645246211</v>
      </c>
      <c r="D1025" s="305"/>
      <c r="E1025" s="305"/>
      <c r="F1025" s="993">
        <f ca="1">F1045+F1063</f>
        <v>62459.749868607018</v>
      </c>
      <c r="G1025" s="305"/>
      <c r="H1025" s="305"/>
      <c r="I1025" s="993">
        <f ca="1">F1025</f>
        <v>62459.749868607018</v>
      </c>
      <c r="J1025" s="723"/>
      <c r="K1025" s="305"/>
      <c r="L1025" s="305"/>
      <c r="M1025" s="1061" t="e">
        <f ca="1">$I$1025*V1028/(V1028+$W$1028+$X$1028)</f>
        <v>#DIV/0!</v>
      </c>
      <c r="N1025" s="723"/>
      <c r="O1025" s="305"/>
      <c r="P1025" s="305"/>
      <c r="Q1025" s="1061" t="e">
        <f ca="1">$I$1025*W1028/(V1028+$W$1028+$X$1028)</f>
        <v>#DIV/0!</v>
      </c>
      <c r="R1025" s="723"/>
      <c r="S1025" s="305"/>
      <c r="T1025" s="305"/>
      <c r="U1025" s="1061" t="e">
        <f ca="1">$I$1025*X1028/(V1028+$W$1028+$X$1028)</f>
        <v>#DIV/0!</v>
      </c>
      <c r="V1025" s="714"/>
      <c r="W1025" s="171"/>
      <c r="X1025" s="31"/>
      <c r="Y1025" s="31"/>
      <c r="Z1025" s="7"/>
      <c r="AA1025" s="7"/>
      <c r="AB1025" s="7"/>
      <c r="AC1025" s="7"/>
      <c r="AD1025" s="7"/>
      <c r="AE1025" s="7"/>
      <c r="AF1025" s="7"/>
      <c r="AG1025" s="7"/>
      <c r="AH1025" s="7"/>
      <c r="AI1025" s="7"/>
      <c r="AJ1025" s="7"/>
      <c r="AK1025" s="7"/>
      <c r="AL1025" s="7"/>
      <c r="AM1025" s="7"/>
      <c r="AN1025" s="7"/>
      <c r="AO1025" s="7"/>
      <c r="AP1025" s="7"/>
    </row>
    <row r="1026" spans="1:42" ht="16.5" thickBot="1">
      <c r="A1026" s="305" t="s">
        <v>370</v>
      </c>
      <c r="B1026" s="305"/>
      <c r="C1026" s="994">
        <f ca="1">SUM(C1024)+C1025</f>
        <v>67090927.125749096</v>
      </c>
      <c r="D1026" s="1036"/>
      <c r="E1026" s="1030"/>
      <c r="F1026" s="995">
        <f ca="1">F1024+F1025</f>
        <v>4897359.7498686071</v>
      </c>
      <c r="G1026" s="1036"/>
      <c r="H1026" s="1030"/>
      <c r="I1026" s="995">
        <f ca="1">I1024+I1025</f>
        <v>4895701.7498686071</v>
      </c>
      <c r="J1026" s="723"/>
      <c r="K1026" s="1036"/>
      <c r="L1026" s="1030"/>
      <c r="M1026" s="995" t="e">
        <f>SUM(M1024:M1025)</f>
        <v>#REF!</v>
      </c>
      <c r="N1026" s="995"/>
      <c r="O1026" s="1036"/>
      <c r="P1026" s="1030"/>
      <c r="Q1026" s="995" t="e">
        <f>SUM(Q1024:Q1025)</f>
        <v>#REF!</v>
      </c>
      <c r="R1026" s="995"/>
      <c r="S1026" s="1036"/>
      <c r="T1026" s="1030"/>
      <c r="U1026" s="995" t="e">
        <f>SUM(U1024:U1025)</f>
        <v>#REF!</v>
      </c>
      <c r="V1026" s="295" t="s">
        <v>31</v>
      </c>
      <c r="W1026" s="453" t="s">
        <v>31</v>
      </c>
      <c r="X1026" s="54">
        <f ca="1">(I1026-F1026)/F1026</f>
        <v>-3.3854976654400015E-4</v>
      </c>
      <c r="Y1026" s="31"/>
      <c r="AA1026" s="7"/>
      <c r="AB1026" s="7"/>
      <c r="AC1026" s="7"/>
      <c r="AD1026" s="7"/>
      <c r="AE1026" s="7"/>
      <c r="AF1026" s="7"/>
      <c r="AG1026" s="7"/>
      <c r="AH1026" s="7"/>
      <c r="AI1026" s="7"/>
      <c r="AJ1026" s="7"/>
      <c r="AK1026" s="7"/>
      <c r="AL1026" s="7"/>
      <c r="AM1026" s="7"/>
      <c r="AN1026" s="7"/>
      <c r="AO1026" s="7"/>
      <c r="AP1026" s="7"/>
    </row>
    <row r="1027" spans="1:42" ht="16.5" thickTop="1">
      <c r="A1027" s="305"/>
      <c r="B1027" s="305"/>
      <c r="C1027" s="61"/>
      <c r="D1027" s="237" t="s">
        <v>31</v>
      </c>
      <c r="E1027" s="305"/>
      <c r="F1027" s="490"/>
      <c r="G1027" s="237" t="s">
        <v>31</v>
      </c>
      <c r="H1027" s="305"/>
      <c r="I1027" s="490" t="s">
        <v>31</v>
      </c>
      <c r="J1027" s="490"/>
      <c r="K1027" s="237" t="s">
        <v>31</v>
      </c>
      <c r="L1027" s="305"/>
      <c r="M1027" s="490" t="s">
        <v>31</v>
      </c>
      <c r="N1027" s="490"/>
      <c r="O1027" s="237" t="s">
        <v>31</v>
      </c>
      <c r="P1027" s="305"/>
      <c r="Q1027" s="490" t="s">
        <v>31</v>
      </c>
      <c r="R1027" s="490"/>
      <c r="S1027" s="237" t="s">
        <v>31</v>
      </c>
      <c r="T1027" s="305"/>
      <c r="U1027" s="490" t="s">
        <v>31</v>
      </c>
      <c r="V1027" s="1071"/>
      <c r="W1027" s="1071"/>
      <c r="X1027" s="1071"/>
      <c r="Y1027" s="31"/>
      <c r="Z1027" s="7"/>
      <c r="AA1027" s="7"/>
      <c r="AB1027" s="7"/>
      <c r="AC1027" s="7"/>
      <c r="AD1027" s="7"/>
      <c r="AE1027" s="7"/>
      <c r="AF1027" s="7"/>
      <c r="AG1027" s="7"/>
      <c r="AH1027" s="7"/>
      <c r="AI1027" s="7"/>
      <c r="AJ1027" s="7"/>
      <c r="AK1027" s="7"/>
      <c r="AL1027" s="7"/>
      <c r="AM1027" s="7"/>
      <c r="AN1027" s="7"/>
      <c r="AO1027" s="7"/>
      <c r="AP1027" s="7"/>
    </row>
    <row r="1028" spans="1:42">
      <c r="A1028" s="305"/>
      <c r="B1028" s="305"/>
      <c r="C1028" s="61"/>
      <c r="D1028" s="237" t="s">
        <v>31</v>
      </c>
      <c r="E1028" s="305"/>
      <c r="F1028" s="490"/>
      <c r="G1028" s="237" t="s">
        <v>31</v>
      </c>
      <c r="H1028" s="305"/>
      <c r="I1028" s="490" t="s">
        <v>31</v>
      </c>
      <c r="J1028" s="490"/>
      <c r="K1028" s="237" t="s">
        <v>31</v>
      </c>
      <c r="L1028" s="305"/>
      <c r="M1028" s="490" t="s">
        <v>31</v>
      </c>
      <c r="N1028" s="490"/>
      <c r="O1028" s="237" t="s">
        <v>31</v>
      </c>
      <c r="P1028" s="305"/>
      <c r="Q1028" s="490" t="s">
        <v>31</v>
      </c>
      <c r="R1028" s="490"/>
      <c r="S1028" s="237" t="s">
        <v>31</v>
      </c>
      <c r="T1028" s="305"/>
      <c r="U1028" s="490" t="s">
        <v>31</v>
      </c>
      <c r="V1028" s="295"/>
      <c r="W1028" s="295"/>
      <c r="X1028" s="295"/>
      <c r="Y1028" s="31"/>
      <c r="Z1028" s="7"/>
      <c r="AA1028" s="7"/>
      <c r="AB1028" s="7"/>
      <c r="AC1028" s="7"/>
      <c r="AD1028" s="7"/>
      <c r="AE1028" s="7"/>
      <c r="AF1028" s="7"/>
      <c r="AG1028" s="7"/>
      <c r="AH1028" s="7"/>
      <c r="AI1028" s="7"/>
      <c r="AJ1028" s="7"/>
      <c r="AK1028" s="7"/>
      <c r="AL1028" s="7"/>
      <c r="AM1028" s="7"/>
      <c r="AN1028" s="7"/>
      <c r="AO1028" s="7"/>
      <c r="AP1028" s="7"/>
    </row>
    <row r="1029" spans="1:42">
      <c r="A1029" s="305"/>
      <c r="B1029" s="305"/>
      <c r="C1029" s="61"/>
      <c r="D1029" s="237"/>
      <c r="E1029" s="305"/>
      <c r="F1029" s="490"/>
      <c r="G1029" s="237"/>
      <c r="H1029" s="305"/>
      <c r="I1029" s="237"/>
      <c r="J1029" s="237"/>
      <c r="K1029" s="237"/>
      <c r="L1029" s="305"/>
      <c r="M1029" s="237"/>
      <c r="N1029" s="237"/>
      <c r="O1029" s="237"/>
      <c r="P1029" s="305"/>
      <c r="Q1029" s="237"/>
      <c r="R1029" s="237"/>
      <c r="S1029" s="237"/>
      <c r="T1029" s="305"/>
      <c r="U1029" s="237"/>
      <c r="V1029" s="7"/>
      <c r="W1029" s="31"/>
      <c r="X1029" s="31"/>
      <c r="Y1029" s="31"/>
      <c r="Z1029" s="7"/>
      <c r="AA1029" s="7"/>
      <c r="AB1029" s="7"/>
      <c r="AC1029" s="7"/>
      <c r="AD1029" s="7"/>
      <c r="AE1029" s="7"/>
      <c r="AF1029" s="7"/>
      <c r="AG1029" s="7"/>
      <c r="AH1029" s="7"/>
      <c r="AI1029" s="7"/>
      <c r="AJ1029" s="7"/>
      <c r="AK1029" s="7"/>
      <c r="AL1029" s="7"/>
      <c r="AM1029" s="7"/>
      <c r="AN1029" s="7"/>
      <c r="AO1029" s="7"/>
      <c r="AP1029" s="7"/>
    </row>
    <row r="1030" spans="1:42">
      <c r="A1030" s="305" t="s">
        <v>464</v>
      </c>
      <c r="B1030" s="305"/>
      <c r="C1030" s="305"/>
      <c r="D1030" s="490"/>
      <c r="E1030" s="305"/>
      <c r="F1030" s="305"/>
      <c r="G1030" s="490"/>
      <c r="H1030" s="305"/>
      <c r="I1030" s="305"/>
      <c r="J1030" s="305"/>
      <c r="K1030" s="490"/>
      <c r="L1030" s="305"/>
      <c r="M1030" s="305"/>
      <c r="N1030" s="305"/>
      <c r="O1030" s="490"/>
      <c r="P1030" s="305"/>
      <c r="Q1030" s="305"/>
      <c r="R1030" s="305"/>
      <c r="S1030" s="490"/>
      <c r="T1030" s="305"/>
      <c r="U1030" s="305"/>
      <c r="V1030" s="7"/>
      <c r="W1030" s="31"/>
      <c r="X1030" s="31"/>
      <c r="Y1030" s="31"/>
      <c r="Z1030" s="7"/>
      <c r="AA1030" s="7"/>
      <c r="AB1030" s="7"/>
      <c r="AC1030" s="7"/>
      <c r="AD1030" s="7"/>
      <c r="AE1030" s="7"/>
      <c r="AF1030" s="7"/>
      <c r="AG1030" s="7"/>
      <c r="AH1030" s="7"/>
      <c r="AI1030" s="7"/>
      <c r="AJ1030" s="7"/>
      <c r="AK1030" s="7"/>
      <c r="AL1030" s="7"/>
      <c r="AM1030" s="7"/>
      <c r="AN1030" s="7"/>
      <c r="AO1030" s="7"/>
      <c r="AP1030" s="7"/>
    </row>
    <row r="1031" spans="1:42">
      <c r="A1031" s="305" t="s">
        <v>632</v>
      </c>
      <c r="B1031" s="305"/>
      <c r="C1031" s="305"/>
      <c r="D1031" s="490"/>
      <c r="E1031" s="305"/>
      <c r="F1031" s="305"/>
      <c r="G1031" s="490"/>
      <c r="H1031" s="305"/>
      <c r="I1031" s="305"/>
      <c r="J1031" s="305"/>
      <c r="K1031" s="490"/>
      <c r="L1031" s="305"/>
      <c r="M1031" s="305"/>
      <c r="N1031" s="305"/>
      <c r="O1031" s="490"/>
      <c r="P1031" s="305"/>
      <c r="Q1031" s="305"/>
      <c r="R1031" s="305"/>
      <c r="S1031" s="490"/>
      <c r="T1031" s="305"/>
      <c r="U1031" s="305"/>
      <c r="V1031" s="7"/>
      <c r="W1031" s="31"/>
      <c r="X1031" s="31"/>
      <c r="Y1031" s="31"/>
      <c r="Z1031" s="7"/>
      <c r="AA1031" s="7"/>
      <c r="AB1031" s="7"/>
      <c r="AC1031" s="7"/>
      <c r="AD1031" s="7"/>
      <c r="AE1031" s="7"/>
      <c r="AF1031" s="7"/>
      <c r="AG1031" s="7"/>
      <c r="AH1031" s="7"/>
      <c r="AI1031" s="7"/>
      <c r="AJ1031" s="7"/>
      <c r="AK1031" s="7"/>
      <c r="AL1031" s="7"/>
      <c r="AM1031" s="7"/>
      <c r="AN1031" s="7"/>
      <c r="AO1031" s="7"/>
      <c r="AP1031" s="7"/>
    </row>
    <row r="1032" spans="1:42">
      <c r="A1032" s="305" t="s">
        <v>31</v>
      </c>
      <c r="B1032" s="305"/>
      <c r="C1032" s="305"/>
      <c r="D1032" s="490"/>
      <c r="E1032" s="305"/>
      <c r="F1032" s="305"/>
      <c r="G1032" s="490"/>
      <c r="H1032" s="305"/>
      <c r="I1032" s="305"/>
      <c r="J1032" s="305"/>
      <c r="K1032" s="490"/>
      <c r="L1032" s="305"/>
      <c r="M1032" s="305"/>
      <c r="N1032" s="305"/>
      <c r="O1032" s="490"/>
      <c r="P1032" s="305"/>
      <c r="Q1032" s="305"/>
      <c r="R1032" s="305"/>
      <c r="S1032" s="490"/>
      <c r="T1032" s="305"/>
      <c r="U1032" s="305"/>
      <c r="V1032" s="7"/>
      <c r="W1032" s="31"/>
      <c r="X1032" s="31"/>
      <c r="Y1032" s="31"/>
      <c r="Z1032" s="7"/>
      <c r="AA1032" s="7"/>
      <c r="AB1032" s="7"/>
      <c r="AC1032" s="7"/>
      <c r="AD1032" s="7"/>
      <c r="AE1032" s="7"/>
      <c r="AF1032" s="7"/>
      <c r="AG1032" s="7"/>
      <c r="AH1032" s="7"/>
      <c r="AI1032" s="7"/>
      <c r="AJ1032" s="7"/>
      <c r="AK1032" s="7"/>
      <c r="AL1032" s="7"/>
      <c r="AM1032" s="7"/>
      <c r="AN1032" s="7"/>
      <c r="AO1032" s="7"/>
      <c r="AP1032" s="7"/>
    </row>
    <row r="1033" spans="1:42">
      <c r="A1033" s="305" t="s">
        <v>381</v>
      </c>
      <c r="B1033" s="305"/>
      <c r="C1033" s="61"/>
      <c r="D1033" s="490"/>
      <c r="E1033" s="305"/>
      <c r="F1033" s="305"/>
      <c r="G1033" s="490"/>
      <c r="H1033" s="305"/>
      <c r="I1033" s="305"/>
      <c r="J1033" s="305"/>
      <c r="K1033" s="490"/>
      <c r="L1033" s="305"/>
      <c r="M1033" s="305"/>
      <c r="N1033" s="305"/>
      <c r="O1033" s="490"/>
      <c r="P1033" s="305"/>
      <c r="Q1033" s="305"/>
      <c r="R1033" s="305"/>
      <c r="S1033" s="490"/>
      <c r="T1033" s="305"/>
      <c r="U1033" s="305"/>
      <c r="W1033" s="31"/>
      <c r="X1033" s="31"/>
      <c r="Y1033" s="31"/>
      <c r="Z1033" s="7"/>
      <c r="AA1033" s="7"/>
      <c r="AB1033" s="7"/>
      <c r="AC1033" s="7"/>
      <c r="AD1033" s="7"/>
      <c r="AE1033" s="7"/>
      <c r="AF1033" s="7"/>
      <c r="AG1033" s="7"/>
      <c r="AH1033" s="7"/>
      <c r="AI1033" s="7"/>
      <c r="AJ1033" s="7"/>
      <c r="AK1033" s="7"/>
      <c r="AL1033" s="7"/>
      <c r="AM1033" s="7"/>
      <c r="AN1033" s="7"/>
      <c r="AO1033" s="7"/>
      <c r="AP1033" s="7"/>
    </row>
    <row r="1034" spans="1:42">
      <c r="A1034" s="305" t="s">
        <v>459</v>
      </c>
      <c r="B1034" s="305"/>
      <c r="C1034" s="61">
        <v>108</v>
      </c>
      <c r="D1034" s="237">
        <f>D1013</f>
        <v>1477</v>
      </c>
      <c r="E1034" s="490"/>
      <c r="F1034" s="490">
        <f>ROUND(D1034*C1034,0)</f>
        <v>159516</v>
      </c>
      <c r="G1034" s="237">
        <f>G1013</f>
        <v>1477</v>
      </c>
      <c r="H1034" s="490"/>
      <c r="I1034" s="490">
        <f>ROUND(G1034*$C1034,0)</f>
        <v>159516</v>
      </c>
      <c r="J1034" s="490"/>
      <c r="K1034" s="237" t="e">
        <f>K1013</f>
        <v>#REF!</v>
      </c>
      <c r="L1034" s="490"/>
      <c r="M1034" s="490" t="e">
        <f>ROUND(K1034*$C1034,0)</f>
        <v>#REF!</v>
      </c>
      <c r="N1034" s="490"/>
      <c r="O1034" s="237" t="e">
        <f>O1013</f>
        <v>#REF!</v>
      </c>
      <c r="P1034" s="490"/>
      <c r="Q1034" s="490" t="e">
        <f>ROUND(O1034*$C1034,0)</f>
        <v>#REF!</v>
      </c>
      <c r="R1034" s="490"/>
      <c r="S1034" s="237" t="e">
        <f>S1013</f>
        <v>#REF!</v>
      </c>
      <c r="T1034" s="490"/>
      <c r="U1034" s="490" t="e">
        <f>ROUND(S1034*$C1034,0)</f>
        <v>#REF!</v>
      </c>
      <c r="V1034" s="7"/>
      <c r="W1034" s="31"/>
      <c r="X1034" s="31"/>
      <c r="Y1034" s="31"/>
      <c r="Z1034" s="7"/>
      <c r="AA1034" s="7"/>
      <c r="AB1034" s="7"/>
      <c r="AC1034" s="7"/>
      <c r="AD1034" s="7"/>
      <c r="AE1034" s="7"/>
      <c r="AF1034" s="7"/>
      <c r="AG1034" s="7"/>
      <c r="AH1034" s="7"/>
      <c r="AI1034" s="7"/>
      <c r="AJ1034" s="7"/>
      <c r="AK1034" s="7"/>
      <c r="AL1034" s="7"/>
      <c r="AM1034" s="7"/>
      <c r="AN1034" s="7"/>
      <c r="AO1034" s="7"/>
      <c r="AP1034" s="7"/>
    </row>
    <row r="1035" spans="1:42">
      <c r="A1035" s="305" t="s">
        <v>460</v>
      </c>
      <c r="B1035" s="305"/>
      <c r="C1035" s="61">
        <v>0</v>
      </c>
      <c r="D1035" s="237">
        <f>D1014</f>
        <v>1777</v>
      </c>
      <c r="E1035" s="1009"/>
      <c r="F1035" s="490">
        <f>ROUND(D1035*C1035,0)</f>
        <v>0</v>
      </c>
      <c r="G1035" s="237">
        <f>G1014</f>
        <v>1777</v>
      </c>
      <c r="H1035" s="1009"/>
      <c r="I1035" s="490">
        <f>ROUND(G1035*$C1035,0)</f>
        <v>0</v>
      </c>
      <c r="J1035" s="490"/>
      <c r="K1035" s="237" t="e">
        <f>K1014</f>
        <v>#REF!</v>
      </c>
      <c r="L1035" s="1009"/>
      <c r="M1035" s="490" t="e">
        <f>ROUND(K1035*$C1035,0)</f>
        <v>#REF!</v>
      </c>
      <c r="N1035" s="490"/>
      <c r="O1035" s="237" t="e">
        <f>O1014</f>
        <v>#REF!</v>
      </c>
      <c r="P1035" s="1009"/>
      <c r="Q1035" s="490" t="e">
        <f>ROUND(O1035*$C1035,0)</f>
        <v>#REF!</v>
      </c>
      <c r="R1035" s="490"/>
      <c r="S1035" s="237" t="e">
        <f>S1014</f>
        <v>#REF!</v>
      </c>
      <c r="T1035" s="1009"/>
      <c r="U1035" s="490" t="e">
        <f>ROUND(S1035*$C1035,0)</f>
        <v>#REF!</v>
      </c>
      <c r="V1035" s="7"/>
      <c r="W1035" s="31"/>
      <c r="X1035" s="31"/>
      <c r="Y1035" s="31"/>
      <c r="Z1035" s="7"/>
      <c r="AA1035" s="7"/>
      <c r="AB1035" s="7"/>
      <c r="AC1035" s="7"/>
      <c r="AD1035" s="7"/>
      <c r="AE1035" s="7"/>
      <c r="AF1035" s="7"/>
      <c r="AG1035" s="7"/>
      <c r="AH1035" s="7"/>
      <c r="AI1035" s="7"/>
      <c r="AJ1035" s="7"/>
      <c r="AK1035" s="7"/>
      <c r="AL1035" s="7"/>
      <c r="AM1035" s="7"/>
      <c r="AN1035" s="7"/>
      <c r="AO1035" s="7"/>
      <c r="AP1035" s="7"/>
    </row>
    <row r="1036" spans="1:42">
      <c r="A1036" s="305" t="s">
        <v>382</v>
      </c>
      <c r="B1036" s="305"/>
      <c r="C1036" s="61">
        <f>SUM(C1034:C1035)</f>
        <v>108</v>
      </c>
      <c r="D1036" s="237"/>
      <c r="E1036" s="490"/>
      <c r="F1036" s="490" t="s">
        <v>31</v>
      </c>
      <c r="G1036" s="237" t="s">
        <v>31</v>
      </c>
      <c r="H1036" s="490"/>
      <c r="I1036" s="490" t="s">
        <v>31</v>
      </c>
      <c r="J1036" s="490"/>
      <c r="K1036" s="237" t="s">
        <v>31</v>
      </c>
      <c r="L1036" s="490"/>
      <c r="M1036" s="490" t="s">
        <v>31</v>
      </c>
      <c r="N1036" s="490"/>
      <c r="O1036" s="237" t="s">
        <v>31</v>
      </c>
      <c r="P1036" s="490"/>
      <c r="Q1036" s="490" t="s">
        <v>31</v>
      </c>
      <c r="R1036" s="490"/>
      <c r="S1036" s="237" t="s">
        <v>31</v>
      </c>
      <c r="T1036" s="490"/>
      <c r="U1036" s="490" t="s">
        <v>31</v>
      </c>
      <c r="V1036" s="7"/>
      <c r="W1036" s="31"/>
      <c r="X1036" s="31"/>
      <c r="Y1036" s="31"/>
      <c r="Z1036" s="7"/>
      <c r="AA1036" s="7"/>
      <c r="AB1036" s="7"/>
      <c r="AC1036" s="7"/>
      <c r="AD1036" s="7"/>
      <c r="AE1036" s="7"/>
      <c r="AF1036" s="7"/>
      <c r="AG1036" s="7"/>
      <c r="AH1036" s="7"/>
      <c r="AI1036" s="7"/>
      <c r="AJ1036" s="7"/>
      <c r="AK1036" s="7"/>
      <c r="AL1036" s="7"/>
      <c r="AM1036" s="7"/>
      <c r="AN1036" s="7"/>
      <c r="AO1036" s="7"/>
      <c r="AP1036" s="7"/>
    </row>
    <row r="1037" spans="1:42">
      <c r="A1037" s="305" t="s">
        <v>461</v>
      </c>
      <c r="B1037" s="305"/>
      <c r="C1037" s="61">
        <v>188676</v>
      </c>
      <c r="D1037" s="237">
        <f>D1016</f>
        <v>0.57999999999999996</v>
      </c>
      <c r="E1037" s="490"/>
      <c r="F1037" s="490">
        <f>ROUND(D1037*C1037,0)</f>
        <v>109432</v>
      </c>
      <c r="G1037" s="237">
        <f>G1016</f>
        <v>0.57999999999999996</v>
      </c>
      <c r="H1037" s="490"/>
      <c r="I1037" s="490">
        <f>ROUND(G1037*$C1037,0)</f>
        <v>109432</v>
      </c>
      <c r="J1037" s="490"/>
      <c r="K1037" s="237" t="e">
        <f>K1016</f>
        <v>#REF!</v>
      </c>
      <c r="L1037" s="490"/>
      <c r="M1037" s="490" t="e">
        <f>ROUND(K1037*$C1037,0)</f>
        <v>#REF!</v>
      </c>
      <c r="N1037" s="490"/>
      <c r="O1037" s="237" t="e">
        <f>O1016</f>
        <v>#REF!</v>
      </c>
      <c r="P1037" s="490"/>
      <c r="Q1037" s="490" t="e">
        <f>ROUND(O1037*$C1037,0)</f>
        <v>#REF!</v>
      </c>
      <c r="R1037" s="490"/>
      <c r="S1037" s="237" t="e">
        <f>S1016</f>
        <v>#REF!</v>
      </c>
      <c r="T1037" s="490"/>
      <c r="U1037" s="490" t="e">
        <f>ROUND(S1037*$C1037,0)</f>
        <v>#REF!</v>
      </c>
      <c r="V1037" s="7" t="s">
        <v>31</v>
      </c>
      <c r="W1037" s="31"/>
      <c r="X1037" s="31" t="s">
        <v>31</v>
      </c>
      <c r="Y1037" s="31"/>
      <c r="Z1037" s="7"/>
      <c r="AA1037" s="7"/>
      <c r="AB1037" s="7"/>
      <c r="AC1037" s="7"/>
      <c r="AD1037" s="7"/>
      <c r="AE1037" s="7"/>
      <c r="AF1037" s="7"/>
      <c r="AG1037" s="7"/>
      <c r="AH1037" s="7"/>
      <c r="AI1037" s="7"/>
      <c r="AJ1037" s="7"/>
      <c r="AK1037" s="7"/>
      <c r="AL1037" s="7"/>
      <c r="AM1037" s="7"/>
      <c r="AN1037" s="7"/>
      <c r="AO1037" s="7"/>
      <c r="AP1037" s="7"/>
    </row>
    <row r="1038" spans="1:42">
      <c r="A1038" s="305" t="s">
        <v>462</v>
      </c>
      <c r="B1038" s="305"/>
      <c r="C1038" s="61">
        <v>0</v>
      </c>
      <c r="D1038" s="237">
        <f t="shared" ref="D1038:D1039" si="180">D1017</f>
        <v>0.47</v>
      </c>
      <c r="E1038" s="490"/>
      <c r="F1038" s="490">
        <f>ROUND(D1038*C1038,0)</f>
        <v>0</v>
      </c>
      <c r="G1038" s="237">
        <f>G1017</f>
        <v>0.47</v>
      </c>
      <c r="H1038" s="490"/>
      <c r="I1038" s="490">
        <f>ROUND(G1038*$C1038,0)</f>
        <v>0</v>
      </c>
      <c r="J1038" s="490"/>
      <c r="K1038" s="237" t="e">
        <f>K1017</f>
        <v>#REF!</v>
      </c>
      <c r="L1038" s="490"/>
      <c r="M1038" s="490" t="e">
        <f>ROUND(K1038*$C1038,0)</f>
        <v>#REF!</v>
      </c>
      <c r="N1038" s="490"/>
      <c r="O1038" s="237" t="e">
        <f>O1017</f>
        <v>#REF!</v>
      </c>
      <c r="P1038" s="490"/>
      <c r="Q1038" s="490" t="e">
        <f>ROUND(O1038*$C1038,0)</f>
        <v>#REF!</v>
      </c>
      <c r="R1038" s="490"/>
      <c r="S1038" s="237" t="e">
        <f>S1017</f>
        <v>#REF!</v>
      </c>
      <c r="T1038" s="490"/>
      <c r="U1038" s="490" t="e">
        <f>ROUND(S1038*$C1038,0)</f>
        <v>#REF!</v>
      </c>
      <c r="V1038" s="7"/>
      <c r="W1038" s="31"/>
      <c r="X1038" s="31"/>
      <c r="Y1038" s="31"/>
      <c r="Z1038" s="7"/>
      <c r="AA1038" s="7"/>
      <c r="AB1038" s="7"/>
      <c r="AC1038" s="7"/>
      <c r="AD1038" s="7"/>
      <c r="AE1038" s="7"/>
      <c r="AF1038" s="7"/>
      <c r="AG1038" s="7"/>
      <c r="AH1038" s="7"/>
      <c r="AI1038" s="7"/>
      <c r="AJ1038" s="7"/>
      <c r="AK1038" s="7"/>
      <c r="AL1038" s="7"/>
      <c r="AM1038" s="7"/>
      <c r="AN1038" s="7"/>
      <c r="AO1038" s="7"/>
      <c r="AP1038" s="7"/>
    </row>
    <row r="1039" spans="1:42">
      <c r="A1039" s="305" t="s">
        <v>391</v>
      </c>
      <c r="B1039" s="305"/>
      <c r="C1039" s="61">
        <v>151913</v>
      </c>
      <c r="D1039" s="237">
        <f t="shared" si="180"/>
        <v>7.98</v>
      </c>
      <c r="E1039" s="490"/>
      <c r="F1039" s="490">
        <f>ROUND(D1039*C1039,0)</f>
        <v>1212266</v>
      </c>
      <c r="G1039" s="237">
        <f>G1018</f>
        <v>7.9700000000000006</v>
      </c>
      <c r="H1039" s="490"/>
      <c r="I1039" s="490">
        <f>ROUND(G1039*$C1039,0)</f>
        <v>1210747</v>
      </c>
      <c r="J1039" s="490"/>
      <c r="K1039" s="237" t="e">
        <f>K1018</f>
        <v>#REF!</v>
      </c>
      <c r="L1039" s="490"/>
      <c r="M1039" s="490" t="e">
        <f>ROUND(K1039*$C1039,0)</f>
        <v>#REF!</v>
      </c>
      <c r="N1039" s="490"/>
      <c r="O1039" s="237" t="e">
        <f>O1018</f>
        <v>#REF!</v>
      </c>
      <c r="P1039" s="490"/>
      <c r="Q1039" s="490" t="e">
        <f>ROUND(O1039*$C1039,0)</f>
        <v>#REF!</v>
      </c>
      <c r="R1039" s="490"/>
      <c r="S1039" s="237" t="e">
        <f>S1018</f>
        <v>#REF!</v>
      </c>
      <c r="T1039" s="490"/>
      <c r="U1039" s="490" t="e">
        <f>ROUND(S1039*$C1039,0)</f>
        <v>#REF!</v>
      </c>
      <c r="V1039" s="7"/>
      <c r="W1039" s="31"/>
      <c r="X1039" s="31"/>
      <c r="Y1039" s="31"/>
      <c r="Z1039" s="7"/>
      <c r="AA1039" s="7"/>
      <c r="AB1039" s="7"/>
      <c r="AC1039" s="7"/>
      <c r="AD1039" s="7"/>
      <c r="AE1039" s="7"/>
      <c r="AF1039" s="7"/>
      <c r="AG1039" s="7"/>
      <c r="AH1039" s="7"/>
      <c r="AI1039" s="7"/>
      <c r="AJ1039" s="7"/>
      <c r="AK1039" s="7"/>
      <c r="AL1039" s="7"/>
      <c r="AM1039" s="7"/>
      <c r="AN1039" s="7"/>
      <c r="AO1039" s="7"/>
      <c r="AP1039" s="7"/>
    </row>
    <row r="1040" spans="1:42">
      <c r="A1040" s="305" t="s">
        <v>414</v>
      </c>
      <c r="B1040" s="305"/>
      <c r="C1040" s="61"/>
      <c r="D1040" s="237" t="s">
        <v>31</v>
      </c>
      <c r="E1040" s="490"/>
      <c r="F1040" s="490"/>
      <c r="G1040" s="237" t="s">
        <v>31</v>
      </c>
      <c r="H1040" s="490"/>
      <c r="I1040" s="490"/>
      <c r="J1040" s="490"/>
      <c r="K1040" s="237" t="s">
        <v>31</v>
      </c>
      <c r="L1040" s="490"/>
      <c r="M1040" s="490"/>
      <c r="N1040" s="490"/>
      <c r="O1040" s="237" t="s">
        <v>31</v>
      </c>
      <c r="P1040" s="490"/>
      <c r="Q1040" s="490"/>
      <c r="R1040" s="490"/>
      <c r="S1040" s="237" t="s">
        <v>31</v>
      </c>
      <c r="T1040" s="490"/>
      <c r="U1040" s="490"/>
      <c r="V1040" s="7"/>
      <c r="W1040" s="31"/>
      <c r="X1040" s="31"/>
      <c r="Y1040" s="31"/>
      <c r="Z1040" s="7"/>
      <c r="AA1040" s="7"/>
      <c r="AB1040" s="7"/>
      <c r="AC1040" s="7"/>
      <c r="AD1040" s="7"/>
      <c r="AE1040" s="7"/>
      <c r="AF1040" s="7"/>
      <c r="AG1040" s="7"/>
      <c r="AH1040" s="7"/>
      <c r="AI1040" s="7"/>
      <c r="AJ1040" s="7"/>
      <c r="AK1040" s="7"/>
      <c r="AL1040" s="7"/>
      <c r="AM1040" s="7"/>
      <c r="AN1040" s="7"/>
      <c r="AO1040" s="7"/>
      <c r="AP1040" s="7"/>
    </row>
    <row r="1041" spans="1:44">
      <c r="A1041" s="305" t="s">
        <v>452</v>
      </c>
      <c r="B1041" s="305"/>
      <c r="C1041" s="61">
        <v>65474022.809296638</v>
      </c>
      <c r="D1041" s="1059">
        <f>D1020</f>
        <v>4.798</v>
      </c>
      <c r="E1041" s="490" t="s">
        <v>362</v>
      </c>
      <c r="F1041" s="490">
        <f>ROUND(D1041/100*C1041,0)</f>
        <v>3141444</v>
      </c>
      <c r="G1041" s="1059">
        <f>G1020</f>
        <v>4.798</v>
      </c>
      <c r="H1041" s="490" t="s">
        <v>362</v>
      </c>
      <c r="I1041" s="490">
        <f>ROUND(G1041/100*$C1041,0)</f>
        <v>3141444</v>
      </c>
      <c r="J1041" s="490"/>
      <c r="K1041" s="1059" t="e">
        <f>K1020</f>
        <v>#REF!</v>
      </c>
      <c r="L1041" s="490" t="s">
        <v>362</v>
      </c>
      <c r="M1041" s="490" t="e">
        <f>ROUND(K1041/100*$C1041,0)</f>
        <v>#REF!</v>
      </c>
      <c r="N1041" s="490"/>
      <c r="O1041" s="1059" t="e">
        <f>O1020</f>
        <v>#REF!</v>
      </c>
      <c r="P1041" s="490" t="s">
        <v>362</v>
      </c>
      <c r="Q1041" s="490" t="e">
        <f>ROUND(O1041/100*$C1041,0)</f>
        <v>#REF!</v>
      </c>
      <c r="R1041" s="490"/>
      <c r="S1041" s="1059" t="e">
        <f>S1020</f>
        <v>#REF!</v>
      </c>
      <c r="T1041" s="490" t="s">
        <v>362</v>
      </c>
      <c r="U1041" s="490" t="e">
        <f>ROUND(S1041/100*$C1041,0)</f>
        <v>#REF!</v>
      </c>
      <c r="V1041" s="7"/>
      <c r="W1041" s="31"/>
      <c r="X1041" s="31"/>
      <c r="Y1041" s="31"/>
      <c r="Z1041" s="7"/>
      <c r="AA1041" s="7"/>
      <c r="AB1041" s="7"/>
      <c r="AC1041" s="7"/>
      <c r="AD1041" s="7"/>
      <c r="AE1041" s="7"/>
      <c r="AF1041" s="7"/>
      <c r="AG1041" s="7"/>
      <c r="AH1041" s="7"/>
      <c r="AI1041" s="7"/>
      <c r="AJ1041" s="7"/>
      <c r="AK1041" s="7"/>
      <c r="AL1041" s="7"/>
      <c r="AM1041" s="7"/>
      <c r="AN1041" s="7"/>
      <c r="AO1041" s="7"/>
      <c r="AP1041" s="7"/>
    </row>
    <row r="1042" spans="1:44">
      <c r="A1042" s="305" t="s">
        <v>388</v>
      </c>
      <c r="B1042" s="305"/>
      <c r="C1042" s="61">
        <v>12663</v>
      </c>
      <c r="D1042" s="237">
        <f>D1021</f>
        <v>0.56000000000000005</v>
      </c>
      <c r="E1042" s="490"/>
      <c r="F1042" s="490">
        <f>ROUND(D1042*C1042,0)</f>
        <v>7091</v>
      </c>
      <c r="G1042" s="237">
        <f>G1021</f>
        <v>0.56000000000000005</v>
      </c>
      <c r="H1042" s="490"/>
      <c r="I1042" s="490">
        <f>ROUND(G1042*$C1042,0)</f>
        <v>7091</v>
      </c>
      <c r="J1042" s="490"/>
      <c r="K1042" s="237" t="e">
        <f>K1021</f>
        <v>#REF!</v>
      </c>
      <c r="L1042" s="490"/>
      <c r="M1042" s="490" t="e">
        <f>ROUND(K1042*$C1042,0)</f>
        <v>#REF!</v>
      </c>
      <c r="N1042" s="490"/>
      <c r="O1042" s="237" t="e">
        <f>O1021</f>
        <v>#REF!</v>
      </c>
      <c r="P1042" s="490"/>
      <c r="Q1042" s="490" t="e">
        <f>ROUND(O1042*$C1042,0)</f>
        <v>#REF!</v>
      </c>
      <c r="R1042" s="490"/>
      <c r="S1042" s="237" t="e">
        <f>S1021</f>
        <v>#REF!</v>
      </c>
      <c r="T1042" s="490"/>
      <c r="U1042" s="490" t="e">
        <f>ROUND(S1042*$C1042,0)</f>
        <v>#REF!</v>
      </c>
      <c r="V1042" s="7"/>
      <c r="W1042" s="31"/>
      <c r="X1042" s="31"/>
      <c r="Y1042" s="31"/>
      <c r="Z1042" s="7"/>
      <c r="AA1042" s="7"/>
      <c r="AB1042" s="7"/>
      <c r="AC1042" s="7"/>
      <c r="AD1042" s="7"/>
      <c r="AE1042" s="7"/>
      <c r="AF1042" s="7"/>
      <c r="AG1042" s="7"/>
      <c r="AH1042" s="7"/>
      <c r="AI1042" s="7"/>
      <c r="AJ1042" s="7"/>
      <c r="AK1042" s="7"/>
      <c r="AL1042" s="7"/>
      <c r="AM1042" s="7"/>
      <c r="AN1042" s="7"/>
      <c r="AO1042" s="7"/>
      <c r="AP1042" s="7"/>
    </row>
    <row r="1043" spans="1:44" s="588" customFormat="1" hidden="1">
      <c r="A1043" s="588" t="s">
        <v>774</v>
      </c>
      <c r="C1043" s="631">
        <f>C1041</f>
        <v>65474022.809296638</v>
      </c>
      <c r="D1043" s="990">
        <v>0</v>
      </c>
      <c r="E1043" s="635"/>
      <c r="F1043" s="616"/>
      <c r="G1043" s="987">
        <f>G1022</f>
        <v>0</v>
      </c>
      <c r="H1043" s="616" t="s">
        <v>362</v>
      </c>
      <c r="I1043" s="616">
        <f>ROUND(G1043/100*$C1043,0)</f>
        <v>0</v>
      </c>
      <c r="J1043" s="616"/>
      <c r="K1043" s="987" t="e">
        <f>K1022</f>
        <v>#REF!</v>
      </c>
      <c r="L1043" s="616" t="s">
        <v>362</v>
      </c>
      <c r="M1043" s="616" t="e">
        <f>ROUND(K1043/100*$C1043,0)</f>
        <v>#REF!</v>
      </c>
      <c r="N1043" s="616"/>
      <c r="O1043" s="987" t="e">
        <f>O1022</f>
        <v>#REF!</v>
      </c>
      <c r="P1043" s="616" t="s">
        <v>362</v>
      </c>
      <c r="Q1043" s="616" t="e">
        <f>ROUND(O1043/100*$C1043,0)</f>
        <v>#REF!</v>
      </c>
      <c r="R1043" s="616"/>
      <c r="S1043" s="987" t="e">
        <f>S1022</f>
        <v>#REF!</v>
      </c>
      <c r="T1043" s="616" t="s">
        <v>362</v>
      </c>
      <c r="U1043" s="616" t="e">
        <f>ROUND(S1043/100*$C1043,0)</f>
        <v>#REF!</v>
      </c>
      <c r="W1043" s="450"/>
      <c r="Z1043" s="989"/>
      <c r="AA1043" s="989"/>
      <c r="AF1043" s="635"/>
      <c r="AG1043" s="635"/>
      <c r="AH1043" s="635"/>
      <c r="AI1043" s="635"/>
      <c r="AJ1043" s="635"/>
      <c r="AK1043" s="635"/>
      <c r="AL1043" s="635"/>
      <c r="AM1043" s="635"/>
      <c r="AN1043" s="635"/>
      <c r="AO1043" s="635"/>
      <c r="AP1043" s="635"/>
      <c r="AR1043" s="988"/>
    </row>
    <row r="1044" spans="1:44">
      <c r="A1044" s="305" t="s">
        <v>369</v>
      </c>
      <c r="B1044" s="305"/>
      <c r="C1044" s="61">
        <f>C1041</f>
        <v>65474022.809296638</v>
      </c>
      <c r="D1044" s="1021"/>
      <c r="E1044" s="305"/>
      <c r="F1044" s="490">
        <f>SUM(F1034:F1042)</f>
        <v>4629749</v>
      </c>
      <c r="G1044" s="1021"/>
      <c r="H1044" s="305"/>
      <c r="I1044" s="490">
        <f>SUM(I1034:I1043)</f>
        <v>4628230</v>
      </c>
      <c r="J1044" s="490"/>
      <c r="K1044" s="1021"/>
      <c r="L1044" s="305"/>
      <c r="M1044" s="490" t="e">
        <f>SUM(M1034:M1043)</f>
        <v>#REF!</v>
      </c>
      <c r="N1044" s="490"/>
      <c r="O1044" s="1021"/>
      <c r="P1044" s="305"/>
      <c r="Q1044" s="490" t="e">
        <f>SUM(Q1034:Q1043)</f>
        <v>#REF!</v>
      </c>
      <c r="R1044" s="490"/>
      <c r="S1044" s="1021"/>
      <c r="T1044" s="305"/>
      <c r="U1044" s="490" t="e">
        <f>SUM(U1034:U1043)</f>
        <v>#REF!</v>
      </c>
      <c r="V1044" s="7"/>
      <c r="W1044" s="31"/>
      <c r="X1044" s="31"/>
      <c r="Y1044" s="31"/>
      <c r="Z1044" s="7"/>
      <c r="AA1044" s="7"/>
      <c r="AB1044" s="7"/>
      <c r="AC1044" s="7"/>
      <c r="AD1044" s="7"/>
      <c r="AE1044" s="7"/>
      <c r="AF1044" s="7"/>
      <c r="AG1044" s="7"/>
      <c r="AH1044" s="7"/>
      <c r="AI1044" s="7"/>
      <c r="AJ1044" s="7"/>
      <c r="AK1044" s="7"/>
      <c r="AL1044" s="7"/>
      <c r="AM1044" s="7"/>
      <c r="AN1044" s="7"/>
      <c r="AO1044" s="7"/>
      <c r="AP1044" s="7"/>
    </row>
    <row r="1045" spans="1:44">
      <c r="A1045" s="305" t="s">
        <v>351</v>
      </c>
      <c r="B1045" s="305"/>
      <c r="C1045" s="61">
        <f>C1044/($C$986+$C$1044)*$C$1081</f>
        <v>601574.79894335207</v>
      </c>
      <c r="D1045" s="305"/>
      <c r="E1045" s="305"/>
      <c r="F1045" s="993">
        <f>F1044/($F$986+$F$1044)*$F$1081</f>
        <v>61217.249160770778</v>
      </c>
      <c r="G1045" s="305"/>
      <c r="H1045" s="305"/>
      <c r="I1045" s="993">
        <f>F1045</f>
        <v>61217.249160770778</v>
      </c>
      <c r="J1045" s="723"/>
      <c r="K1045" s="305"/>
      <c r="L1045" s="305"/>
      <c r="M1045" s="993" t="e">
        <f>$I$1045*V1028/(V1028+$W$1028+$X$1028)</f>
        <v>#DIV/0!</v>
      </c>
      <c r="N1045" s="723"/>
      <c r="O1045" s="305"/>
      <c r="P1045" s="305"/>
      <c r="Q1045" s="993" t="e">
        <f>$I$1045*W1028/(V1028+$W$1028+$X$1028)</f>
        <v>#DIV/0!</v>
      </c>
      <c r="R1045" s="723"/>
      <c r="S1045" s="305"/>
      <c r="T1045" s="305"/>
      <c r="U1045" s="993" t="e">
        <f>$I$1045*X1028/(V1028+$W$1028+$X$1028)</f>
        <v>#DIV/0!</v>
      </c>
      <c r="V1045" s="714"/>
      <c r="W1045" s="171"/>
      <c r="X1045" s="31"/>
      <c r="Y1045" s="31"/>
      <c r="Z1045" s="7"/>
      <c r="AA1045" s="7"/>
      <c r="AB1045" s="7"/>
      <c r="AC1045" s="7"/>
      <c r="AD1045" s="7"/>
      <c r="AE1045" s="7"/>
      <c r="AF1045" s="7"/>
      <c r="AG1045" s="7"/>
      <c r="AH1045" s="7"/>
      <c r="AI1045" s="7"/>
      <c r="AJ1045" s="7"/>
      <c r="AK1045" s="7"/>
      <c r="AL1045" s="7"/>
      <c r="AM1045" s="7"/>
      <c r="AN1045" s="7"/>
      <c r="AO1045" s="7"/>
      <c r="AP1045" s="7"/>
    </row>
    <row r="1046" spans="1:44" ht="16.5" thickBot="1">
      <c r="A1046" s="305" t="s">
        <v>370</v>
      </c>
      <c r="B1046" s="305"/>
      <c r="C1046" s="994">
        <f>SUM(C1044)+C1045</f>
        <v>66075597.608239993</v>
      </c>
      <c r="D1046" s="1036"/>
      <c r="E1046" s="1030"/>
      <c r="F1046" s="995">
        <f>F1044+F1045</f>
        <v>4690966.2491607703</v>
      </c>
      <c r="G1046" s="1036"/>
      <c r="H1046" s="1030"/>
      <c r="I1046" s="995">
        <f>I1044+I1045</f>
        <v>4689447.2491607703</v>
      </c>
      <c r="J1046" s="723"/>
      <c r="K1046" s="1036"/>
      <c r="L1046" s="1030"/>
      <c r="M1046" s="995" t="e">
        <f>M1044+M1045</f>
        <v>#REF!</v>
      </c>
      <c r="N1046" s="995"/>
      <c r="O1046" s="1036"/>
      <c r="P1046" s="1030"/>
      <c r="Q1046" s="995" t="e">
        <f>Q1044+Q1045</f>
        <v>#REF!</v>
      </c>
      <c r="R1046" s="995"/>
      <c r="S1046" s="1036"/>
      <c r="T1046" s="1030"/>
      <c r="U1046" s="995" t="e">
        <f>U1044+U1045</f>
        <v>#REF!</v>
      </c>
      <c r="V1046" s="295" t="s">
        <v>31</v>
      </c>
      <c r="W1046" s="354"/>
      <c r="X1046" s="31"/>
      <c r="Y1046" s="31"/>
      <c r="Z1046" s="446" t="s">
        <v>31</v>
      </c>
      <c r="AA1046" s="7"/>
      <c r="AB1046" s="7"/>
      <c r="AC1046" s="7"/>
      <c r="AD1046" s="7"/>
      <c r="AE1046" s="7"/>
      <c r="AF1046" s="7"/>
      <c r="AG1046" s="7"/>
      <c r="AH1046" s="7"/>
      <c r="AI1046" s="7"/>
      <c r="AJ1046" s="7"/>
      <c r="AK1046" s="7"/>
      <c r="AL1046" s="7"/>
      <c r="AM1046" s="7"/>
      <c r="AN1046" s="7"/>
      <c r="AO1046" s="7"/>
      <c r="AP1046" s="7"/>
    </row>
    <row r="1047" spans="1:44" ht="16.5" thickTop="1">
      <c r="A1047" s="305"/>
      <c r="B1047" s="305"/>
      <c r="C1047" s="61"/>
      <c r="D1047" s="237" t="s">
        <v>31</v>
      </c>
      <c r="E1047" s="305"/>
      <c r="F1047" s="490"/>
      <c r="G1047" s="237" t="s">
        <v>31</v>
      </c>
      <c r="H1047" s="305"/>
      <c r="I1047" s="490" t="s">
        <v>31</v>
      </c>
      <c r="J1047" s="490"/>
      <c r="K1047" s="237" t="s">
        <v>31</v>
      </c>
      <c r="L1047" s="305"/>
      <c r="M1047" s="490" t="s">
        <v>31</v>
      </c>
      <c r="N1047" s="490"/>
      <c r="O1047" s="237" t="s">
        <v>31</v>
      </c>
      <c r="P1047" s="305"/>
      <c r="Q1047" s="490" t="s">
        <v>31</v>
      </c>
      <c r="R1047" s="490"/>
      <c r="S1047" s="237" t="s">
        <v>31</v>
      </c>
      <c r="T1047" s="305"/>
      <c r="U1047" s="490" t="s">
        <v>31</v>
      </c>
      <c r="V1047" s="7"/>
      <c r="W1047" s="31"/>
      <c r="X1047" s="31"/>
      <c r="Y1047" s="31"/>
      <c r="Z1047" s="7"/>
      <c r="AA1047" s="7"/>
      <c r="AB1047" s="7"/>
      <c r="AC1047" s="7"/>
      <c r="AD1047" s="7"/>
      <c r="AE1047" s="7"/>
      <c r="AF1047" s="7"/>
      <c r="AG1047" s="7"/>
      <c r="AH1047" s="7"/>
      <c r="AI1047" s="7"/>
      <c r="AJ1047" s="7"/>
      <c r="AK1047" s="7"/>
      <c r="AL1047" s="7"/>
      <c r="AM1047" s="7"/>
      <c r="AN1047" s="7"/>
      <c r="AO1047" s="7"/>
      <c r="AP1047" s="7"/>
    </row>
    <row r="1048" spans="1:44">
      <c r="A1048" s="305" t="s">
        <v>464</v>
      </c>
      <c r="B1048" s="305"/>
      <c r="C1048" s="305"/>
      <c r="D1048" s="490"/>
      <c r="E1048" s="305"/>
      <c r="F1048" s="305"/>
      <c r="G1048" s="490"/>
      <c r="H1048" s="305"/>
      <c r="I1048" s="305"/>
      <c r="J1048" s="305"/>
      <c r="K1048" s="490"/>
      <c r="L1048" s="305"/>
      <c r="M1048" s="305"/>
      <c r="N1048" s="305"/>
      <c r="O1048" s="490"/>
      <c r="P1048" s="305"/>
      <c r="Q1048" s="305"/>
      <c r="R1048" s="305"/>
      <c r="S1048" s="490"/>
      <c r="T1048" s="305"/>
      <c r="U1048" s="305"/>
      <c r="V1048" s="7"/>
      <c r="W1048" s="31"/>
      <c r="X1048" s="31"/>
      <c r="Y1048" s="31"/>
      <c r="Z1048" s="7"/>
      <c r="AA1048" s="7"/>
      <c r="AB1048" s="7"/>
      <c r="AC1048" s="7"/>
      <c r="AD1048" s="7"/>
      <c r="AE1048" s="7"/>
      <c r="AF1048" s="7"/>
      <c r="AG1048" s="7"/>
      <c r="AH1048" s="7"/>
      <c r="AI1048" s="7"/>
      <c r="AJ1048" s="7"/>
      <c r="AK1048" s="7"/>
      <c r="AL1048" s="7"/>
      <c r="AM1048" s="7"/>
      <c r="AN1048" s="7"/>
      <c r="AO1048" s="7"/>
      <c r="AP1048" s="7"/>
    </row>
    <row r="1049" spans="1:44">
      <c r="A1049" s="305" t="s">
        <v>631</v>
      </c>
      <c r="B1049" s="305"/>
      <c r="C1049" s="305"/>
      <c r="D1049" s="490"/>
      <c r="E1049" s="305"/>
      <c r="F1049" s="305"/>
      <c r="G1049" s="490"/>
      <c r="H1049" s="305"/>
      <c r="I1049" s="305"/>
      <c r="J1049" s="305"/>
      <c r="K1049" s="490"/>
      <c r="L1049" s="305"/>
      <c r="M1049" s="305"/>
      <c r="N1049" s="305"/>
      <c r="O1049" s="490"/>
      <c r="P1049" s="305"/>
      <c r="Q1049" s="305"/>
      <c r="R1049" s="305"/>
      <c r="S1049" s="490"/>
      <c r="T1049" s="305"/>
      <c r="U1049" s="305"/>
      <c r="V1049" s="7"/>
      <c r="W1049" s="31"/>
      <c r="X1049" s="31"/>
      <c r="Y1049" s="31"/>
      <c r="Z1049" s="7"/>
      <c r="AA1049" s="7"/>
      <c r="AB1049" s="7"/>
      <c r="AC1049" s="7"/>
      <c r="AD1049" s="7"/>
      <c r="AE1049" s="7"/>
      <c r="AF1049" s="7"/>
      <c r="AG1049" s="7"/>
      <c r="AH1049" s="7"/>
      <c r="AI1049" s="7"/>
      <c r="AJ1049" s="7"/>
      <c r="AK1049" s="7"/>
      <c r="AL1049" s="7"/>
      <c r="AM1049" s="7"/>
      <c r="AN1049" s="7"/>
      <c r="AO1049" s="7"/>
      <c r="AP1049" s="7"/>
    </row>
    <row r="1050" spans="1:44">
      <c r="A1050" s="305" t="s">
        <v>31</v>
      </c>
      <c r="B1050" s="305"/>
      <c r="C1050" s="305"/>
      <c r="D1050" s="490"/>
      <c r="E1050" s="305"/>
      <c r="F1050" s="305"/>
      <c r="G1050" s="490"/>
      <c r="H1050" s="305"/>
      <c r="I1050" s="305"/>
      <c r="J1050" s="305"/>
      <c r="K1050" s="490"/>
      <c r="L1050" s="305"/>
      <c r="M1050" s="305"/>
      <c r="N1050" s="305"/>
      <c r="O1050" s="490"/>
      <c r="P1050" s="305"/>
      <c r="Q1050" s="305"/>
      <c r="R1050" s="305"/>
      <c r="S1050" s="490"/>
      <c r="T1050" s="305"/>
      <c r="U1050" s="305"/>
      <c r="V1050" s="7"/>
      <c r="W1050" s="31"/>
      <c r="X1050" s="31"/>
      <c r="Y1050" s="31"/>
      <c r="Z1050" s="7"/>
      <c r="AA1050" s="7"/>
      <c r="AB1050" s="7"/>
      <c r="AC1050" s="7"/>
      <c r="AD1050" s="7"/>
      <c r="AE1050" s="7"/>
      <c r="AF1050" s="7"/>
      <c r="AG1050" s="7"/>
      <c r="AH1050" s="7"/>
      <c r="AI1050" s="7"/>
      <c r="AJ1050" s="7"/>
      <c r="AK1050" s="7"/>
      <c r="AL1050" s="7"/>
      <c r="AM1050" s="7"/>
      <c r="AN1050" s="7"/>
      <c r="AO1050" s="7"/>
      <c r="AP1050" s="7"/>
    </row>
    <row r="1051" spans="1:44">
      <c r="A1051" s="305" t="s">
        <v>381</v>
      </c>
      <c r="B1051" s="305"/>
      <c r="C1051" s="61"/>
      <c r="D1051" s="490"/>
      <c r="E1051" s="305"/>
      <c r="F1051" s="305"/>
      <c r="G1051" s="490"/>
      <c r="H1051" s="305"/>
      <c r="I1051" s="305"/>
      <c r="J1051" s="305"/>
      <c r="K1051" s="490"/>
      <c r="L1051" s="305"/>
      <c r="M1051" s="305"/>
      <c r="N1051" s="305"/>
      <c r="O1051" s="490"/>
      <c r="P1051" s="305"/>
      <c r="Q1051" s="305"/>
      <c r="R1051" s="305"/>
      <c r="S1051" s="490"/>
      <c r="T1051" s="305"/>
      <c r="U1051" s="305"/>
      <c r="W1051" s="31"/>
      <c r="X1051" s="31"/>
      <c r="Y1051" s="31"/>
      <c r="Z1051" s="7"/>
      <c r="AA1051" s="7"/>
      <c r="AB1051" s="7"/>
      <c r="AC1051" s="7"/>
      <c r="AD1051" s="7"/>
      <c r="AE1051" s="7"/>
      <c r="AF1051" s="7"/>
      <c r="AG1051" s="7"/>
      <c r="AH1051" s="7"/>
      <c r="AI1051" s="7"/>
      <c r="AJ1051" s="7"/>
      <c r="AK1051" s="7"/>
      <c r="AL1051" s="7"/>
      <c r="AM1051" s="7"/>
      <c r="AN1051" s="7"/>
      <c r="AO1051" s="7"/>
      <c r="AP1051" s="7"/>
    </row>
    <row r="1052" spans="1:44">
      <c r="A1052" s="305" t="s">
        <v>459</v>
      </c>
      <c r="B1052" s="305"/>
      <c r="C1052" s="61">
        <v>24</v>
      </c>
      <c r="D1052" s="237">
        <f>D1013</f>
        <v>1477</v>
      </c>
      <c r="E1052" s="490"/>
      <c r="F1052" s="490">
        <f>ROUND(D1052*C1052,0)</f>
        <v>35448</v>
      </c>
      <c r="G1052" s="237">
        <f>G1013</f>
        <v>1477</v>
      </c>
      <c r="H1052" s="490"/>
      <c r="I1052" s="490">
        <f>ROUND(G1052*$C1052,0)</f>
        <v>35448</v>
      </c>
      <c r="J1052" s="490"/>
      <c r="K1052" s="237" t="e">
        <f>K1013</f>
        <v>#REF!</v>
      </c>
      <c r="L1052" s="490"/>
      <c r="M1052" s="490" t="e">
        <f>ROUND(K1052*$C1052,0)</f>
        <v>#REF!</v>
      </c>
      <c r="N1052" s="490"/>
      <c r="O1052" s="237" t="e">
        <f>O1013</f>
        <v>#REF!</v>
      </c>
      <c r="P1052" s="490"/>
      <c r="Q1052" s="490" t="e">
        <f>ROUND(O1052*$C1052,0)</f>
        <v>#REF!</v>
      </c>
      <c r="R1052" s="490"/>
      <c r="S1052" s="237" t="e">
        <f>S1013</f>
        <v>#REF!</v>
      </c>
      <c r="T1052" s="490"/>
      <c r="U1052" s="490" t="e">
        <f>ROUND(S1052*$C1052,0)</f>
        <v>#REF!</v>
      </c>
      <c r="V1052" s="7"/>
      <c r="W1052" s="31"/>
      <c r="X1052" s="31"/>
      <c r="Y1052" s="31"/>
      <c r="Z1052" s="7"/>
      <c r="AA1052" s="7"/>
      <c r="AB1052" s="7"/>
      <c r="AC1052" s="7"/>
      <c r="AD1052" s="7"/>
      <c r="AE1052" s="7"/>
      <c r="AF1052" s="7"/>
      <c r="AG1052" s="7"/>
      <c r="AH1052" s="7"/>
      <c r="AI1052" s="7"/>
      <c r="AJ1052" s="7"/>
      <c r="AK1052" s="7"/>
      <c r="AL1052" s="7"/>
      <c r="AM1052" s="7"/>
      <c r="AN1052" s="7"/>
      <c r="AO1052" s="7"/>
      <c r="AP1052" s="7"/>
    </row>
    <row r="1053" spans="1:44">
      <c r="A1053" s="305" t="s">
        <v>460</v>
      </c>
      <c r="B1053" s="305"/>
      <c r="C1053" s="61">
        <v>0</v>
      </c>
      <c r="D1053" s="237">
        <f>D1014</f>
        <v>1777</v>
      </c>
      <c r="E1053" s="1009"/>
      <c r="F1053" s="490">
        <f>ROUND(D1053*C1053,0)</f>
        <v>0</v>
      </c>
      <c r="G1053" s="237">
        <f>G1014</f>
        <v>1777</v>
      </c>
      <c r="H1053" s="1009"/>
      <c r="I1053" s="490">
        <f>ROUND(G1053*$C1053,0)</f>
        <v>0</v>
      </c>
      <c r="J1053" s="490"/>
      <c r="K1053" s="237" t="e">
        <f>K1014</f>
        <v>#REF!</v>
      </c>
      <c r="L1053" s="1009"/>
      <c r="M1053" s="490" t="e">
        <f>ROUND(K1053*$C1053,0)</f>
        <v>#REF!</v>
      </c>
      <c r="N1053" s="490"/>
      <c r="O1053" s="237" t="e">
        <f>O1014</f>
        <v>#REF!</v>
      </c>
      <c r="P1053" s="1009"/>
      <c r="Q1053" s="490" t="e">
        <f>ROUND(O1053*$C1053,0)</f>
        <v>#REF!</v>
      </c>
      <c r="R1053" s="490"/>
      <c r="S1053" s="237" t="e">
        <f>S1014</f>
        <v>#REF!</v>
      </c>
      <c r="T1053" s="1009"/>
      <c r="U1053" s="490" t="e">
        <f>ROUND(S1053*$C1053,0)</f>
        <v>#REF!</v>
      </c>
      <c r="V1053" s="7"/>
      <c r="W1053" s="31"/>
      <c r="X1053" s="31"/>
      <c r="Y1053" s="31"/>
      <c r="Z1053" s="7"/>
      <c r="AA1053" s="7"/>
      <c r="AB1053" s="7"/>
      <c r="AC1053" s="7"/>
      <c r="AD1053" s="7"/>
      <c r="AE1053" s="7"/>
      <c r="AF1053" s="7"/>
      <c r="AG1053" s="7"/>
      <c r="AH1053" s="7"/>
      <c r="AI1053" s="7"/>
      <c r="AJ1053" s="7"/>
      <c r="AK1053" s="7"/>
      <c r="AL1053" s="7"/>
      <c r="AM1053" s="7"/>
      <c r="AN1053" s="7"/>
      <c r="AO1053" s="7"/>
      <c r="AP1053" s="7"/>
    </row>
    <row r="1054" spans="1:44">
      <c r="A1054" s="305" t="s">
        <v>382</v>
      </c>
      <c r="B1054" s="305"/>
      <c r="C1054" s="61">
        <f>SUM(C1052:C1053)</f>
        <v>24</v>
      </c>
      <c r="D1054" s="237"/>
      <c r="E1054" s="490"/>
      <c r="F1054" s="490" t="s">
        <v>31</v>
      </c>
      <c r="G1054" s="237" t="s">
        <v>31</v>
      </c>
      <c r="H1054" s="490"/>
      <c r="I1054" s="490" t="s">
        <v>31</v>
      </c>
      <c r="J1054" s="490"/>
      <c r="K1054" s="237" t="s">
        <v>31</v>
      </c>
      <c r="L1054" s="490"/>
      <c r="M1054" s="490" t="s">
        <v>31</v>
      </c>
      <c r="N1054" s="490"/>
      <c r="O1054" s="237" t="s">
        <v>31</v>
      </c>
      <c r="P1054" s="490"/>
      <c r="Q1054" s="490" t="s">
        <v>31</v>
      </c>
      <c r="R1054" s="490"/>
      <c r="S1054" s="237" t="s">
        <v>31</v>
      </c>
      <c r="T1054" s="490"/>
      <c r="U1054" s="490" t="s">
        <v>31</v>
      </c>
      <c r="V1054" s="7"/>
      <c r="W1054" s="31"/>
      <c r="X1054" s="31"/>
      <c r="Y1054" s="31"/>
      <c r="Z1054" s="7"/>
      <c r="AA1054" s="7"/>
      <c r="AB1054" s="7"/>
      <c r="AC1054" s="7"/>
      <c r="AD1054" s="7"/>
      <c r="AE1054" s="7"/>
      <c r="AF1054" s="7"/>
      <c r="AG1054" s="7"/>
      <c r="AH1054" s="7"/>
      <c r="AI1054" s="7"/>
      <c r="AJ1054" s="7"/>
      <c r="AK1054" s="7"/>
      <c r="AL1054" s="7"/>
      <c r="AM1054" s="7"/>
      <c r="AN1054" s="7"/>
      <c r="AO1054" s="7"/>
      <c r="AP1054" s="7"/>
    </row>
    <row r="1055" spans="1:44">
      <c r="A1055" s="305" t="s">
        <v>461</v>
      </c>
      <c r="B1055" s="305"/>
      <c r="C1055" s="61">
        <v>17279</v>
      </c>
      <c r="D1055" s="237">
        <f>D1016</f>
        <v>0.57999999999999996</v>
      </c>
      <c r="E1055" s="490"/>
      <c r="F1055" s="490">
        <f>ROUND(D1055*C1055,0)</f>
        <v>10022</v>
      </c>
      <c r="G1055" s="237">
        <f>G1016</f>
        <v>0.57999999999999996</v>
      </c>
      <c r="H1055" s="490"/>
      <c r="I1055" s="490">
        <f>ROUND(G1055*$C1055,0)</f>
        <v>10022</v>
      </c>
      <c r="J1055" s="490"/>
      <c r="K1055" s="237" t="e">
        <f>K1016</f>
        <v>#REF!</v>
      </c>
      <c r="L1055" s="490"/>
      <c r="M1055" s="490" t="e">
        <f>ROUND(K1055*$C1055,0)</f>
        <v>#REF!</v>
      </c>
      <c r="N1055" s="490"/>
      <c r="O1055" s="237" t="e">
        <f>O1016</f>
        <v>#REF!</v>
      </c>
      <c r="P1055" s="490"/>
      <c r="Q1055" s="490" t="e">
        <f>ROUND(O1055*$C1055,0)</f>
        <v>#REF!</v>
      </c>
      <c r="R1055" s="490"/>
      <c r="S1055" s="237" t="e">
        <f>S1016</f>
        <v>#REF!</v>
      </c>
      <c r="T1055" s="490"/>
      <c r="U1055" s="490" t="e">
        <f>ROUND(S1055*$C1055,0)</f>
        <v>#REF!</v>
      </c>
      <c r="V1055" s="7" t="s">
        <v>31</v>
      </c>
      <c r="W1055" s="31"/>
      <c r="X1055" s="31" t="s">
        <v>31</v>
      </c>
      <c r="Y1055" s="31"/>
      <c r="Z1055" s="7"/>
      <c r="AA1055" s="7"/>
      <c r="AB1055" s="7"/>
      <c r="AC1055" s="7"/>
      <c r="AD1055" s="7"/>
      <c r="AE1055" s="7"/>
      <c r="AF1055" s="7"/>
      <c r="AG1055" s="7"/>
      <c r="AH1055" s="7"/>
      <c r="AI1055" s="7"/>
      <c r="AJ1055" s="7"/>
      <c r="AK1055" s="7"/>
      <c r="AL1055" s="7"/>
      <c r="AM1055" s="7"/>
      <c r="AN1055" s="7"/>
      <c r="AO1055" s="7"/>
      <c r="AP1055" s="7"/>
    </row>
    <row r="1056" spans="1:44">
      <c r="A1056" s="305" t="s">
        <v>462</v>
      </c>
      <c r="B1056" s="305"/>
      <c r="C1056" s="61">
        <v>0</v>
      </c>
      <c r="D1056" s="237">
        <f t="shared" ref="D1056:D1057" si="181">D1017</f>
        <v>0.47</v>
      </c>
      <c r="E1056" s="490"/>
      <c r="F1056" s="490">
        <f>ROUND(D1056*C1056,0)</f>
        <v>0</v>
      </c>
      <c r="G1056" s="237">
        <f>G1017</f>
        <v>0.47</v>
      </c>
      <c r="H1056" s="490"/>
      <c r="I1056" s="490">
        <f>ROUND(G1056*$C1056,0)</f>
        <v>0</v>
      </c>
      <c r="J1056" s="490"/>
      <c r="K1056" s="237" t="e">
        <f>K1017</f>
        <v>#REF!</v>
      </c>
      <c r="L1056" s="490"/>
      <c r="M1056" s="490" t="e">
        <f>ROUND(K1056*$C1056,0)</f>
        <v>#REF!</v>
      </c>
      <c r="N1056" s="490"/>
      <c r="O1056" s="237" t="e">
        <f>O1017</f>
        <v>#REF!</v>
      </c>
      <c r="P1056" s="490"/>
      <c r="Q1056" s="490" t="e">
        <f>ROUND(O1056*$C1056,0)</f>
        <v>#REF!</v>
      </c>
      <c r="R1056" s="490"/>
      <c r="S1056" s="237" t="e">
        <f>S1017</f>
        <v>#REF!</v>
      </c>
      <c r="T1056" s="490"/>
      <c r="U1056" s="490" t="e">
        <f>ROUND(S1056*$C1056,0)</f>
        <v>#REF!</v>
      </c>
      <c r="V1056" s="7"/>
      <c r="W1056" s="31"/>
      <c r="X1056" s="31"/>
      <c r="Y1056" s="31"/>
      <c r="Z1056" s="7"/>
      <c r="AA1056" s="7"/>
      <c r="AB1056" s="7"/>
      <c r="AC1056" s="7"/>
      <c r="AD1056" s="7"/>
      <c r="AE1056" s="7"/>
      <c r="AF1056" s="7"/>
      <c r="AG1056" s="7"/>
      <c r="AH1056" s="7"/>
      <c r="AI1056" s="7"/>
      <c r="AJ1056" s="7"/>
      <c r="AK1056" s="7"/>
      <c r="AL1056" s="7"/>
      <c r="AM1056" s="7"/>
      <c r="AN1056" s="7"/>
      <c r="AO1056" s="7"/>
      <c r="AP1056" s="7"/>
    </row>
    <row r="1057" spans="1:44">
      <c r="A1057" s="305" t="s">
        <v>391</v>
      </c>
      <c r="B1057" s="305"/>
      <c r="C1057" s="61">
        <v>13853</v>
      </c>
      <c r="D1057" s="237">
        <f t="shared" si="181"/>
        <v>7.98</v>
      </c>
      <c r="E1057" s="490"/>
      <c r="F1057" s="490">
        <f>ROUND(D1057*C1057,0)</f>
        <v>110547</v>
      </c>
      <c r="G1057" s="237">
        <f>G1018</f>
        <v>7.9700000000000006</v>
      </c>
      <c r="H1057" s="490"/>
      <c r="I1057" s="490">
        <f>ROUND(G1057*$C1057,0)</f>
        <v>110408</v>
      </c>
      <c r="J1057" s="490"/>
      <c r="K1057" s="237" t="e">
        <f>K1018</f>
        <v>#REF!</v>
      </c>
      <c r="L1057" s="490"/>
      <c r="M1057" s="490" t="e">
        <f>ROUND(K1057*$C1057,0)</f>
        <v>#REF!</v>
      </c>
      <c r="N1057" s="490"/>
      <c r="O1057" s="237" t="e">
        <f>O1018</f>
        <v>#REF!</v>
      </c>
      <c r="P1057" s="490"/>
      <c r="Q1057" s="490" t="e">
        <f>ROUND(O1057*$C1057,0)</f>
        <v>#REF!</v>
      </c>
      <c r="R1057" s="490"/>
      <c r="S1057" s="237" t="e">
        <f>S1018</f>
        <v>#REF!</v>
      </c>
      <c r="T1057" s="490"/>
      <c r="U1057" s="490" t="e">
        <f>ROUND(S1057*$C1057,0)</f>
        <v>#REF!</v>
      </c>
      <c r="V1057" s="7"/>
      <c r="W1057" s="31"/>
      <c r="X1057" s="31"/>
      <c r="Y1057" s="31"/>
      <c r="Z1057" s="7"/>
      <c r="AA1057" s="7"/>
      <c r="AB1057" s="7"/>
      <c r="AC1057" s="7"/>
      <c r="AD1057" s="7"/>
      <c r="AE1057" s="7"/>
      <c r="AF1057" s="7"/>
      <c r="AG1057" s="7"/>
      <c r="AH1057" s="7"/>
      <c r="AI1057" s="7"/>
      <c r="AJ1057" s="7"/>
      <c r="AK1057" s="7"/>
      <c r="AL1057" s="7"/>
      <c r="AM1057" s="7"/>
      <c r="AN1057" s="7"/>
      <c r="AO1057" s="7"/>
      <c r="AP1057" s="7"/>
    </row>
    <row r="1058" spans="1:44">
      <c r="A1058" s="305" t="s">
        <v>414</v>
      </c>
      <c r="B1058" s="305"/>
      <c r="C1058" s="61"/>
      <c r="D1058" s="237"/>
      <c r="E1058" s="490"/>
      <c r="F1058" s="490"/>
      <c r="G1058" s="237" t="s">
        <v>31</v>
      </c>
      <c r="H1058" s="490"/>
      <c r="I1058" s="490"/>
      <c r="J1058" s="490"/>
      <c r="K1058" s="237" t="s">
        <v>31</v>
      </c>
      <c r="L1058" s="490"/>
      <c r="M1058" s="490"/>
      <c r="N1058" s="490"/>
      <c r="O1058" s="237" t="s">
        <v>31</v>
      </c>
      <c r="P1058" s="490"/>
      <c r="Q1058" s="490"/>
      <c r="R1058" s="490"/>
      <c r="S1058" s="237" t="s">
        <v>31</v>
      </c>
      <c r="T1058" s="490"/>
      <c r="U1058" s="490"/>
      <c r="V1058" s="7"/>
      <c r="W1058" s="31"/>
      <c r="X1058" s="31"/>
      <c r="Y1058" s="31"/>
      <c r="Z1058" s="7"/>
      <c r="AA1058" s="7"/>
      <c r="AB1058" s="7"/>
      <c r="AC1058" s="7"/>
      <c r="AD1058" s="7"/>
      <c r="AE1058" s="7"/>
      <c r="AF1058" s="7"/>
      <c r="AG1058" s="7"/>
      <c r="AH1058" s="7"/>
      <c r="AI1058" s="7"/>
      <c r="AJ1058" s="7"/>
      <c r="AK1058" s="7"/>
      <c r="AL1058" s="7"/>
      <c r="AM1058" s="7"/>
      <c r="AN1058" s="7"/>
      <c r="AO1058" s="7"/>
      <c r="AP1058" s="7"/>
    </row>
    <row r="1059" spans="1:44">
      <c r="A1059" s="305" t="s">
        <v>452</v>
      </c>
      <c r="B1059" s="305"/>
      <c r="C1059" s="61">
        <v>996600</v>
      </c>
      <c r="D1059" s="1059">
        <f>D1020</f>
        <v>4.798</v>
      </c>
      <c r="E1059" s="490" t="s">
        <v>362</v>
      </c>
      <c r="F1059" s="490">
        <f>ROUND(D1059/100*C1059,0)</f>
        <v>47817</v>
      </c>
      <c r="G1059" s="1059">
        <f>G1020</f>
        <v>4.798</v>
      </c>
      <c r="H1059" s="490" t="s">
        <v>362</v>
      </c>
      <c r="I1059" s="490">
        <f>ROUND(G1059/100*$C1059,0)</f>
        <v>47817</v>
      </c>
      <c r="J1059" s="490"/>
      <c r="K1059" s="1059" t="e">
        <f>K1020</f>
        <v>#REF!</v>
      </c>
      <c r="L1059" s="490" t="s">
        <v>362</v>
      </c>
      <c r="M1059" s="490" t="e">
        <f>ROUND(K1059/100*$C1059,0)</f>
        <v>#REF!</v>
      </c>
      <c r="N1059" s="490"/>
      <c r="O1059" s="1059" t="e">
        <f>O1020</f>
        <v>#REF!</v>
      </c>
      <c r="P1059" s="490" t="s">
        <v>362</v>
      </c>
      <c r="Q1059" s="490" t="e">
        <f>ROUND(O1059/100*$C1059,0)</f>
        <v>#REF!</v>
      </c>
      <c r="R1059" s="490"/>
      <c r="S1059" s="1059" t="e">
        <f>S1020</f>
        <v>#REF!</v>
      </c>
      <c r="T1059" s="490" t="s">
        <v>362</v>
      </c>
      <c r="U1059" s="490" t="e">
        <f>ROUND(S1059/100*$C1059,0)</f>
        <v>#REF!</v>
      </c>
      <c r="V1059" s="7"/>
      <c r="W1059" s="31"/>
      <c r="X1059" s="31"/>
      <c r="Y1059" s="31"/>
      <c r="Z1059" s="7"/>
      <c r="AA1059" s="7"/>
      <c r="AB1059" s="7"/>
      <c r="AC1059" s="7"/>
      <c r="AD1059" s="7"/>
      <c r="AE1059" s="7"/>
      <c r="AF1059" s="7"/>
      <c r="AG1059" s="7"/>
      <c r="AH1059" s="7"/>
      <c r="AI1059" s="7"/>
      <c r="AJ1059" s="7"/>
      <c r="AK1059" s="7"/>
      <c r="AL1059" s="7"/>
      <c r="AM1059" s="7"/>
      <c r="AN1059" s="7"/>
      <c r="AO1059" s="7"/>
      <c r="AP1059" s="7"/>
    </row>
    <row r="1060" spans="1:44">
      <c r="A1060" s="305" t="s">
        <v>388</v>
      </c>
      <c r="B1060" s="305"/>
      <c r="C1060" s="61">
        <v>2353</v>
      </c>
      <c r="D1060" s="237">
        <f>D1021</f>
        <v>0.56000000000000005</v>
      </c>
      <c r="E1060" s="490"/>
      <c r="F1060" s="490">
        <f>ROUND(D1060*C1060,0)</f>
        <v>1318</v>
      </c>
      <c r="G1060" s="237">
        <f>G1021</f>
        <v>0.56000000000000005</v>
      </c>
      <c r="H1060" s="490"/>
      <c r="I1060" s="490">
        <f>ROUND(G1060*$C1060,0)</f>
        <v>1318</v>
      </c>
      <c r="J1060" s="490"/>
      <c r="K1060" s="237" t="e">
        <f>K1021</f>
        <v>#REF!</v>
      </c>
      <c r="L1060" s="490"/>
      <c r="M1060" s="490" t="e">
        <f>ROUND(K1060*$C1060,0)</f>
        <v>#REF!</v>
      </c>
      <c r="N1060" s="490"/>
      <c r="O1060" s="237" t="e">
        <f>O1021</f>
        <v>#REF!</v>
      </c>
      <c r="P1060" s="490"/>
      <c r="Q1060" s="490" t="e">
        <f>ROUND(O1060*$C1060,0)</f>
        <v>#REF!</v>
      </c>
      <c r="R1060" s="490"/>
      <c r="S1060" s="237" t="e">
        <f>S1021</f>
        <v>#REF!</v>
      </c>
      <c r="T1060" s="490"/>
      <c r="U1060" s="490" t="e">
        <f>ROUND(S1060*$C1060,0)</f>
        <v>#REF!</v>
      </c>
      <c r="V1060" s="7"/>
      <c r="W1060" s="31"/>
      <c r="X1060" s="31"/>
      <c r="Y1060" s="31"/>
      <c r="Z1060" s="7"/>
      <c r="AA1060" s="7"/>
      <c r="AB1060" s="7"/>
      <c r="AC1060" s="7"/>
      <c r="AD1060" s="7"/>
      <c r="AE1060" s="7"/>
      <c r="AF1060" s="7"/>
      <c r="AG1060" s="7"/>
      <c r="AH1060" s="7"/>
      <c r="AI1060" s="7"/>
      <c r="AJ1060" s="7"/>
      <c r="AK1060" s="7"/>
      <c r="AL1060" s="7"/>
      <c r="AM1060" s="7"/>
      <c r="AN1060" s="7"/>
      <c r="AO1060" s="7"/>
      <c r="AP1060" s="7"/>
    </row>
    <row r="1061" spans="1:44" s="588" customFormat="1" hidden="1">
      <c r="A1061" s="588" t="s">
        <v>774</v>
      </c>
      <c r="C1061" s="631">
        <f>C1059</f>
        <v>996600</v>
      </c>
      <c r="D1061" s="990">
        <v>0</v>
      </c>
      <c r="E1061" s="635"/>
      <c r="F1061" s="616"/>
      <c r="G1061" s="987">
        <f>G1022</f>
        <v>0</v>
      </c>
      <c r="H1061" s="616" t="s">
        <v>362</v>
      </c>
      <c r="I1061" s="616">
        <f>ROUND(G1061/100*$C1061,0)</f>
        <v>0</v>
      </c>
      <c r="J1061" s="616"/>
      <c r="K1061" s="987" t="e">
        <f>K1022</f>
        <v>#REF!</v>
      </c>
      <c r="L1061" s="616" t="s">
        <v>362</v>
      </c>
      <c r="M1061" s="616" t="e">
        <f>ROUND(K1061/100*$C1061,0)</f>
        <v>#REF!</v>
      </c>
      <c r="N1061" s="616"/>
      <c r="O1061" s="987" t="e">
        <f>O1022</f>
        <v>#REF!</v>
      </c>
      <c r="P1061" s="616" t="s">
        <v>362</v>
      </c>
      <c r="Q1061" s="616" t="e">
        <f>ROUND(O1061/100*$C1061,0)</f>
        <v>#REF!</v>
      </c>
      <c r="R1061" s="616"/>
      <c r="S1061" s="987" t="e">
        <f>S1022</f>
        <v>#REF!</v>
      </c>
      <c r="T1061" s="616" t="s">
        <v>362</v>
      </c>
      <c r="U1061" s="616" t="e">
        <f>ROUND(S1061/100*$C1061,0)</f>
        <v>#REF!</v>
      </c>
      <c r="W1061" s="450"/>
      <c r="Z1061" s="989"/>
      <c r="AA1061" s="989"/>
      <c r="AF1061" s="635"/>
      <c r="AG1061" s="635"/>
      <c r="AH1061" s="635"/>
      <c r="AI1061" s="635"/>
      <c r="AJ1061" s="635"/>
      <c r="AK1061" s="635"/>
      <c r="AL1061" s="635"/>
      <c r="AM1061" s="635"/>
      <c r="AN1061" s="635"/>
      <c r="AO1061" s="635"/>
      <c r="AP1061" s="635"/>
      <c r="AR1061" s="988"/>
    </row>
    <row r="1062" spans="1:44">
      <c r="A1062" s="305" t="s">
        <v>369</v>
      </c>
      <c r="B1062" s="305"/>
      <c r="C1062" s="61">
        <f>C1059</f>
        <v>996600</v>
      </c>
      <c r="D1062" s="1021"/>
      <c r="E1062" s="305"/>
      <c r="F1062" s="490">
        <f>SUM(F1052:F1060)</f>
        <v>205152</v>
      </c>
      <c r="G1062" s="1021"/>
      <c r="H1062" s="305"/>
      <c r="I1062" s="490">
        <f>SUM(I1052:I1061)</f>
        <v>205013</v>
      </c>
      <c r="J1062" s="490"/>
      <c r="K1062" s="1021"/>
      <c r="L1062" s="305"/>
      <c r="M1062" s="490" t="e">
        <f>SUM(M1052:M1061)</f>
        <v>#REF!</v>
      </c>
      <c r="N1062" s="490"/>
      <c r="O1062" s="1021"/>
      <c r="P1062" s="305"/>
      <c r="Q1062" s="490" t="e">
        <f>SUM(Q1052:Q1061)</f>
        <v>#REF!</v>
      </c>
      <c r="R1062" s="490"/>
      <c r="S1062" s="1021"/>
      <c r="T1062" s="305"/>
      <c r="U1062" s="490" t="e">
        <f>SUM(U1052:U1061)</f>
        <v>#REF!</v>
      </c>
      <c r="V1062" s="7"/>
      <c r="W1062" s="31"/>
      <c r="X1062" s="31"/>
      <c r="Y1062" s="31"/>
      <c r="Z1062" s="7"/>
      <c r="AA1062" s="7"/>
      <c r="AB1062" s="7"/>
      <c r="AC1062" s="7"/>
      <c r="AD1062" s="7"/>
      <c r="AE1062" s="7"/>
      <c r="AF1062" s="7"/>
      <c r="AG1062" s="7"/>
      <c r="AH1062" s="7"/>
      <c r="AI1062" s="7"/>
      <c r="AJ1062" s="7"/>
      <c r="AK1062" s="7"/>
      <c r="AL1062" s="7"/>
      <c r="AM1062" s="7"/>
      <c r="AN1062" s="7"/>
      <c r="AO1062" s="7"/>
      <c r="AP1062" s="7"/>
    </row>
    <row r="1063" spans="1:44">
      <c r="A1063" s="305" t="s">
        <v>351</v>
      </c>
      <c r="B1063" s="305"/>
      <c r="C1063" s="61">
        <f ca="1">C1062/($C$1004+$C$1062)*$C$1100</f>
        <v>18729.517509110068</v>
      </c>
      <c r="D1063" s="305"/>
      <c r="E1063" s="305"/>
      <c r="F1063" s="993">
        <f ca="1">F1062/($F$1004+$F$1062)*$F$1100</f>
        <v>1242.5007078362401</v>
      </c>
      <c r="G1063" s="305"/>
      <c r="H1063" s="305"/>
      <c r="I1063" s="993">
        <f ca="1">F1063</f>
        <v>1242.5007078362401</v>
      </c>
      <c r="J1063" s="723"/>
      <c r="K1063" s="305"/>
      <c r="L1063" s="305"/>
      <c r="M1063" s="993" t="e">
        <f ca="1">$I$1063*V1028/(V1028+$W$1028+$X$1028)</f>
        <v>#DIV/0!</v>
      </c>
      <c r="N1063" s="723"/>
      <c r="O1063" s="305"/>
      <c r="P1063" s="305"/>
      <c r="Q1063" s="993" t="e">
        <f ca="1">$I$1063*W1028/(V1028+$W$1028+$X$1028)</f>
        <v>#DIV/0!</v>
      </c>
      <c r="R1063" s="723"/>
      <c r="S1063" s="305"/>
      <c r="T1063" s="305"/>
      <c r="U1063" s="993" t="e">
        <f ca="1">$I$1063*X1028/(V1028+$W$1028+$X$1028)</f>
        <v>#DIV/0!</v>
      </c>
      <c r="V1063" s="714"/>
      <c r="W1063" s="171"/>
      <c r="X1063" s="31"/>
      <c r="Y1063" s="31"/>
      <c r="Z1063" s="7"/>
      <c r="AA1063" s="7"/>
      <c r="AB1063" s="7"/>
      <c r="AC1063" s="7"/>
      <c r="AD1063" s="7"/>
      <c r="AE1063" s="7"/>
      <c r="AF1063" s="7"/>
      <c r="AG1063" s="7"/>
      <c r="AH1063" s="7"/>
      <c r="AI1063" s="7"/>
      <c r="AJ1063" s="7"/>
      <c r="AK1063" s="7"/>
      <c r="AL1063" s="7"/>
      <c r="AM1063" s="7"/>
      <c r="AN1063" s="7"/>
      <c r="AO1063" s="7"/>
      <c r="AP1063" s="7"/>
    </row>
    <row r="1064" spans="1:44" ht="16.5" thickBot="1">
      <c r="A1064" s="305" t="s">
        <v>370</v>
      </c>
      <c r="B1064" s="305"/>
      <c r="C1064" s="994">
        <f ca="1">SUM(C1062)+C1063</f>
        <v>1015329.51750911</v>
      </c>
      <c r="D1064" s="1036"/>
      <c r="E1064" s="1030"/>
      <c r="F1064" s="995">
        <f ca="1">F1062+F1063</f>
        <v>206394.50070783624</v>
      </c>
      <c r="G1064" s="1036"/>
      <c r="H1064" s="1030"/>
      <c r="I1064" s="995">
        <f ca="1">I1062+I1063</f>
        <v>206255.50070783624</v>
      </c>
      <c r="J1064" s="723"/>
      <c r="K1064" s="1036"/>
      <c r="L1064" s="1030"/>
      <c r="M1064" s="995" t="e">
        <f ca="1">M1062+M1063</f>
        <v>#REF!</v>
      </c>
      <c r="N1064" s="995"/>
      <c r="O1064" s="1036"/>
      <c r="P1064" s="1030"/>
      <c r="Q1064" s="995" t="e">
        <f ca="1">Q1062+Q1063</f>
        <v>#REF!</v>
      </c>
      <c r="R1064" s="995"/>
      <c r="S1064" s="1036"/>
      <c r="T1064" s="1030"/>
      <c r="U1064" s="995" t="e">
        <f ca="1">U1062+U1063</f>
        <v>#REF!</v>
      </c>
      <c r="V1064" s="295" t="s">
        <v>31</v>
      </c>
      <c r="W1064" s="354"/>
      <c r="X1064" s="31"/>
      <c r="Y1064" s="31"/>
      <c r="Z1064" s="446" t="s">
        <v>31</v>
      </c>
      <c r="AA1064" s="7"/>
      <c r="AB1064" s="7"/>
      <c r="AC1064" s="7"/>
      <c r="AD1064" s="7"/>
      <c r="AE1064" s="7"/>
      <c r="AF1064" s="7"/>
      <c r="AG1064" s="7"/>
      <c r="AH1064" s="7"/>
      <c r="AI1064" s="7"/>
      <c r="AJ1064" s="7"/>
      <c r="AK1064" s="7"/>
      <c r="AL1064" s="7"/>
      <c r="AM1064" s="7"/>
      <c r="AN1064" s="7"/>
      <c r="AO1064" s="7"/>
      <c r="AP1064" s="7"/>
    </row>
    <row r="1065" spans="1:44" ht="16.5" thickTop="1">
      <c r="A1065" s="305"/>
      <c r="B1065" s="305"/>
      <c r="C1065" s="61"/>
      <c r="D1065" s="237" t="s">
        <v>31</v>
      </c>
      <c r="E1065" s="305"/>
      <c r="F1065" s="490"/>
      <c r="G1065" s="237" t="s">
        <v>31</v>
      </c>
      <c r="H1065" s="305"/>
      <c r="I1065" s="490" t="s">
        <v>31</v>
      </c>
      <c r="J1065" s="490"/>
      <c r="K1065" s="237" t="s">
        <v>31</v>
      </c>
      <c r="L1065" s="305"/>
      <c r="M1065" s="490" t="s">
        <v>31</v>
      </c>
      <c r="N1065" s="490"/>
      <c r="O1065" s="237" t="s">
        <v>31</v>
      </c>
      <c r="P1065" s="305"/>
      <c r="Q1065" s="490" t="s">
        <v>31</v>
      </c>
      <c r="R1065" s="490"/>
      <c r="S1065" s="237" t="s">
        <v>31</v>
      </c>
      <c r="T1065" s="305"/>
      <c r="U1065" s="490" t="s">
        <v>31</v>
      </c>
      <c r="V1065" s="7"/>
      <c r="W1065" s="31"/>
      <c r="X1065" s="31"/>
      <c r="Y1065" s="31"/>
      <c r="Z1065" s="7"/>
      <c r="AA1065" s="7"/>
      <c r="AB1065" s="7"/>
      <c r="AC1065" s="7"/>
      <c r="AD1065" s="7"/>
      <c r="AE1065" s="7"/>
      <c r="AF1065" s="7"/>
      <c r="AG1065" s="7"/>
      <c r="AH1065" s="7"/>
      <c r="AI1065" s="7"/>
      <c r="AJ1065" s="7"/>
      <c r="AK1065" s="7"/>
      <c r="AL1065" s="7"/>
      <c r="AM1065" s="7"/>
      <c r="AN1065" s="7"/>
      <c r="AO1065" s="7"/>
      <c r="AP1065" s="7"/>
    </row>
    <row r="1066" spans="1:44">
      <c r="A1066" s="305" t="s">
        <v>464</v>
      </c>
      <c r="B1066" s="305"/>
      <c r="C1066" s="305"/>
      <c r="D1066" s="490"/>
      <c r="E1066" s="305"/>
      <c r="F1066" s="305"/>
      <c r="G1066" s="490"/>
      <c r="H1066" s="305"/>
      <c r="I1066" s="305"/>
      <c r="J1066" s="305"/>
      <c r="K1066" s="490"/>
      <c r="L1066" s="305"/>
      <c r="M1066" s="305"/>
      <c r="N1066" s="305"/>
      <c r="O1066" s="490"/>
      <c r="P1066" s="305"/>
      <c r="Q1066" s="305"/>
      <c r="R1066" s="305"/>
      <c r="S1066" s="490"/>
      <c r="T1066" s="305"/>
      <c r="U1066" s="305"/>
      <c r="V1066" s="7"/>
      <c r="W1066" s="31"/>
      <c r="X1066" s="31"/>
      <c r="Y1066" s="31"/>
      <c r="Z1066" s="7"/>
      <c r="AA1066" s="7"/>
      <c r="AB1066" s="7"/>
      <c r="AC1066" s="7"/>
      <c r="AD1066" s="7"/>
      <c r="AE1066" s="7"/>
      <c r="AF1066" s="7"/>
      <c r="AG1066" s="7"/>
      <c r="AH1066" s="7"/>
      <c r="AI1066" s="7"/>
      <c r="AJ1066" s="7"/>
      <c r="AK1066" s="7"/>
      <c r="AL1066" s="7"/>
      <c r="AM1066" s="7"/>
      <c r="AN1066" s="7"/>
      <c r="AO1066" s="7"/>
      <c r="AP1066" s="7"/>
    </row>
    <row r="1067" spans="1:44">
      <c r="A1067" s="305" t="s">
        <v>637</v>
      </c>
      <c r="B1067" s="305"/>
      <c r="C1067" s="305"/>
      <c r="D1067" s="490"/>
      <c r="E1067" s="305"/>
      <c r="F1067" s="305"/>
      <c r="G1067" s="490"/>
      <c r="H1067" s="305"/>
      <c r="I1067" s="305"/>
      <c r="J1067" s="305"/>
      <c r="K1067" s="490"/>
      <c r="L1067" s="305"/>
      <c r="M1067" s="305"/>
      <c r="N1067" s="305"/>
      <c r="O1067" s="490"/>
      <c r="P1067" s="305"/>
      <c r="Q1067" s="305"/>
      <c r="R1067" s="305"/>
      <c r="S1067" s="490"/>
      <c r="T1067" s="305"/>
      <c r="U1067" s="305"/>
      <c r="V1067" s="7"/>
      <c r="W1067" s="31"/>
      <c r="X1067" s="31"/>
      <c r="Y1067" s="31"/>
      <c r="Z1067" s="7"/>
      <c r="AA1067" s="7"/>
      <c r="AB1067" s="7"/>
      <c r="AC1067" s="7"/>
      <c r="AD1067" s="7"/>
      <c r="AE1067" s="7"/>
      <c r="AF1067" s="7"/>
      <c r="AG1067" s="7"/>
      <c r="AH1067" s="7"/>
      <c r="AI1067" s="7"/>
      <c r="AJ1067" s="7"/>
      <c r="AK1067" s="7"/>
      <c r="AL1067" s="7"/>
      <c r="AM1067" s="7"/>
      <c r="AN1067" s="7"/>
      <c r="AO1067" s="7"/>
      <c r="AP1067" s="7"/>
    </row>
    <row r="1068" spans="1:44">
      <c r="A1068" s="305"/>
      <c r="B1068" s="305"/>
      <c r="C1068" s="305"/>
      <c r="D1068" s="490"/>
      <c r="E1068" s="305"/>
      <c r="F1068" s="305"/>
      <c r="G1068" s="490"/>
      <c r="H1068" s="305"/>
      <c r="I1068" s="305"/>
      <c r="J1068" s="305"/>
      <c r="K1068" s="490"/>
      <c r="L1068" s="305"/>
      <c r="M1068" s="305"/>
      <c r="N1068" s="305"/>
      <c r="O1068" s="490"/>
      <c r="P1068" s="305"/>
      <c r="Q1068" s="305"/>
      <c r="R1068" s="305"/>
      <c r="S1068" s="490"/>
      <c r="T1068" s="305"/>
      <c r="U1068" s="305"/>
      <c r="V1068" s="7"/>
      <c r="W1068" s="31"/>
      <c r="X1068" s="31"/>
      <c r="Y1068" s="31"/>
      <c r="Z1068" s="7"/>
      <c r="AA1068" s="7"/>
      <c r="AB1068" s="7"/>
      <c r="AC1068" s="7"/>
      <c r="AD1068" s="7"/>
      <c r="AE1068" s="7"/>
      <c r="AF1068" s="7"/>
      <c r="AG1068" s="7"/>
      <c r="AH1068" s="7"/>
      <c r="AI1068" s="7"/>
      <c r="AJ1068" s="7"/>
      <c r="AK1068" s="7"/>
      <c r="AL1068" s="7"/>
      <c r="AM1068" s="7"/>
      <c r="AN1068" s="7"/>
      <c r="AO1068" s="7"/>
      <c r="AP1068" s="7"/>
    </row>
    <row r="1069" spans="1:44">
      <c r="A1069" s="305" t="s">
        <v>381</v>
      </c>
      <c r="B1069" s="305"/>
      <c r="C1069" s="61"/>
      <c r="D1069" s="490"/>
      <c r="E1069" s="305"/>
      <c r="F1069" s="305"/>
      <c r="G1069" s="490"/>
      <c r="H1069" s="305"/>
      <c r="I1069" s="305"/>
      <c r="J1069" s="305"/>
      <c r="K1069" s="490"/>
      <c r="L1069" s="305"/>
      <c r="M1069" s="305"/>
      <c r="N1069" s="305"/>
      <c r="O1069" s="490"/>
      <c r="P1069" s="305"/>
      <c r="Q1069" s="305"/>
      <c r="R1069" s="305"/>
      <c r="S1069" s="490"/>
      <c r="T1069" s="305"/>
      <c r="U1069" s="305"/>
      <c r="V1069" s="7"/>
      <c r="W1069" s="31"/>
      <c r="X1069" s="31"/>
      <c r="Y1069" s="31"/>
      <c r="Z1069" s="7"/>
      <c r="AA1069" s="7"/>
      <c r="AB1069" s="7"/>
      <c r="AC1069" s="7"/>
      <c r="AD1069" s="7"/>
      <c r="AE1069" s="7"/>
      <c r="AF1069" s="7"/>
      <c r="AG1069" s="7"/>
      <c r="AH1069" s="7"/>
      <c r="AI1069" s="7"/>
      <c r="AJ1069" s="7"/>
      <c r="AK1069" s="7"/>
      <c r="AL1069" s="7"/>
      <c r="AM1069" s="7"/>
      <c r="AN1069" s="7"/>
      <c r="AO1069" s="7"/>
      <c r="AP1069" s="7"/>
    </row>
    <row r="1070" spans="1:44">
      <c r="A1070" s="305" t="s">
        <v>459</v>
      </c>
      <c r="B1070" s="305"/>
      <c r="C1070" s="61">
        <f t="shared" ref="C1070:C1075" si="182">C1034+C976</f>
        <v>436.84848484848499</v>
      </c>
      <c r="D1070" s="237"/>
      <c r="E1070" s="490"/>
      <c r="F1070" s="490">
        <f>F1034+F976</f>
        <v>633716</v>
      </c>
      <c r="G1070" s="237"/>
      <c r="H1070" s="490"/>
      <c r="I1070" s="490">
        <f>I1034+I976</f>
        <v>633716</v>
      </c>
      <c r="J1070" s="490"/>
      <c r="K1070" s="237"/>
      <c r="L1070" s="490"/>
      <c r="M1070" s="490" t="e">
        <f>M1034+M976</f>
        <v>#REF!</v>
      </c>
      <c r="N1070" s="490"/>
      <c r="O1070" s="237"/>
      <c r="P1070" s="490"/>
      <c r="Q1070" s="490" t="e">
        <f>Q1034+Q976</f>
        <v>#REF!</v>
      </c>
      <c r="R1070" s="490"/>
      <c r="S1070" s="237"/>
      <c r="T1070" s="490"/>
      <c r="U1070" s="490" t="e">
        <f>U1034+U976</f>
        <v>#REF!</v>
      </c>
      <c r="V1070" s="7"/>
      <c r="W1070" s="31"/>
      <c r="X1070" s="31"/>
      <c r="Y1070" s="31"/>
      <c r="Z1070" s="7"/>
      <c r="AA1070" s="7"/>
      <c r="AB1070" s="7"/>
      <c r="AC1070" s="7"/>
      <c r="AD1070" s="7"/>
      <c r="AE1070" s="7"/>
      <c r="AF1070" s="7"/>
      <c r="AG1070" s="7"/>
      <c r="AH1070" s="7"/>
      <c r="AI1070" s="7"/>
      <c r="AJ1070" s="7"/>
      <c r="AK1070" s="7"/>
      <c r="AL1070" s="7"/>
      <c r="AM1070" s="7"/>
      <c r="AN1070" s="7"/>
      <c r="AO1070" s="7"/>
      <c r="AP1070" s="7"/>
    </row>
    <row r="1071" spans="1:44">
      <c r="A1071" s="305" t="s">
        <v>460</v>
      </c>
      <c r="B1071" s="305"/>
      <c r="C1071" s="61">
        <f t="shared" si="182"/>
        <v>0</v>
      </c>
      <c r="D1071" s="237"/>
      <c r="E1071" s="1009"/>
      <c r="F1071" s="490">
        <f>F1035+F977</f>
        <v>0</v>
      </c>
      <c r="G1071" s="237"/>
      <c r="H1071" s="1009"/>
      <c r="I1071" s="490">
        <f>I1035+I977</f>
        <v>0</v>
      </c>
      <c r="J1071" s="490"/>
      <c r="K1071" s="237"/>
      <c r="L1071" s="1009"/>
      <c r="M1071" s="490" t="e">
        <f>M1035+M977</f>
        <v>#REF!</v>
      </c>
      <c r="N1071" s="490"/>
      <c r="O1071" s="237"/>
      <c r="P1071" s="1009"/>
      <c r="Q1071" s="490" t="e">
        <f>Q1035+Q977</f>
        <v>#REF!</v>
      </c>
      <c r="R1071" s="490"/>
      <c r="S1071" s="237"/>
      <c r="T1071" s="1009"/>
      <c r="U1071" s="490" t="e">
        <f>U1035+U977</f>
        <v>#REF!</v>
      </c>
      <c r="V1071" s="7"/>
      <c r="W1071" s="31"/>
      <c r="X1071" s="31"/>
      <c r="Y1071" s="31"/>
      <c r="Z1071" s="7"/>
      <c r="AA1071" s="7"/>
      <c r="AB1071" s="7"/>
      <c r="AC1071" s="7"/>
      <c r="AD1071" s="7"/>
      <c r="AE1071" s="7"/>
      <c r="AF1071" s="7"/>
      <c r="AG1071" s="7"/>
      <c r="AH1071" s="7"/>
      <c r="AI1071" s="7"/>
      <c r="AJ1071" s="7"/>
      <c r="AK1071" s="7"/>
      <c r="AL1071" s="7"/>
      <c r="AM1071" s="7"/>
      <c r="AN1071" s="7"/>
      <c r="AO1071" s="7"/>
      <c r="AP1071" s="7"/>
    </row>
    <row r="1072" spans="1:44">
      <c r="A1072" s="305" t="s">
        <v>382</v>
      </c>
      <c r="B1072" s="305"/>
      <c r="C1072" s="61">
        <f t="shared" si="182"/>
        <v>436.84848484848499</v>
      </c>
      <c r="D1072" s="237"/>
      <c r="E1072" s="490"/>
      <c r="F1072" s="490" t="s">
        <v>31</v>
      </c>
      <c r="G1072" s="237"/>
      <c r="H1072" s="490"/>
      <c r="I1072" s="490" t="s">
        <v>31</v>
      </c>
      <c r="J1072" s="490"/>
      <c r="K1072" s="237"/>
      <c r="L1072" s="490"/>
      <c r="M1072" s="490" t="s">
        <v>31</v>
      </c>
      <c r="N1072" s="490"/>
      <c r="O1072" s="237"/>
      <c r="P1072" s="490"/>
      <c r="Q1072" s="490" t="s">
        <v>31</v>
      </c>
      <c r="R1072" s="490"/>
      <c r="S1072" s="237"/>
      <c r="T1072" s="490"/>
      <c r="U1072" s="490" t="s">
        <v>31</v>
      </c>
      <c r="V1072" s="7"/>
      <c r="W1072" s="31"/>
      <c r="X1072" s="31"/>
      <c r="Y1072" s="31"/>
      <c r="Z1072" s="7"/>
      <c r="AA1072" s="7"/>
      <c r="AB1072" s="7"/>
      <c r="AC1072" s="7"/>
      <c r="AD1072" s="7"/>
      <c r="AE1072" s="7"/>
      <c r="AF1072" s="7"/>
      <c r="AG1072" s="7"/>
      <c r="AH1072" s="7"/>
      <c r="AI1072" s="7"/>
      <c r="AJ1072" s="7"/>
      <c r="AK1072" s="7"/>
      <c r="AL1072" s="7"/>
      <c r="AM1072" s="7"/>
      <c r="AN1072" s="7"/>
      <c r="AO1072" s="7"/>
      <c r="AP1072" s="7"/>
    </row>
    <row r="1073" spans="1:44">
      <c r="A1073" s="305" t="s">
        <v>461</v>
      </c>
      <c r="B1073" s="305"/>
      <c r="C1073" s="61">
        <f t="shared" si="182"/>
        <v>595979.06896551698</v>
      </c>
      <c r="D1073" s="237"/>
      <c r="E1073" s="490"/>
      <c r="F1073" s="490">
        <f>F1037+F979</f>
        <v>577831</v>
      </c>
      <c r="G1073" s="237"/>
      <c r="H1073" s="490"/>
      <c r="I1073" s="490">
        <f>I1037+I979</f>
        <v>577831</v>
      </c>
      <c r="J1073" s="490"/>
      <c r="K1073" s="237"/>
      <c r="L1073" s="490"/>
      <c r="M1073" s="490" t="e">
        <f>M1037+M979</f>
        <v>#REF!</v>
      </c>
      <c r="N1073" s="490"/>
      <c r="O1073" s="237"/>
      <c r="P1073" s="490"/>
      <c r="Q1073" s="490" t="e">
        <f>Q1037+Q979</f>
        <v>#REF!</v>
      </c>
      <c r="R1073" s="490"/>
      <c r="S1073" s="237"/>
      <c r="T1073" s="490"/>
      <c r="U1073" s="490" t="e">
        <f>U1037+U979</f>
        <v>#REF!</v>
      </c>
      <c r="V1073" s="7"/>
      <c r="W1073" s="31"/>
      <c r="X1073" s="31"/>
      <c r="Y1073" s="31"/>
      <c r="Z1073" s="7"/>
      <c r="AA1073" s="7"/>
      <c r="AB1073" s="7"/>
      <c r="AC1073" s="7"/>
      <c r="AD1073" s="7"/>
      <c r="AE1073" s="7"/>
      <c r="AF1073" s="7"/>
      <c r="AG1073" s="7"/>
      <c r="AH1073" s="7"/>
      <c r="AI1073" s="7"/>
      <c r="AJ1073" s="7"/>
      <c r="AK1073" s="7"/>
      <c r="AL1073" s="7"/>
      <c r="AM1073" s="7"/>
      <c r="AN1073" s="7"/>
      <c r="AO1073" s="7"/>
      <c r="AP1073" s="7"/>
    </row>
    <row r="1074" spans="1:44">
      <c r="A1074" s="305" t="s">
        <v>462</v>
      </c>
      <c r="B1074" s="305"/>
      <c r="C1074" s="61">
        <f t="shared" si="182"/>
        <v>0</v>
      </c>
      <c r="D1074" s="237"/>
      <c r="E1074" s="490"/>
      <c r="F1074" s="490">
        <f>F1038+F980</f>
        <v>0</v>
      </c>
      <c r="G1074" s="237"/>
      <c r="H1074" s="490"/>
      <c r="I1074" s="490">
        <f>I1038+I980</f>
        <v>0</v>
      </c>
      <c r="J1074" s="490"/>
      <c r="K1074" s="237"/>
      <c r="L1074" s="490"/>
      <c r="M1074" s="490" t="e">
        <f>M1038+M980</f>
        <v>#REF!</v>
      </c>
      <c r="N1074" s="490"/>
      <c r="O1074" s="237"/>
      <c r="P1074" s="490"/>
      <c r="Q1074" s="490" t="e">
        <f>Q1038+Q980</f>
        <v>#REF!</v>
      </c>
      <c r="R1074" s="490"/>
      <c r="S1074" s="237"/>
      <c r="T1074" s="490"/>
      <c r="U1074" s="490" t="e">
        <f>U1038+U980</f>
        <v>#REF!</v>
      </c>
      <c r="V1074" s="7"/>
      <c r="W1074" s="31"/>
      <c r="X1074" s="31"/>
      <c r="Y1074" s="31"/>
      <c r="Z1074" s="7"/>
      <c r="AA1074" s="7"/>
      <c r="AB1074" s="7"/>
      <c r="AC1074" s="7"/>
      <c r="AD1074" s="7"/>
      <c r="AE1074" s="7"/>
      <c r="AF1074" s="7"/>
      <c r="AG1074" s="7"/>
      <c r="AH1074" s="7"/>
      <c r="AI1074" s="7"/>
      <c r="AJ1074" s="7"/>
      <c r="AK1074" s="7"/>
      <c r="AL1074" s="7"/>
      <c r="AM1074" s="7"/>
      <c r="AN1074" s="7"/>
      <c r="AO1074" s="7"/>
      <c r="AP1074" s="7"/>
    </row>
    <row r="1075" spans="1:44">
      <c r="A1075" s="305" t="s">
        <v>391</v>
      </c>
      <c r="B1075" s="305"/>
      <c r="C1075" s="61">
        <f t="shared" si="182"/>
        <v>455160.62068965501</v>
      </c>
      <c r="D1075" s="237"/>
      <c r="E1075" s="490"/>
      <c r="F1075" s="490">
        <f>F1039+F981</f>
        <v>3686767</v>
      </c>
      <c r="G1075" s="237"/>
      <c r="H1075" s="490"/>
      <c r="I1075" s="490">
        <f>I1039+I981</f>
        <v>3688280</v>
      </c>
      <c r="J1075" s="490"/>
      <c r="K1075" s="237"/>
      <c r="L1075" s="490"/>
      <c r="M1075" s="490" t="e">
        <f>M1039+M981</f>
        <v>#REF!</v>
      </c>
      <c r="N1075" s="490"/>
      <c r="O1075" s="237"/>
      <c r="P1075" s="490"/>
      <c r="Q1075" s="490" t="e">
        <f>Q1039+Q981</f>
        <v>#REF!</v>
      </c>
      <c r="R1075" s="490"/>
      <c r="S1075" s="237"/>
      <c r="T1075" s="490"/>
      <c r="U1075" s="490" t="e">
        <f>U1039+U981</f>
        <v>#REF!</v>
      </c>
      <c r="V1075" s="7"/>
      <c r="W1075" s="31"/>
      <c r="X1075" s="31"/>
      <c r="Y1075" s="31"/>
      <c r="Z1075" s="7"/>
      <c r="AA1075" s="7"/>
      <c r="AB1075" s="7"/>
      <c r="AC1075" s="7"/>
      <c r="AD1075" s="7"/>
      <c r="AE1075" s="7"/>
      <c r="AF1075" s="7"/>
      <c r="AG1075" s="7"/>
      <c r="AH1075" s="7"/>
      <c r="AI1075" s="7"/>
      <c r="AJ1075" s="7"/>
      <c r="AK1075" s="7"/>
      <c r="AL1075" s="7"/>
      <c r="AM1075" s="7"/>
      <c r="AN1075" s="7"/>
      <c r="AO1075" s="7"/>
      <c r="AP1075" s="7"/>
    </row>
    <row r="1076" spans="1:44">
      <c r="A1076" s="305" t="s">
        <v>414</v>
      </c>
      <c r="B1076" s="305"/>
      <c r="C1076" s="61"/>
      <c r="D1076" s="237"/>
      <c r="E1076" s="490"/>
      <c r="F1076" s="490"/>
      <c r="G1076" s="237"/>
      <c r="H1076" s="490"/>
      <c r="I1076" s="490"/>
      <c r="J1076" s="490"/>
      <c r="K1076" s="237"/>
      <c r="L1076" s="490"/>
      <c r="M1076" s="490"/>
      <c r="N1076" s="490"/>
      <c r="O1076" s="237"/>
      <c r="P1076" s="490"/>
      <c r="Q1076" s="490"/>
      <c r="R1076" s="490"/>
      <c r="S1076" s="237"/>
      <c r="T1076" s="490"/>
      <c r="U1076" s="490"/>
      <c r="V1076" s="7"/>
      <c r="W1076" s="31"/>
      <c r="X1076" s="31"/>
      <c r="Y1076" s="31"/>
      <c r="Z1076" s="7"/>
      <c r="AA1076" s="7"/>
      <c r="AB1076" s="7"/>
      <c r="AC1076" s="7"/>
      <c r="AD1076" s="7"/>
      <c r="AE1076" s="7"/>
      <c r="AF1076" s="7"/>
      <c r="AG1076" s="7"/>
      <c r="AH1076" s="7"/>
      <c r="AI1076" s="7"/>
      <c r="AJ1076" s="7"/>
      <c r="AK1076" s="7"/>
      <c r="AL1076" s="7"/>
      <c r="AM1076" s="7"/>
      <c r="AN1076" s="7"/>
      <c r="AO1076" s="7"/>
      <c r="AP1076" s="7"/>
    </row>
    <row r="1077" spans="1:44">
      <c r="A1077" s="305" t="s">
        <v>452</v>
      </c>
      <c r="B1077" s="305"/>
      <c r="C1077" s="61">
        <f>C1041+C983</f>
        <v>192734743.62835389</v>
      </c>
      <c r="D1077" s="1059"/>
      <c r="E1077" s="490"/>
      <c r="F1077" s="490">
        <f>F1041+F983</f>
        <v>9316134</v>
      </c>
      <c r="G1077" s="1059"/>
      <c r="H1077" s="490"/>
      <c r="I1077" s="490">
        <f>I1041+I983</f>
        <v>9313589</v>
      </c>
      <c r="J1077" s="490"/>
      <c r="K1077" s="1059"/>
      <c r="L1077" s="490"/>
      <c r="M1077" s="490" t="e">
        <f>M1041+M983</f>
        <v>#REF!</v>
      </c>
      <c r="N1077" s="490"/>
      <c r="O1077" s="1059"/>
      <c r="P1077" s="490"/>
      <c r="Q1077" s="490" t="e">
        <f>Q1041+Q983</f>
        <v>#REF!</v>
      </c>
      <c r="R1077" s="490"/>
      <c r="S1077" s="1059"/>
      <c r="T1077" s="490"/>
      <c r="U1077" s="490" t="e">
        <f>U1041+U983</f>
        <v>#REF!</v>
      </c>
      <c r="V1077" s="7"/>
      <c r="W1077" s="31"/>
      <c r="X1077" s="31"/>
      <c r="Y1077" s="31"/>
      <c r="Z1077" s="7"/>
      <c r="AA1077" s="7"/>
      <c r="AB1077" s="7"/>
      <c r="AC1077" s="7"/>
      <c r="AD1077" s="7"/>
      <c r="AE1077" s="7"/>
      <c r="AF1077" s="7"/>
      <c r="AG1077" s="7"/>
      <c r="AH1077" s="7"/>
      <c r="AI1077" s="7"/>
      <c r="AJ1077" s="7"/>
      <c r="AK1077" s="7"/>
      <c r="AL1077" s="7"/>
      <c r="AM1077" s="7"/>
      <c r="AN1077" s="7"/>
      <c r="AO1077" s="7"/>
      <c r="AP1077" s="7"/>
    </row>
    <row r="1078" spans="1:44">
      <c r="A1078" s="305" t="s">
        <v>388</v>
      </c>
      <c r="B1078" s="305"/>
      <c r="C1078" s="61">
        <f>C1042+C984</f>
        <v>40486.424242424197</v>
      </c>
      <c r="D1078" s="237"/>
      <c r="E1078" s="490"/>
      <c r="F1078" s="490">
        <f>F1042+F984</f>
        <v>22950</v>
      </c>
      <c r="G1078" s="237"/>
      <c r="H1078" s="490"/>
      <c r="I1078" s="490">
        <f>I1042+I984</f>
        <v>22950</v>
      </c>
      <c r="J1078" s="490"/>
      <c r="K1078" s="237"/>
      <c r="L1078" s="490"/>
      <c r="M1078" s="490" t="e">
        <f>M1042+M984</f>
        <v>#REF!</v>
      </c>
      <c r="N1078" s="490"/>
      <c r="O1078" s="237"/>
      <c r="P1078" s="490"/>
      <c r="Q1078" s="490" t="e">
        <f>Q1042+Q984</f>
        <v>#REF!</v>
      </c>
      <c r="R1078" s="490"/>
      <c r="S1078" s="237"/>
      <c r="T1078" s="490"/>
      <c r="U1078" s="490" t="e">
        <f>U1042+U984</f>
        <v>#REF!</v>
      </c>
      <c r="V1078" s="7"/>
      <c r="W1078" s="31"/>
      <c r="X1078" s="31"/>
      <c r="Y1078" s="31"/>
      <c r="Z1078" s="7"/>
      <c r="AA1078" s="7"/>
      <c r="AB1078" s="7"/>
      <c r="AC1078" s="7"/>
      <c r="AD1078" s="7"/>
      <c r="AE1078" s="7"/>
      <c r="AF1078" s="7"/>
      <c r="AG1078" s="7"/>
      <c r="AH1078" s="7"/>
      <c r="AI1078" s="7"/>
      <c r="AJ1078" s="7"/>
      <c r="AK1078" s="7"/>
      <c r="AL1078" s="7"/>
      <c r="AM1078" s="7"/>
      <c r="AN1078" s="7"/>
      <c r="AO1078" s="7"/>
      <c r="AP1078" s="7"/>
    </row>
    <row r="1079" spans="1:44" s="588" customFormat="1" hidden="1">
      <c r="A1079" s="588" t="s">
        <v>774</v>
      </c>
      <c r="C1079" s="604">
        <f>C1043+C985</f>
        <v>192734743.62835389</v>
      </c>
      <c r="D1079" s="990"/>
      <c r="E1079" s="635"/>
      <c r="F1079" s="616"/>
      <c r="G1079" s="983"/>
      <c r="H1079" s="635"/>
      <c r="I1079" s="616">
        <f>I1043+I985</f>
        <v>0</v>
      </c>
      <c r="J1079" s="616"/>
      <c r="K1079" s="983"/>
      <c r="L1079" s="635"/>
      <c r="M1079" s="616" t="e">
        <f>M1043+M985</f>
        <v>#REF!</v>
      </c>
      <c r="N1079" s="616"/>
      <c r="O1079" s="983"/>
      <c r="P1079" s="635"/>
      <c r="Q1079" s="616" t="e">
        <f>Q1043+Q985</f>
        <v>#REF!</v>
      </c>
      <c r="R1079" s="616"/>
      <c r="S1079" s="983"/>
      <c r="T1079" s="635"/>
      <c r="U1079" s="616" t="e">
        <f>U1043+U985</f>
        <v>#REF!</v>
      </c>
      <c r="W1079" s="450"/>
      <c r="Z1079" s="989"/>
      <c r="AA1079" s="989"/>
      <c r="AF1079" s="635"/>
      <c r="AG1079" s="635"/>
      <c r="AH1079" s="635"/>
      <c r="AI1079" s="635"/>
      <c r="AJ1079" s="635"/>
      <c r="AK1079" s="635"/>
      <c r="AL1079" s="635"/>
      <c r="AM1079" s="635"/>
      <c r="AN1079" s="635"/>
      <c r="AO1079" s="635"/>
      <c r="AP1079" s="635"/>
      <c r="AR1079" s="988"/>
    </row>
    <row r="1080" spans="1:44">
      <c r="A1080" s="305" t="s">
        <v>369</v>
      </c>
      <c r="B1080" s="305"/>
      <c r="C1080" s="61">
        <f>C1044+C986</f>
        <v>192734743.62835389</v>
      </c>
      <c r="D1080" s="1021"/>
      <c r="E1080" s="305"/>
      <c r="F1080" s="490">
        <f>F1044+F986</f>
        <v>14237398</v>
      </c>
      <c r="G1080" s="1021"/>
      <c r="H1080" s="305"/>
      <c r="I1080" s="490">
        <f>I1044+I986</f>
        <v>14236366</v>
      </c>
      <c r="J1080" s="490"/>
      <c r="K1080" s="1021"/>
      <c r="L1080" s="305"/>
      <c r="M1080" s="490" t="e">
        <f>M1044+M986</f>
        <v>#REF!</v>
      </c>
      <c r="N1080" s="490"/>
      <c r="O1080" s="1021"/>
      <c r="P1080" s="305"/>
      <c r="Q1080" s="490" t="e">
        <f>Q1044+Q986</f>
        <v>#REF!</v>
      </c>
      <c r="R1080" s="490"/>
      <c r="S1080" s="1021"/>
      <c r="T1080" s="305"/>
      <c r="U1080" s="490" t="e">
        <f>U1044+U986</f>
        <v>#REF!</v>
      </c>
      <c r="V1080" s="7"/>
      <c r="W1080" s="31"/>
      <c r="X1080" s="31"/>
      <c r="Y1080" s="31"/>
      <c r="Z1080" s="7"/>
      <c r="AA1080" s="7"/>
      <c r="AB1080" s="7"/>
      <c r="AC1080" s="7"/>
      <c r="AD1080" s="7"/>
      <c r="AE1080" s="7"/>
      <c r="AF1080" s="7"/>
      <c r="AG1080" s="7"/>
      <c r="AH1080" s="7"/>
      <c r="AI1080" s="7"/>
      <c r="AJ1080" s="7"/>
      <c r="AK1080" s="7"/>
      <c r="AL1080" s="7"/>
      <c r="AM1080" s="7"/>
      <c r="AN1080" s="7"/>
      <c r="AO1080" s="7"/>
      <c r="AP1080" s="7"/>
    </row>
    <row r="1081" spans="1:44">
      <c r="A1081" s="305" t="s">
        <v>351</v>
      </c>
      <c r="B1081" s="305"/>
      <c r="C1081" s="1011">
        <f>'Table 2'!H49</f>
        <v>1770845.2860049801</v>
      </c>
      <c r="D1081" s="305"/>
      <c r="E1081" s="305"/>
      <c r="F1081" s="1061">
        <f>'Table 3'!E49</f>
        <v>188255.20363351438</v>
      </c>
      <c r="G1081" s="305"/>
      <c r="H1081" s="305"/>
      <c r="I1081" s="1061">
        <f>F1081</f>
        <v>188255.20363351438</v>
      </c>
      <c r="J1081" s="723"/>
      <c r="K1081" s="305"/>
      <c r="L1081" s="305"/>
      <c r="M1081" s="1061" t="e">
        <f>$I$1081*V1028/(V1028+$W$1028+$X$1028)</f>
        <v>#DIV/0!</v>
      </c>
      <c r="N1081" s="723"/>
      <c r="O1081" s="305"/>
      <c r="P1081" s="305"/>
      <c r="Q1081" s="1061" t="e">
        <f>$I$1081*W1028/(V1028+$W$1028+$X$1028)</f>
        <v>#DIV/0!</v>
      </c>
      <c r="R1081" s="723"/>
      <c r="S1081" s="305"/>
      <c r="T1081" s="305"/>
      <c r="U1081" s="1061" t="e">
        <f>$I$1081*X1028/(V1028+$W$1028+$X$1028)</f>
        <v>#DIV/0!</v>
      </c>
      <c r="V1081" s="714"/>
      <c r="W1081" s="171"/>
      <c r="X1081" s="31"/>
      <c r="Y1081" s="31"/>
      <c r="Z1081" s="7"/>
      <c r="AA1081" s="7"/>
      <c r="AB1081" s="7"/>
      <c r="AC1081" s="7"/>
      <c r="AD1081" s="7"/>
      <c r="AE1081" s="7"/>
      <c r="AF1081" s="7"/>
      <c r="AG1081" s="7"/>
      <c r="AH1081" s="7"/>
      <c r="AI1081" s="7"/>
      <c r="AJ1081" s="7"/>
      <c r="AK1081" s="7"/>
      <c r="AL1081" s="7"/>
      <c r="AM1081" s="7"/>
      <c r="AN1081" s="7"/>
      <c r="AO1081" s="7"/>
      <c r="AP1081" s="7"/>
    </row>
    <row r="1082" spans="1:44" ht="16.5" thickBot="1">
      <c r="A1082" s="305" t="s">
        <v>370</v>
      </c>
      <c r="B1082" s="305"/>
      <c r="C1082" s="1066">
        <f>C1080+C1081</f>
        <v>194505588.91435888</v>
      </c>
      <c r="D1082" s="1036"/>
      <c r="E1082" s="1030"/>
      <c r="F1082" s="1067">
        <f>F1080+F1081</f>
        <v>14425653.203633515</v>
      </c>
      <c r="G1082" s="1036"/>
      <c r="H1082" s="1030"/>
      <c r="I1082" s="1067">
        <f>I1080+I1081</f>
        <v>14424621.203633515</v>
      </c>
      <c r="J1082" s="723"/>
      <c r="K1082" s="1036"/>
      <c r="L1082" s="1030"/>
      <c r="M1082" s="1067" t="e">
        <f>M1080+M1081</f>
        <v>#REF!</v>
      </c>
      <c r="N1082" s="723"/>
      <c r="O1082" s="1036"/>
      <c r="P1082" s="1030"/>
      <c r="Q1082" s="1067" t="e">
        <f>Q1080+Q1081</f>
        <v>#REF!</v>
      </c>
      <c r="R1082" s="723"/>
      <c r="S1082" s="1036"/>
      <c r="T1082" s="1030"/>
      <c r="U1082" s="1067" t="e">
        <f>U1080+U1081</f>
        <v>#REF!</v>
      </c>
      <c r="V1082" s="295"/>
      <c r="W1082" s="354"/>
      <c r="X1082" s="31"/>
      <c r="Y1082" s="31"/>
      <c r="Z1082" s="7"/>
      <c r="AA1082" s="7"/>
      <c r="AB1082" s="7"/>
      <c r="AC1082" s="7"/>
      <c r="AD1082" s="7"/>
      <c r="AE1082" s="7"/>
      <c r="AF1082" s="7"/>
      <c r="AG1082" s="7"/>
      <c r="AH1082" s="7"/>
      <c r="AI1082" s="7"/>
      <c r="AJ1082" s="7"/>
      <c r="AK1082" s="7"/>
      <c r="AL1082" s="7"/>
      <c r="AM1082" s="7"/>
      <c r="AN1082" s="7"/>
      <c r="AO1082" s="7"/>
      <c r="AP1082" s="7"/>
    </row>
    <row r="1083" spans="1:44" ht="16.5" thickTop="1">
      <c r="A1083" s="305"/>
      <c r="B1083" s="305"/>
      <c r="C1083" s="61"/>
      <c r="D1083" s="237" t="s">
        <v>31</v>
      </c>
      <c r="E1083" s="305"/>
      <c r="F1083" s="490"/>
      <c r="G1083" s="237" t="s">
        <v>31</v>
      </c>
      <c r="H1083" s="305"/>
      <c r="I1083" s="490" t="s">
        <v>31</v>
      </c>
      <c r="J1083" s="490"/>
      <c r="K1083" s="237" t="s">
        <v>31</v>
      </c>
      <c r="L1083" s="305"/>
      <c r="M1083" s="490" t="s">
        <v>31</v>
      </c>
      <c r="N1083" s="490"/>
      <c r="O1083" s="237" t="s">
        <v>31</v>
      </c>
      <c r="P1083" s="305"/>
      <c r="Q1083" s="490" t="s">
        <v>31</v>
      </c>
      <c r="R1083" s="490"/>
      <c r="S1083" s="237" t="s">
        <v>31</v>
      </c>
      <c r="T1083" s="305"/>
      <c r="U1083" s="490" t="s">
        <v>31</v>
      </c>
      <c r="V1083" s="7"/>
      <c r="W1083" s="31"/>
      <c r="X1083" s="31"/>
      <c r="Y1083" s="31"/>
      <c r="Z1083" s="7"/>
      <c r="AA1083" s="7"/>
      <c r="AB1083" s="7"/>
      <c r="AC1083" s="7"/>
      <c r="AD1083" s="7"/>
      <c r="AE1083" s="7"/>
      <c r="AF1083" s="7"/>
      <c r="AG1083" s="7"/>
      <c r="AH1083" s="7"/>
      <c r="AI1083" s="7"/>
      <c r="AJ1083" s="7"/>
      <c r="AK1083" s="7"/>
      <c r="AL1083" s="7"/>
      <c r="AM1083" s="7"/>
      <c r="AN1083" s="7"/>
      <c r="AO1083" s="7"/>
      <c r="AP1083" s="7"/>
    </row>
    <row r="1084" spans="1:44">
      <c r="A1084" s="305"/>
      <c r="B1084" s="305"/>
      <c r="C1084" s="61"/>
      <c r="D1084" s="237"/>
      <c r="E1084" s="305"/>
      <c r="F1084" s="490"/>
      <c r="G1084" s="237"/>
      <c r="H1084" s="305"/>
      <c r="I1084" s="237"/>
      <c r="J1084" s="237"/>
      <c r="K1084" s="237"/>
      <c r="L1084" s="305"/>
      <c r="M1084" s="237"/>
      <c r="N1084" s="237"/>
      <c r="O1084" s="237"/>
      <c r="P1084" s="305"/>
      <c r="Q1084" s="237"/>
      <c r="R1084" s="237"/>
      <c r="S1084" s="237"/>
      <c r="T1084" s="305"/>
      <c r="U1084" s="237"/>
      <c r="V1084" s="7"/>
      <c r="W1084" s="31"/>
      <c r="X1084" s="31"/>
      <c r="Y1084" s="31"/>
      <c r="Z1084" s="7"/>
      <c r="AA1084" s="7"/>
      <c r="AB1084" s="7"/>
      <c r="AC1084" s="7"/>
      <c r="AD1084" s="7"/>
      <c r="AE1084" s="7"/>
      <c r="AF1084" s="7"/>
      <c r="AG1084" s="7"/>
      <c r="AH1084" s="7"/>
      <c r="AI1084" s="7"/>
      <c r="AJ1084" s="7"/>
      <c r="AK1084" s="7"/>
      <c r="AL1084" s="7"/>
      <c r="AM1084" s="7"/>
      <c r="AN1084" s="7"/>
      <c r="AO1084" s="7"/>
      <c r="AP1084" s="7"/>
    </row>
    <row r="1085" spans="1:44">
      <c r="A1085" s="305" t="s">
        <v>464</v>
      </c>
      <c r="B1085" s="305"/>
      <c r="C1085" s="305"/>
      <c r="D1085" s="490"/>
      <c r="E1085" s="305"/>
      <c r="F1085" s="305"/>
      <c r="G1085" s="490"/>
      <c r="H1085" s="305"/>
      <c r="I1085" s="305"/>
      <c r="J1085" s="305"/>
      <c r="K1085" s="490"/>
      <c r="L1085" s="305"/>
      <c r="M1085" s="305"/>
      <c r="N1085" s="305"/>
      <c r="O1085" s="490"/>
      <c r="P1085" s="305"/>
      <c r="Q1085" s="305"/>
      <c r="R1085" s="305"/>
      <c r="S1085" s="490"/>
      <c r="T1085" s="305"/>
      <c r="U1085" s="305"/>
      <c r="V1085" s="7"/>
      <c r="W1085" s="31"/>
      <c r="X1085" s="31"/>
      <c r="Y1085" s="31"/>
      <c r="Z1085" s="7"/>
      <c r="AA1085" s="7"/>
      <c r="AB1085" s="7"/>
      <c r="AC1085" s="7"/>
      <c r="AD1085" s="7"/>
      <c r="AE1085" s="7"/>
      <c r="AF1085" s="7"/>
      <c r="AG1085" s="7"/>
      <c r="AH1085" s="7"/>
      <c r="AI1085" s="7"/>
      <c r="AJ1085" s="7"/>
      <c r="AK1085" s="7"/>
      <c r="AL1085" s="7"/>
      <c r="AM1085" s="7"/>
      <c r="AN1085" s="7"/>
      <c r="AO1085" s="7"/>
      <c r="AP1085" s="7"/>
    </row>
    <row r="1086" spans="1:44">
      <c r="A1086" s="305" t="s">
        <v>638</v>
      </c>
      <c r="B1086" s="305"/>
      <c r="C1086" s="305"/>
      <c r="D1086" s="490"/>
      <c r="E1086" s="305"/>
      <c r="F1086" s="305"/>
      <c r="G1086" s="490"/>
      <c r="H1086" s="305"/>
      <c r="I1086" s="305"/>
      <c r="J1086" s="305"/>
      <c r="K1086" s="490"/>
      <c r="L1086" s="305"/>
      <c r="M1086" s="305"/>
      <c r="N1086" s="305"/>
      <c r="O1086" s="490"/>
      <c r="P1086" s="305"/>
      <c r="Q1086" s="305"/>
      <c r="R1086" s="305"/>
      <c r="S1086" s="490"/>
      <c r="T1086" s="305"/>
      <c r="U1086" s="305"/>
      <c r="V1086" s="7"/>
      <c r="W1086" s="31"/>
      <c r="X1086" s="31"/>
      <c r="Y1086" s="31"/>
      <c r="Z1086" s="7"/>
      <c r="AA1086" s="7"/>
      <c r="AB1086" s="7"/>
      <c r="AC1086" s="7"/>
      <c r="AD1086" s="7"/>
      <c r="AE1086" s="7"/>
      <c r="AF1086" s="7"/>
      <c r="AG1086" s="7"/>
      <c r="AH1086" s="7"/>
      <c r="AI1086" s="7"/>
      <c r="AJ1086" s="7"/>
      <c r="AK1086" s="7"/>
      <c r="AL1086" s="7"/>
      <c r="AM1086" s="7"/>
      <c r="AN1086" s="7"/>
      <c r="AO1086" s="7"/>
      <c r="AP1086" s="7"/>
    </row>
    <row r="1087" spans="1:44">
      <c r="A1087" s="305"/>
      <c r="B1087" s="305"/>
      <c r="C1087" s="305"/>
      <c r="D1087" s="490"/>
      <c r="E1087" s="305"/>
      <c r="F1087" s="305"/>
      <c r="G1087" s="490"/>
      <c r="H1087" s="305"/>
      <c r="I1087" s="305"/>
      <c r="J1087" s="305"/>
      <c r="K1087" s="490"/>
      <c r="L1087" s="305"/>
      <c r="M1087" s="305"/>
      <c r="N1087" s="305"/>
      <c r="O1087" s="490"/>
      <c r="P1087" s="305"/>
      <c r="Q1087" s="305"/>
      <c r="R1087" s="305"/>
      <c r="S1087" s="490"/>
      <c r="T1087" s="305"/>
      <c r="U1087" s="305"/>
      <c r="V1087" s="7"/>
      <c r="W1087" s="31"/>
      <c r="X1087" s="31"/>
      <c r="Y1087" s="31"/>
      <c r="Z1087" s="7"/>
      <c r="AA1087" s="7"/>
      <c r="AB1087" s="7"/>
      <c r="AC1087" s="7"/>
      <c r="AD1087" s="7"/>
      <c r="AE1087" s="7"/>
      <c r="AF1087" s="7"/>
      <c r="AG1087" s="7"/>
      <c r="AH1087" s="7"/>
      <c r="AI1087" s="7"/>
      <c r="AJ1087" s="7"/>
      <c r="AK1087" s="7"/>
      <c r="AL1087" s="7"/>
      <c r="AM1087" s="7"/>
      <c r="AN1087" s="7"/>
      <c r="AO1087" s="7"/>
      <c r="AP1087" s="7"/>
    </row>
    <row r="1088" spans="1:44">
      <c r="A1088" s="305" t="s">
        <v>381</v>
      </c>
      <c r="B1088" s="305"/>
      <c r="C1088" s="61"/>
      <c r="D1088" s="490"/>
      <c r="E1088" s="305"/>
      <c r="F1088" s="305"/>
      <c r="G1088" s="490"/>
      <c r="H1088" s="305"/>
      <c r="I1088" s="305"/>
      <c r="J1088" s="305"/>
      <c r="K1088" s="490"/>
      <c r="L1088" s="305"/>
      <c r="M1088" s="305"/>
      <c r="N1088" s="305"/>
      <c r="O1088" s="490"/>
      <c r="P1088" s="305"/>
      <c r="Q1088" s="305"/>
      <c r="R1088" s="305"/>
      <c r="S1088" s="490"/>
      <c r="T1088" s="305"/>
      <c r="U1088" s="305"/>
      <c r="V1088" s="7"/>
      <c r="W1088" s="31"/>
      <c r="X1088" s="31"/>
      <c r="Y1088" s="31"/>
      <c r="Z1088" s="7"/>
      <c r="AA1088" s="7"/>
      <c r="AB1088" s="7"/>
      <c r="AC1088" s="7"/>
      <c r="AD1088" s="7"/>
      <c r="AE1088" s="7"/>
      <c r="AF1088" s="7"/>
      <c r="AG1088" s="7"/>
      <c r="AH1088" s="7"/>
      <c r="AI1088" s="7"/>
      <c r="AJ1088" s="7"/>
      <c r="AK1088" s="7"/>
      <c r="AL1088" s="7"/>
      <c r="AM1088" s="7"/>
      <c r="AN1088" s="7"/>
      <c r="AO1088" s="7"/>
      <c r="AP1088" s="7"/>
    </row>
    <row r="1089" spans="1:44">
      <c r="A1089" s="305" t="s">
        <v>459</v>
      </c>
      <c r="B1089" s="305"/>
      <c r="C1089" s="61">
        <f t="shared" ref="C1089:C1094" si="183">C1052+C994</f>
        <v>336.87878787878799</v>
      </c>
      <c r="D1089" s="237"/>
      <c r="E1089" s="490"/>
      <c r="F1089" s="490">
        <f>F1052+F994</f>
        <v>486619</v>
      </c>
      <c r="G1089" s="237"/>
      <c r="H1089" s="490"/>
      <c r="I1089" s="490">
        <f>I1052+I994</f>
        <v>486619</v>
      </c>
      <c r="J1089" s="490"/>
      <c r="K1089" s="237"/>
      <c r="L1089" s="490"/>
      <c r="M1089" s="490" t="e">
        <f>M1052+M994</f>
        <v>#REF!</v>
      </c>
      <c r="N1089" s="490"/>
      <c r="O1089" s="237"/>
      <c r="P1089" s="490"/>
      <c r="Q1089" s="490" t="e">
        <f>Q1052+Q994</f>
        <v>#REF!</v>
      </c>
      <c r="R1089" s="490"/>
      <c r="S1089" s="237"/>
      <c r="T1089" s="490"/>
      <c r="U1089" s="490" t="e">
        <f>U1052+U994</f>
        <v>#REF!</v>
      </c>
      <c r="V1089" s="7"/>
      <c r="W1089" s="31"/>
      <c r="X1089" s="31"/>
      <c r="Y1089" s="31"/>
      <c r="Z1089" s="7"/>
      <c r="AA1089" s="7"/>
      <c r="AB1089" s="7"/>
      <c r="AC1089" s="7"/>
      <c r="AD1089" s="7"/>
      <c r="AE1089" s="7"/>
      <c r="AF1089" s="7"/>
      <c r="AG1089" s="7"/>
      <c r="AH1089" s="7"/>
      <c r="AI1089" s="7"/>
      <c r="AJ1089" s="7"/>
      <c r="AK1089" s="7"/>
      <c r="AL1089" s="7"/>
      <c r="AM1089" s="7"/>
      <c r="AN1089" s="7"/>
      <c r="AO1089" s="7"/>
      <c r="AP1089" s="7"/>
    </row>
    <row r="1090" spans="1:44">
      <c r="A1090" s="305" t="s">
        <v>460</v>
      </c>
      <c r="B1090" s="305"/>
      <c r="C1090" s="61">
        <f t="shared" si="183"/>
        <v>0</v>
      </c>
      <c r="D1090" s="237"/>
      <c r="E1090" s="1009"/>
      <c r="F1090" s="490">
        <f>F1053+F995</f>
        <v>0</v>
      </c>
      <c r="G1090" s="237"/>
      <c r="H1090" s="1009"/>
      <c r="I1090" s="490">
        <f>I1053+I995</f>
        <v>0</v>
      </c>
      <c r="J1090" s="490"/>
      <c r="K1090" s="237"/>
      <c r="L1090" s="1009"/>
      <c r="M1090" s="490" t="e">
        <f>M1053+M995</f>
        <v>#REF!</v>
      </c>
      <c r="N1090" s="490"/>
      <c r="O1090" s="237"/>
      <c r="P1090" s="1009"/>
      <c r="Q1090" s="490" t="e">
        <f>Q1053+Q995</f>
        <v>#REF!</v>
      </c>
      <c r="R1090" s="490"/>
      <c r="S1090" s="237"/>
      <c r="T1090" s="1009"/>
      <c r="U1090" s="490" t="e">
        <f>U1053+U995</f>
        <v>#REF!</v>
      </c>
      <c r="V1090" s="7"/>
      <c r="W1090" s="31"/>
      <c r="X1090" s="31"/>
      <c r="Y1090" s="31"/>
      <c r="Z1090" s="7"/>
      <c r="AA1090" s="7"/>
      <c r="AB1090" s="7"/>
      <c r="AC1090" s="7"/>
      <c r="AD1090" s="7"/>
      <c r="AE1090" s="7"/>
      <c r="AF1090" s="7"/>
      <c r="AG1090" s="7"/>
      <c r="AH1090" s="7"/>
      <c r="AI1090" s="7"/>
      <c r="AJ1090" s="7"/>
      <c r="AK1090" s="7"/>
      <c r="AL1090" s="7"/>
      <c r="AM1090" s="7"/>
      <c r="AN1090" s="7"/>
      <c r="AO1090" s="7"/>
      <c r="AP1090" s="7"/>
    </row>
    <row r="1091" spans="1:44">
      <c r="A1091" s="305" t="s">
        <v>382</v>
      </c>
      <c r="B1091" s="305"/>
      <c r="C1091" s="61">
        <f t="shared" si="183"/>
        <v>336.87878787878799</v>
      </c>
      <c r="D1091" s="237"/>
      <c r="E1091" s="490"/>
      <c r="F1091" s="490" t="s">
        <v>31</v>
      </c>
      <c r="G1091" s="237"/>
      <c r="H1091" s="490"/>
      <c r="I1091" s="490" t="s">
        <v>31</v>
      </c>
      <c r="J1091" s="490"/>
      <c r="K1091" s="237"/>
      <c r="L1091" s="490"/>
      <c r="M1091" s="490" t="s">
        <v>31</v>
      </c>
      <c r="N1091" s="490"/>
      <c r="O1091" s="237"/>
      <c r="P1091" s="490"/>
      <c r="Q1091" s="490" t="s">
        <v>31</v>
      </c>
      <c r="R1091" s="490"/>
      <c r="S1091" s="237"/>
      <c r="T1091" s="490"/>
      <c r="U1091" s="490" t="s">
        <v>31</v>
      </c>
      <c r="V1091" s="7"/>
      <c r="W1091" s="31"/>
      <c r="X1091" s="31"/>
      <c r="Y1091" s="31"/>
      <c r="Z1091" s="7"/>
      <c r="AA1091" s="7"/>
      <c r="AB1091" s="7"/>
      <c r="AC1091" s="7"/>
      <c r="AD1091" s="7"/>
      <c r="AE1091" s="7"/>
      <c r="AF1091" s="7"/>
      <c r="AG1091" s="7"/>
      <c r="AH1091" s="7"/>
      <c r="AI1091" s="7"/>
      <c r="AJ1091" s="7"/>
      <c r="AK1091" s="7"/>
      <c r="AL1091" s="7"/>
      <c r="AM1091" s="7"/>
      <c r="AN1091" s="7"/>
      <c r="AO1091" s="7"/>
      <c r="AP1091" s="7"/>
    </row>
    <row r="1092" spans="1:44">
      <c r="A1092" s="305" t="s">
        <v>461</v>
      </c>
      <c r="B1092" s="305"/>
      <c r="C1092" s="61">
        <f t="shared" si="183"/>
        <v>525179</v>
      </c>
      <c r="D1092" s="237"/>
      <c r="E1092" s="490"/>
      <c r="F1092" s="490">
        <f>F1055+F997</f>
        <v>594107</v>
      </c>
      <c r="G1092" s="237"/>
      <c r="H1092" s="490"/>
      <c r="I1092" s="490">
        <f>I1055+I997</f>
        <v>594107</v>
      </c>
      <c r="J1092" s="490"/>
      <c r="K1092" s="237"/>
      <c r="L1092" s="490"/>
      <c r="M1092" s="490" t="e">
        <f>M1055+M997</f>
        <v>#REF!</v>
      </c>
      <c r="N1092" s="490"/>
      <c r="O1092" s="237"/>
      <c r="P1092" s="490"/>
      <c r="Q1092" s="490" t="e">
        <f>Q1055+Q997</f>
        <v>#REF!</v>
      </c>
      <c r="R1092" s="490"/>
      <c r="S1092" s="237"/>
      <c r="T1092" s="490"/>
      <c r="U1092" s="490" t="e">
        <f>U1055+U997</f>
        <v>#REF!</v>
      </c>
      <c r="V1092" s="7"/>
      <c r="W1092" s="31"/>
      <c r="X1092" s="31"/>
      <c r="Y1092" s="31"/>
      <c r="Z1092" s="7"/>
      <c r="AA1092" s="7"/>
      <c r="AB1092" s="7"/>
      <c r="AC1092" s="7"/>
      <c r="AD1092" s="7"/>
      <c r="AE1092" s="7"/>
      <c r="AF1092" s="7"/>
      <c r="AG1092" s="7"/>
      <c r="AH1092" s="7"/>
      <c r="AI1092" s="7"/>
      <c r="AJ1092" s="7"/>
      <c r="AK1092" s="7"/>
      <c r="AL1092" s="7"/>
      <c r="AM1092" s="7"/>
      <c r="AN1092" s="7"/>
      <c r="AO1092" s="7"/>
      <c r="AP1092" s="7"/>
    </row>
    <row r="1093" spans="1:44">
      <c r="A1093" s="305" t="s">
        <v>462</v>
      </c>
      <c r="B1093" s="305"/>
      <c r="C1093" s="61">
        <f t="shared" si="183"/>
        <v>0</v>
      </c>
      <c r="D1093" s="237"/>
      <c r="E1093" s="490"/>
      <c r="F1093" s="490">
        <f>F1056+F998</f>
        <v>0</v>
      </c>
      <c r="G1093" s="237"/>
      <c r="H1093" s="490"/>
      <c r="I1093" s="490">
        <f>I1056+I998</f>
        <v>0</v>
      </c>
      <c r="J1093" s="490"/>
      <c r="K1093" s="237"/>
      <c r="L1093" s="490"/>
      <c r="M1093" s="490" t="e">
        <f>M1056+M998</f>
        <v>#REF!</v>
      </c>
      <c r="N1093" s="490"/>
      <c r="O1093" s="237"/>
      <c r="P1093" s="490"/>
      <c r="Q1093" s="490" t="e">
        <f>Q1056+Q998</f>
        <v>#REF!</v>
      </c>
      <c r="R1093" s="490"/>
      <c r="S1093" s="237"/>
      <c r="T1093" s="490"/>
      <c r="U1093" s="490" t="e">
        <f>U1056+U998</f>
        <v>#REF!</v>
      </c>
      <c r="V1093" s="7"/>
      <c r="W1093" s="31"/>
      <c r="X1093" s="31"/>
      <c r="Y1093" s="31"/>
      <c r="Z1093" s="7"/>
      <c r="AA1093" s="7"/>
      <c r="AB1093" s="7"/>
      <c r="AC1093" s="7"/>
      <c r="AD1093" s="7"/>
      <c r="AE1093" s="7"/>
      <c r="AF1093" s="7"/>
      <c r="AG1093" s="7"/>
      <c r="AH1093" s="7"/>
      <c r="AI1093" s="7"/>
      <c r="AJ1093" s="7"/>
      <c r="AK1093" s="7"/>
      <c r="AL1093" s="7"/>
      <c r="AM1093" s="7"/>
      <c r="AN1093" s="7"/>
      <c r="AO1093" s="7"/>
      <c r="AP1093" s="7"/>
    </row>
    <row r="1094" spans="1:44">
      <c r="A1094" s="305" t="s">
        <v>391</v>
      </c>
      <c r="B1094" s="305"/>
      <c r="C1094" s="61">
        <f t="shared" si="183"/>
        <v>454612</v>
      </c>
      <c r="D1094" s="237"/>
      <c r="E1094" s="490"/>
      <c r="F1094" s="490">
        <f>F1057+F999</f>
        <v>3707140</v>
      </c>
      <c r="G1094" s="237"/>
      <c r="H1094" s="490"/>
      <c r="I1094" s="490">
        <f>I1057+I999</f>
        <v>3711409</v>
      </c>
      <c r="J1094" s="490"/>
      <c r="K1094" s="237"/>
      <c r="L1094" s="490"/>
      <c r="M1094" s="490" t="e">
        <f>M1057+M999</f>
        <v>#REF!</v>
      </c>
      <c r="N1094" s="490"/>
      <c r="O1094" s="237"/>
      <c r="P1094" s="490"/>
      <c r="Q1094" s="490" t="e">
        <f>Q1057+Q999</f>
        <v>#REF!</v>
      </c>
      <c r="R1094" s="490"/>
      <c r="S1094" s="237"/>
      <c r="T1094" s="490"/>
      <c r="U1094" s="490" t="e">
        <f>U1057+U999</f>
        <v>#REF!</v>
      </c>
      <c r="V1094" s="7"/>
      <c r="W1094" s="31"/>
      <c r="X1094" s="31"/>
      <c r="Y1094" s="31"/>
      <c r="Z1094" s="7"/>
      <c r="AA1094" s="7"/>
      <c r="AB1094" s="7"/>
      <c r="AC1094" s="7"/>
      <c r="AD1094" s="7"/>
      <c r="AE1094" s="7"/>
      <c r="AF1094" s="7"/>
      <c r="AG1094" s="7"/>
      <c r="AH1094" s="7"/>
      <c r="AI1094" s="7"/>
      <c r="AJ1094" s="7"/>
      <c r="AK1094" s="7"/>
      <c r="AL1094" s="7"/>
      <c r="AM1094" s="7"/>
      <c r="AN1094" s="7"/>
      <c r="AO1094" s="7"/>
      <c r="AP1094" s="7"/>
    </row>
    <row r="1095" spans="1:44">
      <c r="A1095" s="305" t="s">
        <v>414</v>
      </c>
      <c r="B1095" s="305"/>
      <c r="C1095" s="61"/>
      <c r="D1095" s="237"/>
      <c r="E1095" s="490"/>
      <c r="F1095" s="490"/>
      <c r="G1095" s="237"/>
      <c r="H1095" s="490"/>
      <c r="I1095" s="490"/>
      <c r="J1095" s="490"/>
      <c r="K1095" s="237"/>
      <c r="L1095" s="490"/>
      <c r="M1095" s="490"/>
      <c r="N1095" s="490"/>
      <c r="O1095" s="237"/>
      <c r="P1095" s="490"/>
      <c r="Q1095" s="490"/>
      <c r="R1095" s="490"/>
      <c r="S1095" s="237"/>
      <c r="T1095" s="490"/>
      <c r="U1095" s="490"/>
      <c r="V1095" s="7"/>
      <c r="W1095" s="31"/>
      <c r="X1095" s="31"/>
      <c r="Y1095" s="31"/>
      <c r="Z1095" s="7"/>
      <c r="AA1095" s="7"/>
      <c r="AB1095" s="7"/>
      <c r="AC1095" s="7"/>
      <c r="AD1095" s="7"/>
      <c r="AE1095" s="7"/>
      <c r="AF1095" s="7"/>
      <c r="AG1095" s="7"/>
      <c r="AH1095" s="7"/>
      <c r="AI1095" s="7"/>
      <c r="AJ1095" s="7"/>
      <c r="AK1095" s="7"/>
      <c r="AL1095" s="7"/>
      <c r="AM1095" s="7"/>
      <c r="AN1095" s="7"/>
      <c r="AO1095" s="7"/>
      <c r="AP1095" s="7"/>
    </row>
    <row r="1096" spans="1:44">
      <c r="A1096" s="305" t="s">
        <v>452</v>
      </c>
      <c r="B1096" s="305"/>
      <c r="C1096" s="61">
        <f>C1059+C1001</f>
        <v>201885850</v>
      </c>
      <c r="D1096" s="1059"/>
      <c r="E1096" s="490"/>
      <c r="F1096" s="490">
        <f>F1059+F1001</f>
        <v>9794963</v>
      </c>
      <c r="G1096" s="1059"/>
      <c r="H1096" s="490"/>
      <c r="I1096" s="490">
        <f>I1059+I1001</f>
        <v>9790946</v>
      </c>
      <c r="J1096" s="490"/>
      <c r="K1096" s="1059"/>
      <c r="L1096" s="490"/>
      <c r="M1096" s="490" t="e">
        <f>M1059+M1001</f>
        <v>#REF!</v>
      </c>
      <c r="N1096" s="490"/>
      <c r="O1096" s="1059"/>
      <c r="P1096" s="490"/>
      <c r="Q1096" s="490" t="e">
        <f>Q1059+Q1001</f>
        <v>#REF!</v>
      </c>
      <c r="R1096" s="490"/>
      <c r="S1096" s="1059"/>
      <c r="T1096" s="490"/>
      <c r="U1096" s="490" t="e">
        <f>U1059+U1001</f>
        <v>#REF!</v>
      </c>
      <c r="V1096" s="7"/>
      <c r="W1096" s="31"/>
      <c r="X1096" s="31"/>
      <c r="Y1096" s="31"/>
      <c r="Z1096" s="7"/>
      <c r="AA1096" s="7"/>
      <c r="AB1096" s="7"/>
      <c r="AC1096" s="7"/>
      <c r="AD1096" s="7"/>
      <c r="AE1096" s="7"/>
      <c r="AF1096" s="7"/>
      <c r="AG1096" s="7"/>
      <c r="AH1096" s="7"/>
      <c r="AI1096" s="7"/>
      <c r="AJ1096" s="7"/>
      <c r="AK1096" s="7"/>
      <c r="AL1096" s="7"/>
      <c r="AM1096" s="7"/>
      <c r="AN1096" s="7"/>
      <c r="AO1096" s="7"/>
      <c r="AP1096" s="7"/>
    </row>
    <row r="1097" spans="1:44">
      <c r="A1097" s="305" t="s">
        <v>388</v>
      </c>
      <c r="B1097" s="305"/>
      <c r="C1097" s="61">
        <f>C1060+C1002</f>
        <v>119864.939393939</v>
      </c>
      <c r="D1097" s="237"/>
      <c r="E1097" s="490"/>
      <c r="F1097" s="490">
        <f>F1060+F1002</f>
        <v>68300</v>
      </c>
      <c r="G1097" s="237"/>
      <c r="H1097" s="490"/>
      <c r="I1097" s="490">
        <f>I1060+I1002</f>
        <v>68300</v>
      </c>
      <c r="J1097" s="490"/>
      <c r="K1097" s="237"/>
      <c r="L1097" s="490"/>
      <c r="M1097" s="490" t="e">
        <f>M1060+M1002</f>
        <v>#REF!</v>
      </c>
      <c r="N1097" s="490"/>
      <c r="O1097" s="237"/>
      <c r="P1097" s="490"/>
      <c r="Q1097" s="490" t="e">
        <f>Q1060+Q1002</f>
        <v>#REF!</v>
      </c>
      <c r="R1097" s="490"/>
      <c r="S1097" s="237"/>
      <c r="T1097" s="490"/>
      <c r="U1097" s="490" t="e">
        <f>U1060+U1002</f>
        <v>#REF!</v>
      </c>
      <c r="V1097" s="7"/>
      <c r="W1097" s="31"/>
      <c r="X1097" s="31"/>
      <c r="Y1097" s="31"/>
      <c r="Z1097" s="7"/>
      <c r="AA1097" s="7"/>
      <c r="AB1097" s="7"/>
      <c r="AC1097" s="7"/>
      <c r="AD1097" s="7"/>
      <c r="AE1097" s="7"/>
      <c r="AF1097" s="7"/>
      <c r="AG1097" s="7"/>
      <c r="AH1097" s="7"/>
      <c r="AI1097" s="7"/>
      <c r="AJ1097" s="7"/>
      <c r="AK1097" s="7"/>
      <c r="AL1097" s="7"/>
      <c r="AM1097" s="7"/>
      <c r="AN1097" s="7"/>
      <c r="AO1097" s="7"/>
      <c r="AP1097" s="7"/>
    </row>
    <row r="1098" spans="1:44" s="588" customFormat="1" hidden="1">
      <c r="A1098" s="588" t="s">
        <v>774</v>
      </c>
      <c r="C1098" s="604">
        <f>C1061+C1003</f>
        <v>201885850</v>
      </c>
      <c r="D1098" s="990"/>
      <c r="E1098" s="635"/>
      <c r="F1098" s="616"/>
      <c r="G1098" s="983"/>
      <c r="H1098" s="635"/>
      <c r="I1098" s="616">
        <f>I1061+I1003</f>
        <v>0</v>
      </c>
      <c r="J1098" s="616"/>
      <c r="K1098" s="983"/>
      <c r="L1098" s="635"/>
      <c r="M1098" s="616" t="e">
        <f>M1061+M1003</f>
        <v>#REF!</v>
      </c>
      <c r="N1098" s="616"/>
      <c r="O1098" s="983"/>
      <c r="P1098" s="635"/>
      <c r="Q1098" s="616" t="e">
        <f>Q1061+Q1003</f>
        <v>#REF!</v>
      </c>
      <c r="R1098" s="616"/>
      <c r="S1098" s="983"/>
      <c r="T1098" s="635"/>
      <c r="U1098" s="616" t="e">
        <f>U1061+U1003</f>
        <v>#REF!</v>
      </c>
      <c r="W1098" s="450"/>
      <c r="Z1098" s="989"/>
      <c r="AA1098" s="989"/>
      <c r="AF1098" s="635"/>
      <c r="AG1098" s="635"/>
      <c r="AH1098" s="635"/>
      <c r="AI1098" s="635"/>
      <c r="AJ1098" s="635"/>
      <c r="AK1098" s="635"/>
      <c r="AL1098" s="635"/>
      <c r="AM1098" s="635"/>
      <c r="AN1098" s="635"/>
      <c r="AO1098" s="635"/>
      <c r="AP1098" s="635"/>
      <c r="AR1098" s="988"/>
    </row>
    <row r="1099" spans="1:44">
      <c r="A1099" s="305" t="s">
        <v>369</v>
      </c>
      <c r="B1099" s="305"/>
      <c r="C1099" s="999">
        <f>C1062+C1004</f>
        <v>201885850</v>
      </c>
      <c r="D1099" s="1021"/>
      <c r="E1099" s="305"/>
      <c r="F1099" s="723">
        <f>F1062+F1004</f>
        <v>14651129</v>
      </c>
      <c r="G1099" s="1021"/>
      <c r="H1099" s="305"/>
      <c r="I1099" s="723">
        <f>I1062+I1004</f>
        <v>14651381</v>
      </c>
      <c r="J1099" s="723"/>
      <c r="K1099" s="1021"/>
      <c r="L1099" s="305"/>
      <c r="M1099" s="723" t="e">
        <f>M1062+M1004</f>
        <v>#REF!</v>
      </c>
      <c r="N1099" s="723"/>
      <c r="O1099" s="1021"/>
      <c r="P1099" s="305"/>
      <c r="Q1099" s="723" t="e">
        <f>Q1062+Q1004</f>
        <v>#REF!</v>
      </c>
      <c r="R1099" s="723"/>
      <c r="S1099" s="1021"/>
      <c r="T1099" s="305"/>
      <c r="U1099" s="723" t="e">
        <f>U1062+U1004</f>
        <v>#REF!</v>
      </c>
      <c r="V1099" s="7"/>
      <c r="W1099" s="31"/>
      <c r="X1099" s="31"/>
      <c r="Y1099" s="31"/>
      <c r="Z1099" s="7"/>
      <c r="AA1099" s="7"/>
      <c r="AB1099" s="7"/>
      <c r="AC1099" s="7"/>
      <c r="AD1099" s="7"/>
      <c r="AE1099" s="7"/>
      <c r="AF1099" s="7"/>
      <c r="AG1099" s="7"/>
      <c r="AH1099" s="7"/>
      <c r="AI1099" s="7"/>
      <c r="AJ1099" s="7"/>
      <c r="AK1099" s="7"/>
      <c r="AL1099" s="7"/>
      <c r="AM1099" s="7"/>
      <c r="AN1099" s="7"/>
      <c r="AO1099" s="7"/>
      <c r="AP1099" s="7"/>
    </row>
    <row r="1100" spans="1:44">
      <c r="A1100" s="305" t="s">
        <v>351</v>
      </c>
      <c r="B1100" s="305"/>
      <c r="C1100" s="1011">
        <f ca="1">'Table 2'!H81</f>
        <v>3794124.5860089995</v>
      </c>
      <c r="D1100" s="305"/>
      <c r="E1100" s="305"/>
      <c r="F1100" s="1061">
        <f ca="1">'Table 3'!E81</f>
        <v>88734.392806797216</v>
      </c>
      <c r="G1100" s="305"/>
      <c r="H1100" s="305"/>
      <c r="I1100" s="1061">
        <f ca="1">F1100</f>
        <v>88734.392806797216</v>
      </c>
      <c r="J1100" s="723"/>
      <c r="K1100" s="305"/>
      <c r="L1100" s="305"/>
      <c r="M1100" s="1061" t="e">
        <f ca="1">$I$1100*V1028/(V1028+$W$1028+$X$1028)</f>
        <v>#DIV/0!</v>
      </c>
      <c r="N1100" s="723"/>
      <c r="O1100" s="305"/>
      <c r="P1100" s="305"/>
      <c r="Q1100" s="1061" t="e">
        <f ca="1">$I$1100*W1028/(V1028+$W$1028+$X$1028)</f>
        <v>#DIV/0!</v>
      </c>
      <c r="R1100" s="723"/>
      <c r="S1100" s="305"/>
      <c r="T1100" s="305"/>
      <c r="U1100" s="1061" t="e">
        <f ca="1">$I$1100*X1028/(V1028+$W$1028+$X$1028)</f>
        <v>#DIV/0!</v>
      </c>
      <c r="V1100" s="714"/>
      <c r="W1100" s="171"/>
      <c r="X1100" s="31"/>
      <c r="Y1100" s="31"/>
      <c r="Z1100" s="7"/>
      <c r="AA1100" s="7"/>
      <c r="AB1100" s="7"/>
      <c r="AC1100" s="7"/>
      <c r="AD1100" s="7"/>
      <c r="AE1100" s="7"/>
      <c r="AF1100" s="7"/>
      <c r="AG1100" s="7"/>
      <c r="AH1100" s="7"/>
      <c r="AI1100" s="7"/>
      <c r="AJ1100" s="7"/>
      <c r="AK1100" s="7"/>
      <c r="AL1100" s="7"/>
      <c r="AM1100" s="7"/>
      <c r="AN1100" s="7"/>
      <c r="AO1100" s="7"/>
      <c r="AP1100" s="7"/>
    </row>
    <row r="1101" spans="1:44" ht="16.5" thickBot="1">
      <c r="A1101" s="305" t="s">
        <v>370</v>
      </c>
      <c r="B1101" s="305"/>
      <c r="C1101" s="1066">
        <f ca="1">C1099+C1100</f>
        <v>205679974.586009</v>
      </c>
      <c r="D1101" s="1036"/>
      <c r="E1101" s="1030"/>
      <c r="F1101" s="1064">
        <f ca="1">F1099+F1100</f>
        <v>14739863.392806796</v>
      </c>
      <c r="G1101" s="1036"/>
      <c r="H1101" s="1030"/>
      <c r="I1101" s="1064">
        <f ca="1">I1099+I1100</f>
        <v>14740115.392806796</v>
      </c>
      <c r="J1101" s="723"/>
      <c r="K1101" s="1036"/>
      <c r="L1101" s="1030"/>
      <c r="M1101" s="1064" t="e">
        <f ca="1">M1099+M1100</f>
        <v>#REF!</v>
      </c>
      <c r="N1101" s="723"/>
      <c r="O1101" s="1036"/>
      <c r="P1101" s="1030"/>
      <c r="Q1101" s="1064" t="e">
        <f ca="1">Q1099+Q1100</f>
        <v>#REF!</v>
      </c>
      <c r="R1101" s="723"/>
      <c r="S1101" s="1036"/>
      <c r="T1101" s="1030"/>
      <c r="U1101" s="1064" t="e">
        <f ca="1">U1099+U1100</f>
        <v>#REF!</v>
      </c>
      <c r="V1101" s="295"/>
      <c r="W1101" s="354"/>
      <c r="X1101" s="31"/>
      <c r="Y1101" s="31"/>
      <c r="Z1101" s="7"/>
      <c r="AA1101" s="7"/>
      <c r="AB1101" s="7"/>
      <c r="AC1101" s="7"/>
      <c r="AD1101" s="7"/>
      <c r="AE1101" s="7"/>
      <c r="AF1101" s="7"/>
      <c r="AG1101" s="7"/>
      <c r="AH1101" s="7"/>
      <c r="AI1101" s="7"/>
      <c r="AJ1101" s="7"/>
      <c r="AK1101" s="7"/>
      <c r="AL1101" s="7"/>
      <c r="AM1101" s="7"/>
      <c r="AN1101" s="7"/>
      <c r="AO1101" s="7"/>
      <c r="AP1101" s="7"/>
    </row>
    <row r="1102" spans="1:44" ht="16.5" thickTop="1">
      <c r="A1102" s="305"/>
      <c r="B1102" s="305"/>
      <c r="C1102" s="61"/>
      <c r="D1102" s="237" t="s">
        <v>31</v>
      </c>
      <c r="E1102" s="305"/>
      <c r="F1102" s="490"/>
      <c r="G1102" s="237" t="s">
        <v>31</v>
      </c>
      <c r="H1102" s="305"/>
      <c r="I1102" s="490" t="s">
        <v>31</v>
      </c>
      <c r="J1102" s="490"/>
      <c r="K1102" s="237" t="s">
        <v>31</v>
      </c>
      <c r="L1102" s="305"/>
      <c r="M1102" s="490" t="s">
        <v>31</v>
      </c>
      <c r="N1102" s="490"/>
      <c r="O1102" s="237" t="s">
        <v>31</v>
      </c>
      <c r="P1102" s="305"/>
      <c r="Q1102" s="490" t="s">
        <v>31</v>
      </c>
      <c r="R1102" s="490"/>
      <c r="S1102" s="237" t="s">
        <v>31</v>
      </c>
      <c r="T1102" s="305"/>
      <c r="U1102" s="490" t="s">
        <v>31</v>
      </c>
      <c r="V1102" s="7"/>
      <c r="W1102" s="31"/>
      <c r="X1102" s="31"/>
      <c r="Y1102" s="31"/>
      <c r="Z1102" s="7"/>
      <c r="AA1102" s="7"/>
      <c r="AB1102" s="7"/>
      <c r="AC1102" s="7"/>
      <c r="AD1102" s="7"/>
      <c r="AE1102" s="7"/>
      <c r="AF1102" s="7"/>
      <c r="AG1102" s="7"/>
      <c r="AH1102" s="7"/>
      <c r="AI1102" s="7"/>
      <c r="AJ1102" s="7"/>
      <c r="AK1102" s="7"/>
      <c r="AL1102" s="7"/>
      <c r="AM1102" s="7"/>
      <c r="AN1102" s="7"/>
      <c r="AO1102" s="7"/>
      <c r="AP1102" s="7"/>
    </row>
    <row r="1103" spans="1:44">
      <c r="A1103" s="305" t="s">
        <v>464</v>
      </c>
      <c r="B1103" s="305"/>
      <c r="C1103" s="305"/>
      <c r="D1103" s="490"/>
      <c r="E1103" s="305"/>
      <c r="F1103" s="305"/>
      <c r="G1103" s="490"/>
      <c r="H1103" s="305"/>
      <c r="I1103" s="305"/>
      <c r="J1103" s="305"/>
      <c r="K1103" s="490"/>
      <c r="L1103" s="305"/>
      <c r="M1103" s="305"/>
      <c r="N1103" s="305"/>
      <c r="O1103" s="490"/>
      <c r="P1103" s="305"/>
      <c r="Q1103" s="305"/>
      <c r="R1103" s="305"/>
      <c r="S1103" s="490"/>
      <c r="T1103" s="305"/>
      <c r="U1103" s="305"/>
      <c r="V1103" s="7"/>
      <c r="W1103" s="31"/>
      <c r="X1103" s="31"/>
      <c r="Y1103" s="31"/>
      <c r="Z1103" s="7"/>
      <c r="AA1103" s="7"/>
      <c r="AB1103" s="7"/>
      <c r="AC1103" s="7"/>
      <c r="AD1103" s="7"/>
      <c r="AE1103" s="7"/>
      <c r="AF1103" s="7"/>
      <c r="AG1103" s="7"/>
      <c r="AH1103" s="7"/>
      <c r="AI1103" s="7"/>
      <c r="AJ1103" s="7"/>
      <c r="AK1103" s="7"/>
      <c r="AL1103" s="7"/>
      <c r="AM1103" s="7"/>
      <c r="AN1103" s="7"/>
      <c r="AO1103" s="7"/>
      <c r="AP1103" s="7"/>
    </row>
    <row r="1104" spans="1:44">
      <c r="A1104" s="305" t="s">
        <v>712</v>
      </c>
      <c r="B1104" s="305"/>
      <c r="C1104" s="305"/>
      <c r="D1104" s="490"/>
      <c r="E1104" s="305"/>
      <c r="F1104" s="305"/>
      <c r="G1104" s="490"/>
      <c r="H1104" s="305"/>
      <c r="I1104" s="305"/>
      <c r="J1104" s="305"/>
      <c r="K1104" s="490"/>
      <c r="L1104" s="305"/>
      <c r="M1104" s="305"/>
      <c r="N1104" s="305"/>
      <c r="O1104" s="490"/>
      <c r="P1104" s="305"/>
      <c r="Q1104" s="305"/>
      <c r="R1104" s="305"/>
      <c r="S1104" s="490"/>
      <c r="T1104" s="305"/>
      <c r="U1104" s="305"/>
      <c r="V1104" s="7"/>
      <c r="W1104" s="31"/>
      <c r="X1104" s="31"/>
      <c r="Y1104" s="31"/>
      <c r="Z1104" s="7"/>
      <c r="AA1104" s="7"/>
      <c r="AB1104" s="7"/>
      <c r="AC1104" s="7"/>
      <c r="AD1104" s="7"/>
      <c r="AE1104" s="7"/>
      <c r="AF1104" s="7"/>
      <c r="AG1104" s="7"/>
      <c r="AH1104" s="7"/>
      <c r="AI1104" s="7"/>
      <c r="AJ1104" s="7"/>
      <c r="AK1104" s="7"/>
      <c r="AL1104" s="7"/>
      <c r="AM1104" s="7"/>
      <c r="AN1104" s="7"/>
      <c r="AO1104" s="7"/>
      <c r="AP1104" s="7"/>
    </row>
    <row r="1105" spans="1:44">
      <c r="A1105" s="305"/>
      <c r="B1105" s="305"/>
      <c r="C1105" s="305"/>
      <c r="D1105" s="490"/>
      <c r="E1105" s="305"/>
      <c r="F1105" s="305"/>
      <c r="G1105" s="490"/>
      <c r="H1105" s="305"/>
      <c r="I1105" s="305"/>
      <c r="J1105" s="305"/>
      <c r="K1105" s="490"/>
      <c r="L1105" s="305"/>
      <c r="M1105" s="305"/>
      <c r="N1105" s="305"/>
      <c r="O1105" s="490"/>
      <c r="P1105" s="305"/>
      <c r="Q1105" s="305"/>
      <c r="R1105" s="305"/>
      <c r="S1105" s="490"/>
      <c r="T1105" s="305"/>
      <c r="U1105" s="305"/>
      <c r="V1105" s="7"/>
      <c r="W1105" s="31"/>
      <c r="X1105" s="31"/>
      <c r="Y1105" s="31"/>
      <c r="Z1105" s="7"/>
      <c r="AA1105" s="7"/>
      <c r="AB1105" s="7"/>
      <c r="AC1105" s="7"/>
      <c r="AD1105" s="7"/>
      <c r="AE1105" s="7"/>
      <c r="AF1105" s="7"/>
      <c r="AG1105" s="7"/>
      <c r="AH1105" s="7"/>
      <c r="AI1105" s="7"/>
      <c r="AJ1105" s="7"/>
      <c r="AK1105" s="7"/>
      <c r="AL1105" s="7"/>
      <c r="AM1105" s="7"/>
      <c r="AN1105" s="7"/>
      <c r="AO1105" s="7"/>
      <c r="AP1105" s="7"/>
    </row>
    <row r="1106" spans="1:44">
      <c r="A1106" s="305" t="s">
        <v>381</v>
      </c>
      <c r="B1106" s="305"/>
      <c r="C1106" s="61"/>
      <c r="D1106" s="490"/>
      <c r="E1106" s="305"/>
      <c r="F1106" s="305"/>
      <c r="G1106" s="490"/>
      <c r="H1106" s="305"/>
      <c r="I1106" s="305" t="s">
        <v>31</v>
      </c>
      <c r="J1106" s="305"/>
      <c r="K1106" s="490"/>
      <c r="L1106" s="305"/>
      <c r="M1106" s="305"/>
      <c r="N1106" s="305"/>
      <c r="O1106" s="490"/>
      <c r="P1106" s="305"/>
      <c r="Q1106" s="305"/>
      <c r="R1106" s="305"/>
      <c r="S1106" s="490"/>
      <c r="T1106" s="305"/>
      <c r="U1106" s="305"/>
      <c r="V1106" s="7"/>
      <c r="AH1106" s="7"/>
      <c r="AI1106" s="7"/>
      <c r="AJ1106" s="7"/>
      <c r="AK1106" s="7"/>
      <c r="AL1106" s="7"/>
      <c r="AM1106" s="7"/>
      <c r="AN1106" s="7"/>
      <c r="AO1106" s="7"/>
      <c r="AP1106" s="7"/>
    </row>
    <row r="1107" spans="1:44">
      <c r="A1107" s="305" t="s">
        <v>619</v>
      </c>
      <c r="B1107" s="305"/>
      <c r="C1107" s="61">
        <v>0</v>
      </c>
      <c r="D1107" s="237" t="s">
        <v>31</v>
      </c>
      <c r="E1107" s="490"/>
      <c r="F1107" s="490">
        <f>ROUND(C1107*D1107,0)</f>
        <v>0</v>
      </c>
      <c r="G1107" s="237" t="s">
        <v>31</v>
      </c>
      <c r="H1107" s="490"/>
      <c r="I1107" s="490">
        <f>ROUND(G1107*$C1107,0)</f>
        <v>0</v>
      </c>
      <c r="J1107" s="490"/>
      <c r="K1107" s="237" t="s">
        <v>31</v>
      </c>
      <c r="L1107" s="490"/>
      <c r="M1107" s="490" t="e">
        <f>#REF!</f>
        <v>#REF!</v>
      </c>
      <c r="N1107" s="490"/>
      <c r="O1107" s="237" t="s">
        <v>31</v>
      </c>
      <c r="P1107" s="490"/>
      <c r="Q1107" s="490" t="e">
        <f>#REF!</f>
        <v>#REF!</v>
      </c>
      <c r="R1107" s="490"/>
      <c r="S1107" s="237" t="s">
        <v>31</v>
      </c>
      <c r="T1107" s="490"/>
      <c r="U1107" s="490" t="e">
        <f>#REF!</f>
        <v>#REF!</v>
      </c>
      <c r="V1107" s="7"/>
      <c r="X1107" s="1072"/>
      <c r="Y1107" s="1072"/>
      <c r="AA1107" s="921"/>
      <c r="AB1107" s="1005"/>
      <c r="AC1107" s="921"/>
      <c r="AD1107" s="1005"/>
      <c r="AE1107" s="921"/>
      <c r="AF1107" s="921"/>
      <c r="AG1107" s="1005"/>
      <c r="AH1107" s="7"/>
      <c r="AI1107" s="7"/>
      <c r="AJ1107" s="7"/>
      <c r="AK1107" s="7"/>
      <c r="AL1107" s="7"/>
      <c r="AM1107" s="7"/>
      <c r="AN1107" s="7"/>
      <c r="AO1107" s="7"/>
      <c r="AP1107" s="7"/>
    </row>
    <row r="1108" spans="1:44">
      <c r="A1108" s="305" t="s">
        <v>620</v>
      </c>
      <c r="B1108" s="305"/>
      <c r="C1108" s="61">
        <v>12</v>
      </c>
      <c r="D1108" s="237">
        <v>2849</v>
      </c>
      <c r="E1108" s="1009"/>
      <c r="F1108" s="490">
        <f>ROUND(C1108*D1108,0)</f>
        <v>34188</v>
      </c>
      <c r="G1108" s="237">
        <f>ROUND(D1108*(1+$Z$1104),0)+87</f>
        <v>2936</v>
      </c>
      <c r="H1108" s="1009"/>
      <c r="I1108" s="490">
        <f>ROUND(G1108*$C1108,0)</f>
        <v>35232</v>
      </c>
      <c r="J1108" s="490"/>
      <c r="K1108" s="237" t="e">
        <f>#REF!</f>
        <v>#REF!</v>
      </c>
      <c r="L1108" s="1009"/>
      <c r="M1108" s="490" t="e">
        <f>#REF!</f>
        <v>#REF!</v>
      </c>
      <c r="N1108" s="490"/>
      <c r="O1108" s="237" t="e">
        <f>#REF!</f>
        <v>#REF!</v>
      </c>
      <c r="P1108" s="1009"/>
      <c r="Q1108" s="490" t="e">
        <f>#REF!</f>
        <v>#REF!</v>
      </c>
      <c r="R1108" s="490"/>
      <c r="S1108" s="237" t="e">
        <f>#REF!</f>
        <v>#REF!</v>
      </c>
      <c r="T1108" s="1009"/>
      <c r="U1108" s="490" t="e">
        <f>#REF!</f>
        <v>#REF!</v>
      </c>
      <c r="V1108" s="7"/>
      <c r="X1108" s="454">
        <f>(G1108-D1108)/D1108</f>
        <v>3.0537030537030538E-2</v>
      </c>
      <c r="Y1108" s="453"/>
      <c r="AA1108" s="921"/>
      <c r="AB1108" s="1005"/>
      <c r="AC1108" s="921"/>
      <c r="AD1108" s="1005"/>
      <c r="AE1108" s="921"/>
      <c r="AF1108" s="921"/>
      <c r="AG1108" s="1005"/>
      <c r="AH1108" s="7"/>
      <c r="AI1108" s="7"/>
      <c r="AJ1108" s="7"/>
      <c r="AK1108" s="7"/>
      <c r="AL1108" s="7"/>
      <c r="AM1108" s="7"/>
      <c r="AN1108" s="7"/>
      <c r="AO1108" s="7"/>
      <c r="AP1108" s="7"/>
    </row>
    <row r="1109" spans="1:44">
      <c r="A1109" s="305" t="s">
        <v>382</v>
      </c>
      <c r="B1109" s="305"/>
      <c r="C1109" s="61">
        <f>SUM(C1107:C1108)</f>
        <v>12</v>
      </c>
      <c r="D1109" s="237"/>
      <c r="E1109" s="490"/>
      <c r="F1109" s="490" t="s">
        <v>31</v>
      </c>
      <c r="G1109" s="237" t="s">
        <v>31</v>
      </c>
      <c r="H1109" s="490"/>
      <c r="I1109" s="490" t="s">
        <v>31</v>
      </c>
      <c r="J1109" s="490"/>
      <c r="K1109" s="237" t="s">
        <v>31</v>
      </c>
      <c r="L1109" s="490"/>
      <c r="M1109" s="490" t="s">
        <v>31</v>
      </c>
      <c r="N1109" s="490"/>
      <c r="O1109" s="237" t="s">
        <v>31</v>
      </c>
      <c r="P1109" s="490"/>
      <c r="Q1109" s="490" t="s">
        <v>31</v>
      </c>
      <c r="R1109" s="490"/>
      <c r="S1109" s="237" t="s">
        <v>31</v>
      </c>
      <c r="T1109" s="490"/>
      <c r="U1109" s="490" t="s">
        <v>31</v>
      </c>
      <c r="V1109" s="7"/>
      <c r="X1109" s="1073"/>
      <c r="AA1109" s="921"/>
      <c r="AB1109" s="1005"/>
      <c r="AC1109" s="921"/>
      <c r="AD1109" s="1005"/>
      <c r="AE1109" s="921"/>
      <c r="AF1109" s="921"/>
      <c r="AG1109" s="1005"/>
      <c r="AH1109" s="7"/>
      <c r="AI1109" s="7"/>
      <c r="AJ1109" s="7"/>
      <c r="AK1109" s="7"/>
      <c r="AL1109" s="7"/>
      <c r="AM1109" s="7"/>
      <c r="AN1109" s="7"/>
      <c r="AO1109" s="7"/>
      <c r="AP1109" s="7"/>
    </row>
    <row r="1110" spans="1:44">
      <c r="A1110" s="305" t="s">
        <v>461</v>
      </c>
      <c r="B1110" s="305"/>
      <c r="C1110" s="61">
        <v>0</v>
      </c>
      <c r="D1110" s="237"/>
      <c r="E1110" s="490"/>
      <c r="F1110" s="490">
        <f>ROUND(C1110*D1110,0)</f>
        <v>0</v>
      </c>
      <c r="G1110" s="237" t="s">
        <v>31</v>
      </c>
      <c r="H1110" s="490"/>
      <c r="I1110" s="490">
        <f>ROUND(G1110*$C1110,0)</f>
        <v>0</v>
      </c>
      <c r="J1110" s="490"/>
      <c r="K1110" s="237" t="s">
        <v>31</v>
      </c>
      <c r="L1110" s="490"/>
      <c r="M1110" s="490" t="e">
        <f>#REF!</f>
        <v>#REF!</v>
      </c>
      <c r="N1110" s="490"/>
      <c r="O1110" s="237" t="s">
        <v>31</v>
      </c>
      <c r="P1110" s="490"/>
      <c r="Q1110" s="490" t="e">
        <f>#REF!</f>
        <v>#REF!</v>
      </c>
      <c r="R1110" s="490"/>
      <c r="S1110" s="237" t="s">
        <v>31</v>
      </c>
      <c r="T1110" s="490"/>
      <c r="U1110" s="490" t="e">
        <f>#REF!</f>
        <v>#REF!</v>
      </c>
      <c r="V1110" s="7"/>
      <c r="X1110" s="1073"/>
      <c r="AA1110" s="921"/>
      <c r="AB1110" s="1005"/>
      <c r="AC1110" s="921"/>
      <c r="AD1110" s="1005"/>
      <c r="AE1110" s="921"/>
      <c r="AF1110" s="921"/>
      <c r="AG1110" s="1005"/>
      <c r="AH1110" s="7"/>
      <c r="AI1110" s="7"/>
      <c r="AJ1110" s="7"/>
      <c r="AK1110" s="7"/>
      <c r="AL1110" s="7"/>
      <c r="AM1110" s="7"/>
      <c r="AN1110" s="7"/>
      <c r="AO1110" s="7"/>
      <c r="AP1110" s="7"/>
    </row>
    <row r="1111" spans="1:44">
      <c r="A1111" s="305" t="s">
        <v>621</v>
      </c>
      <c r="B1111" s="305"/>
      <c r="C1111" s="61">
        <v>658962</v>
      </c>
      <c r="D1111" s="237">
        <v>0.26</v>
      </c>
      <c r="E1111" s="490"/>
      <c r="F1111" s="490">
        <f>ROUND(C1111*D1111,0)</f>
        <v>171330</v>
      </c>
      <c r="G1111" s="237">
        <f>ROUND(D1111*(1+$Z$1104),2)+0.01</f>
        <v>0.27</v>
      </c>
      <c r="H1111" s="490"/>
      <c r="I1111" s="490">
        <f>ROUND(G1111*$C1111,0)</f>
        <v>177920</v>
      </c>
      <c r="J1111" s="490"/>
      <c r="K1111" s="237" t="e">
        <f>#REF!</f>
        <v>#REF!</v>
      </c>
      <c r="L1111" s="490"/>
      <c r="M1111" s="490" t="e">
        <f>#REF!</f>
        <v>#REF!</v>
      </c>
      <c r="N1111" s="490"/>
      <c r="O1111" s="237" t="e">
        <f>#REF!</f>
        <v>#REF!</v>
      </c>
      <c r="P1111" s="490"/>
      <c r="Q1111" s="490" t="e">
        <f>#REF!</f>
        <v>#REF!</v>
      </c>
      <c r="R1111" s="490"/>
      <c r="S1111" s="237" t="e">
        <f>#REF!</f>
        <v>#REF!</v>
      </c>
      <c r="T1111" s="490"/>
      <c r="U1111" s="490" t="e">
        <f>#REF!</f>
        <v>#REF!</v>
      </c>
      <c r="V1111" s="7"/>
      <c r="X1111" s="454">
        <f>(G1111-D1111)/D1111</f>
        <v>3.8461538461538491E-2</v>
      </c>
      <c r="Y1111" s="453"/>
      <c r="AA1111" s="921"/>
      <c r="AB1111" s="1005"/>
      <c r="AC1111" s="921"/>
      <c r="AD1111" s="1005"/>
      <c r="AE1111" s="921"/>
      <c r="AF1111" s="921"/>
      <c r="AG1111" s="1005"/>
      <c r="AH1111" s="7"/>
      <c r="AI1111" s="7"/>
      <c r="AJ1111" s="7"/>
      <c r="AK1111" s="7"/>
      <c r="AL1111" s="7"/>
      <c r="AM1111" s="7"/>
      <c r="AN1111" s="7"/>
      <c r="AO1111" s="7"/>
      <c r="AP1111" s="7"/>
    </row>
    <row r="1112" spans="1:44">
      <c r="A1112" s="305" t="s">
        <v>391</v>
      </c>
      <c r="B1112" s="305"/>
      <c r="C1112" s="61">
        <v>645282</v>
      </c>
      <c r="D1112" s="237">
        <v>7.92</v>
      </c>
      <c r="E1112" s="490"/>
      <c r="F1112" s="490">
        <f>ROUND(C1112*D1112,0)</f>
        <v>5110633</v>
      </c>
      <c r="G1112" s="237">
        <f>ROUND(D1112*(1+($Z$1104*1.1)),2)-0.02</f>
        <v>7.9</v>
      </c>
      <c r="H1112" s="490"/>
      <c r="I1112" s="490">
        <f>ROUND(G1112*$C1112,0)</f>
        <v>5097728</v>
      </c>
      <c r="J1112" s="490"/>
      <c r="K1112" s="237" t="e">
        <f>#REF!</f>
        <v>#REF!</v>
      </c>
      <c r="L1112" s="490"/>
      <c r="M1112" s="490" t="e">
        <f>#REF!</f>
        <v>#REF!</v>
      </c>
      <c r="N1112" s="490"/>
      <c r="O1112" s="237" t="e">
        <f>#REF!</f>
        <v>#REF!</v>
      </c>
      <c r="P1112" s="490"/>
      <c r="Q1112" s="490" t="e">
        <f>#REF!</f>
        <v>#REF!</v>
      </c>
      <c r="R1112" s="490"/>
      <c r="S1112" s="237" t="e">
        <f>#REF!</f>
        <v>#REF!</v>
      </c>
      <c r="T1112" s="490"/>
      <c r="U1112" s="490" t="e">
        <f>#REF!</f>
        <v>#REF!</v>
      </c>
      <c r="V1112" s="7"/>
      <c r="X1112" s="454">
        <f>(G1112-D1112)/D1112</f>
        <v>-2.5252525252524713E-3</v>
      </c>
      <c r="Y1112" s="453"/>
      <c r="Z1112" s="31"/>
      <c r="AA1112" s="1065"/>
      <c r="AB1112" s="1005"/>
      <c r="AC1112" s="1065"/>
      <c r="AD1112" s="1005"/>
      <c r="AE1112" s="1065"/>
      <c r="AF1112" s="31"/>
      <c r="AG1112" s="1005"/>
      <c r="AH1112" s="7"/>
      <c r="AI1112" s="7"/>
      <c r="AJ1112" s="7"/>
      <c r="AK1112" s="7"/>
      <c r="AL1112" s="7"/>
      <c r="AM1112" s="7"/>
      <c r="AN1112" s="7"/>
      <c r="AO1112" s="7"/>
      <c r="AP1112" s="7"/>
    </row>
    <row r="1113" spans="1:44">
      <c r="A1113" s="305" t="s">
        <v>414</v>
      </c>
      <c r="B1113" s="305"/>
      <c r="C1113" s="61" t="s">
        <v>31</v>
      </c>
      <c r="D1113" s="305"/>
      <c r="E1113" s="490"/>
      <c r="F1113" s="490"/>
      <c r="G1113" s="305" t="s">
        <v>31</v>
      </c>
      <c r="H1113" s="490"/>
      <c r="I1113" s="490"/>
      <c r="J1113" s="490"/>
      <c r="K1113" s="305" t="s">
        <v>31</v>
      </c>
      <c r="L1113" s="490"/>
      <c r="M1113" s="490"/>
      <c r="N1113" s="490"/>
      <c r="O1113" s="305" t="s">
        <v>31</v>
      </c>
      <c r="P1113" s="490"/>
      <c r="Q1113" s="490"/>
      <c r="R1113" s="490"/>
      <c r="S1113" s="305" t="s">
        <v>31</v>
      </c>
      <c r="T1113" s="490"/>
      <c r="U1113" s="490"/>
      <c r="V1113" s="7"/>
      <c r="X1113" s="1073"/>
      <c r="Z1113" s="31"/>
      <c r="AA1113" s="7"/>
      <c r="AB1113" s="7"/>
      <c r="AC1113" s="7"/>
      <c r="AD1113" s="7"/>
      <c r="AE1113" s="7"/>
      <c r="AF1113" s="7"/>
      <c r="AG1113" s="7"/>
      <c r="AH1113" s="7"/>
      <c r="AI1113" s="7"/>
      <c r="AJ1113" s="7"/>
      <c r="AK1113" s="7"/>
      <c r="AL1113" s="7"/>
      <c r="AM1113" s="7"/>
      <c r="AN1113" s="7"/>
      <c r="AO1113" s="7"/>
      <c r="AP1113" s="7"/>
    </row>
    <row r="1114" spans="1:44">
      <c r="A1114" s="305" t="s">
        <v>452</v>
      </c>
      <c r="B1114" s="305"/>
      <c r="C1114" s="61">
        <v>413046000</v>
      </c>
      <c r="D1114" s="308">
        <v>4.758</v>
      </c>
      <c r="E1114" s="490" t="s">
        <v>362</v>
      </c>
      <c r="F1114" s="490">
        <f>ROUND(C1114/100*D1114,0)</f>
        <v>19652729</v>
      </c>
      <c r="G1114" s="308">
        <f>ROUND(D1114*(1+$X$1104)-G1116,3)</f>
        <v>4.758</v>
      </c>
      <c r="H1114" s="490" t="s">
        <v>362</v>
      </c>
      <c r="I1114" s="490">
        <f>ROUND(G1114/100*$C1114,0)</f>
        <v>19652729</v>
      </c>
      <c r="J1114" s="490"/>
      <c r="K1114" s="308" t="e">
        <f>#REF!</f>
        <v>#REF!</v>
      </c>
      <c r="L1114" s="490" t="s">
        <v>31</v>
      </c>
      <c r="M1114" s="490" t="e">
        <f>#REF!</f>
        <v>#REF!</v>
      </c>
      <c r="N1114" s="490"/>
      <c r="O1114" s="308" t="e">
        <f>#REF!</f>
        <v>#REF!</v>
      </c>
      <c r="P1114" s="490" t="s">
        <v>362</v>
      </c>
      <c r="Q1114" s="490" t="e">
        <f>#REF!</f>
        <v>#REF!</v>
      </c>
      <c r="R1114" s="490"/>
      <c r="S1114" s="308" t="e">
        <f>#REF!</f>
        <v>#REF!</v>
      </c>
      <c r="T1114" s="490" t="s">
        <v>362</v>
      </c>
      <c r="U1114" s="490" t="e">
        <f>#REF!</f>
        <v>#REF!</v>
      </c>
      <c r="V1114" s="7"/>
      <c r="X1114" s="454">
        <f>((G1114+G1116)-D1114)/D1114</f>
        <v>0</v>
      </c>
      <c r="Y1114" s="453"/>
      <c r="Z1114" s="31"/>
      <c r="AA1114" s="7"/>
      <c r="AB1114" s="7"/>
      <c r="AC1114" s="7"/>
      <c r="AD1114" s="7"/>
      <c r="AE1114" s="7"/>
      <c r="AF1114" s="7"/>
      <c r="AG1114" s="7"/>
      <c r="AH1114" s="7"/>
      <c r="AI1114" s="7"/>
      <c r="AJ1114" s="7"/>
      <c r="AK1114" s="7"/>
      <c r="AL1114" s="7"/>
      <c r="AM1114" s="7"/>
      <c r="AN1114" s="7"/>
      <c r="AO1114" s="7"/>
      <c r="AP1114" s="7"/>
    </row>
    <row r="1115" spans="1:44">
      <c r="A1115" s="305" t="s">
        <v>388</v>
      </c>
      <c r="B1115" s="305"/>
      <c r="C1115" s="61">
        <v>18666</v>
      </c>
      <c r="D1115" s="237">
        <v>0.55000000000000004</v>
      </c>
      <c r="E1115" s="490"/>
      <c r="F1115" s="490">
        <f>ROUND(C1115*D1115,0)</f>
        <v>10266</v>
      </c>
      <c r="G1115" s="237">
        <f>ROUND(D1115*(1+$Z$1104),2)</f>
        <v>0.55000000000000004</v>
      </c>
      <c r="H1115" s="490"/>
      <c r="I1115" s="490">
        <f>ROUND(G1115*$C1115,0)</f>
        <v>10266</v>
      </c>
      <c r="J1115" s="490"/>
      <c r="K1115" s="237" t="e">
        <f>#REF!</f>
        <v>#REF!</v>
      </c>
      <c r="L1115" s="490"/>
      <c r="M1115" s="490" t="e">
        <f>#REF!</f>
        <v>#REF!</v>
      </c>
      <c r="N1115" s="490"/>
      <c r="O1115" s="237" t="e">
        <f>#REF!</f>
        <v>#REF!</v>
      </c>
      <c r="P1115" s="490"/>
      <c r="Q1115" s="490" t="e">
        <f>#REF!</f>
        <v>#REF!</v>
      </c>
      <c r="R1115" s="490"/>
      <c r="S1115" s="237" t="e">
        <f>#REF!</f>
        <v>#REF!</v>
      </c>
      <c r="T1115" s="490"/>
      <c r="U1115" s="490" t="e">
        <f>#REF!</f>
        <v>#REF!</v>
      </c>
      <c r="V1115" s="7"/>
      <c r="X1115" s="454">
        <f>(G1115-D1115)/D1115</f>
        <v>0</v>
      </c>
      <c r="Y1115" s="453"/>
      <c r="Z1115" s="31"/>
      <c r="AA1115" s="7"/>
      <c r="AB1115" s="7"/>
      <c r="AC1115" s="7"/>
      <c r="AD1115" s="7"/>
      <c r="AE1115" s="7"/>
      <c r="AF1115" s="7"/>
      <c r="AG1115" s="7"/>
      <c r="AH1115" s="7"/>
      <c r="AI1115" s="7"/>
      <c r="AJ1115" s="7"/>
      <c r="AK1115" s="7"/>
      <c r="AL1115" s="7"/>
      <c r="AM1115" s="7"/>
      <c r="AN1115" s="7"/>
      <c r="AO1115" s="7"/>
      <c r="AP1115" s="7"/>
    </row>
    <row r="1116" spans="1:44" s="588" customFormat="1" hidden="1">
      <c r="A1116" s="588" t="s">
        <v>774</v>
      </c>
      <c r="C1116" s="631">
        <f>C1114</f>
        <v>413046000</v>
      </c>
      <c r="D1116" s="308">
        <f>D1114</f>
        <v>4.758</v>
      </c>
      <c r="E1116" s="490" t="s">
        <v>362</v>
      </c>
      <c r="F1116" s="616"/>
      <c r="G1116" s="987">
        <v>0</v>
      </c>
      <c r="H1116" s="616" t="s">
        <v>362</v>
      </c>
      <c r="I1116" s="616">
        <f>ROUND(G1116*$C1116/100,0)</f>
        <v>0</v>
      </c>
      <c r="J1116" s="616"/>
      <c r="K1116" s="987" t="e">
        <f>#REF!</f>
        <v>#REF!</v>
      </c>
      <c r="L1116" s="616" t="s">
        <v>31</v>
      </c>
      <c r="M1116" s="490" t="e">
        <f>#REF!</f>
        <v>#REF!</v>
      </c>
      <c r="N1116" s="616"/>
      <c r="O1116" s="987" t="e">
        <f>#REF!</f>
        <v>#REF!</v>
      </c>
      <c r="P1116" s="616" t="s">
        <v>31</v>
      </c>
      <c r="Q1116" s="490" t="e">
        <f>#REF!</f>
        <v>#REF!</v>
      </c>
      <c r="R1116" s="616"/>
      <c r="S1116" s="987" t="e">
        <f>#REF!</f>
        <v>#REF!</v>
      </c>
      <c r="T1116" s="616" t="s">
        <v>362</v>
      </c>
      <c r="U1116" s="490" t="e">
        <f>#REF!</f>
        <v>#REF!</v>
      </c>
      <c r="V1116" s="988" t="e">
        <f>#REF!</f>
        <v>#REF!</v>
      </c>
      <c r="W1116" s="450" t="s">
        <v>752</v>
      </c>
      <c r="Z1116" s="989"/>
      <c r="AA1116" s="989"/>
      <c r="AF1116" s="635"/>
      <c r="AG1116" s="635"/>
      <c r="AH1116" s="635"/>
      <c r="AI1116" s="635"/>
      <c r="AJ1116" s="635"/>
      <c r="AK1116" s="635"/>
      <c r="AL1116" s="635"/>
      <c r="AM1116" s="635"/>
      <c r="AN1116" s="635"/>
      <c r="AO1116" s="635"/>
      <c r="AP1116" s="635"/>
      <c r="AR1116" s="988"/>
    </row>
    <row r="1117" spans="1:44" s="588" customFormat="1" hidden="1">
      <c r="A1117" s="588" t="s">
        <v>760</v>
      </c>
      <c r="C1117" s="631"/>
      <c r="D1117" s="1058">
        <f>D1114</f>
        <v>4.758</v>
      </c>
      <c r="E1117" s="616" t="s">
        <v>362</v>
      </c>
      <c r="F1117" s="616"/>
      <c r="G1117" s="1058">
        <f>G1114+G1116</f>
        <v>4.758</v>
      </c>
      <c r="H1117" s="616" t="s">
        <v>362</v>
      </c>
      <c r="I1117" s="616"/>
      <c r="J1117" s="616"/>
      <c r="K1117" s="1058" t="s">
        <v>31</v>
      </c>
      <c r="L1117" s="616" t="s">
        <v>31</v>
      </c>
      <c r="M1117" s="616"/>
      <c r="N1117" s="616"/>
      <c r="O1117" s="1058" t="e">
        <f>O1114+O1116</f>
        <v>#REF!</v>
      </c>
      <c r="P1117" s="616" t="s">
        <v>362</v>
      </c>
      <c r="Q1117" s="616"/>
      <c r="R1117" s="616"/>
      <c r="S1117" s="1058" t="e">
        <f>S1114+S1116</f>
        <v>#REF!</v>
      </c>
      <c r="T1117" s="616" t="s">
        <v>362</v>
      </c>
      <c r="U1117" s="616"/>
      <c r="V1117" s="988"/>
      <c r="W1117" s="450"/>
      <c r="X1117" s="454">
        <f>(G1117-D1117)/D1117</f>
        <v>0</v>
      </c>
      <c r="Z1117" s="989"/>
      <c r="AA1117" s="989"/>
      <c r="AF1117" s="635"/>
      <c r="AG1117" s="635"/>
      <c r="AH1117" s="635"/>
      <c r="AI1117" s="635"/>
      <c r="AJ1117" s="635"/>
      <c r="AK1117" s="635"/>
      <c r="AL1117" s="635"/>
      <c r="AM1117" s="635"/>
      <c r="AN1117" s="635"/>
      <c r="AO1117" s="635"/>
      <c r="AP1117" s="635"/>
      <c r="AR1117" s="988"/>
    </row>
    <row r="1118" spans="1:44">
      <c r="A1118" s="305" t="s">
        <v>369</v>
      </c>
      <c r="B1118" s="305"/>
      <c r="C1118" s="61">
        <f>C1114</f>
        <v>413046000</v>
      </c>
      <c r="D1118" s="1021"/>
      <c r="E1118" s="305"/>
      <c r="F1118" s="490">
        <f>SUM(F1107:F1115)</f>
        <v>24979146</v>
      </c>
      <c r="G1118" s="1021"/>
      <c r="H1118" s="305"/>
      <c r="I1118" s="490">
        <f>SUM(I1107:I1117)</f>
        <v>24973875</v>
      </c>
      <c r="J1118" s="490"/>
      <c r="K1118" s="1021"/>
      <c r="L1118" s="305"/>
      <c r="M1118" s="490" t="e">
        <f>SUM(M1107:M1117)</f>
        <v>#REF!</v>
      </c>
      <c r="N1118" s="490"/>
      <c r="O1118" s="1021"/>
      <c r="P1118" s="305"/>
      <c r="Q1118" s="490" t="e">
        <f>SUM(Q1107:Q1117)</f>
        <v>#REF!</v>
      </c>
      <c r="R1118" s="490"/>
      <c r="S1118" s="1021"/>
      <c r="T1118" s="305"/>
      <c r="U1118" s="490" t="e">
        <f>SUM(U1107:U1117)</f>
        <v>#REF!</v>
      </c>
      <c r="V1118" s="7"/>
      <c r="W1118" s="31"/>
      <c r="X1118" s="31"/>
      <c r="Y1118" s="31"/>
      <c r="Z1118" s="7"/>
      <c r="AA1118" s="7"/>
      <c r="AB1118" s="7"/>
      <c r="AC1118" s="7"/>
      <c r="AD1118" s="7"/>
      <c r="AE1118" s="7"/>
      <c r="AF1118" s="7"/>
      <c r="AG1118" s="7"/>
      <c r="AH1118" s="7"/>
      <c r="AI1118" s="7"/>
      <c r="AJ1118" s="7"/>
      <c r="AK1118" s="7"/>
      <c r="AL1118" s="7"/>
      <c r="AM1118" s="7"/>
      <c r="AN1118" s="7"/>
      <c r="AO1118" s="7"/>
      <c r="AP1118" s="7"/>
    </row>
    <row r="1119" spans="1:44">
      <c r="A1119" s="305" t="s">
        <v>351</v>
      </c>
      <c r="B1119" s="305"/>
      <c r="C1119" s="61">
        <f ca="1">'Table 2'!H82</f>
        <v>7736100.873537424</v>
      </c>
      <c r="D1119" s="305"/>
      <c r="E1119" s="305"/>
      <c r="F1119" s="993">
        <f ca="1">'Table 3'!E82</f>
        <v>150260.74060279451</v>
      </c>
      <c r="G1119" s="305"/>
      <c r="H1119" s="305"/>
      <c r="I1119" s="993">
        <f ca="1">F1119</f>
        <v>150260.74060279451</v>
      </c>
      <c r="J1119" s="723"/>
      <c r="K1119" s="305"/>
      <c r="L1119" s="305"/>
      <c r="M1119" s="993" t="e">
        <f ca="1">$I$1119*V1122/($V1122+$W$1122+$X$1122)</f>
        <v>#DIV/0!</v>
      </c>
      <c r="N1119" s="723"/>
      <c r="O1119" s="305"/>
      <c r="P1119" s="305"/>
      <c r="Q1119" s="993" t="e">
        <f ca="1">$I$1119*W1123/($V$1123+$W$1123+$X$1123)</f>
        <v>#DIV/0!</v>
      </c>
      <c r="R1119" s="723"/>
      <c r="S1119" s="305"/>
      <c r="T1119" s="305"/>
      <c r="U1119" s="993" t="e">
        <f ca="1">$I$1119*X1123/($V$1123+$W$1123+$X$1123)</f>
        <v>#DIV/0!</v>
      </c>
      <c r="V1119" s="714"/>
      <c r="W1119" s="171"/>
      <c r="Z1119" s="7"/>
      <c r="AA1119" s="7"/>
      <c r="AB1119" s="7"/>
      <c r="AC1119" s="7"/>
      <c r="AD1119" s="7"/>
      <c r="AE1119" s="7"/>
      <c r="AF1119" s="7"/>
      <c r="AG1119" s="7"/>
      <c r="AH1119" s="7"/>
      <c r="AI1119" s="7"/>
      <c r="AJ1119" s="7"/>
      <c r="AK1119" s="7"/>
      <c r="AL1119" s="7"/>
      <c r="AM1119" s="7"/>
      <c r="AN1119" s="7"/>
      <c r="AO1119" s="7"/>
      <c r="AP1119" s="7"/>
    </row>
    <row r="1120" spans="1:44" ht="16.5" thickBot="1">
      <c r="A1120" s="305" t="s">
        <v>370</v>
      </c>
      <c r="B1120" s="305"/>
      <c r="C1120" s="994">
        <f ca="1">SUM(C1118)+C1119</f>
        <v>420782100.87353742</v>
      </c>
      <c r="D1120" s="1036"/>
      <c r="E1120" s="1030"/>
      <c r="F1120" s="995">
        <f ca="1">F1118+F1119</f>
        <v>25129406.740602795</v>
      </c>
      <c r="G1120" s="1036"/>
      <c r="H1120" s="1030"/>
      <c r="I1120" s="995">
        <f ca="1">I1118+I1119</f>
        <v>25124135.740602795</v>
      </c>
      <c r="J1120" s="995"/>
      <c r="K1120" s="1036"/>
      <c r="L1120" s="1030"/>
      <c r="M1120" s="995" t="e">
        <f ca="1">M1118+M1119</f>
        <v>#REF!</v>
      </c>
      <c r="N1120" s="995"/>
      <c r="O1120" s="1036"/>
      <c r="P1120" s="1030"/>
      <c r="Q1120" s="995" t="e">
        <f ca="1">Q1118+Q1119</f>
        <v>#REF!</v>
      </c>
      <c r="R1120" s="995"/>
      <c r="S1120" s="1036"/>
      <c r="T1120" s="1030"/>
      <c r="U1120" s="995" t="e">
        <f ca="1">U1118+U1119</f>
        <v>#REF!</v>
      </c>
      <c r="V1120" s="442" t="s">
        <v>352</v>
      </c>
      <c r="W1120" s="997">
        <f ca="1">'Rate Spread targets'!Q30*1000</f>
        <v>25557596.71126283</v>
      </c>
      <c r="X1120" s="998">
        <f ca="1">(I1120-F1120)/F1120</f>
        <v>-2.097542554191457E-4</v>
      </c>
      <c r="Y1120" s="453"/>
      <c r="Z1120" s="446" t="s">
        <v>31</v>
      </c>
      <c r="AA1120" s="7"/>
      <c r="AB1120" s="7"/>
      <c r="AC1120" s="7"/>
      <c r="AD1120" s="7"/>
      <c r="AE1120" s="7"/>
      <c r="AF1120" s="7"/>
      <c r="AG1120" s="7"/>
      <c r="AH1120" s="7"/>
      <c r="AI1120" s="7"/>
      <c r="AJ1120" s="7"/>
      <c r="AK1120" s="7"/>
      <c r="AL1120" s="7"/>
      <c r="AM1120" s="7"/>
      <c r="AN1120" s="7"/>
      <c r="AO1120" s="7"/>
      <c r="AP1120" s="7"/>
    </row>
    <row r="1121" spans="1:42" ht="16.5" thickTop="1">
      <c r="A1121" s="305"/>
      <c r="B1121" s="305"/>
      <c r="C1121" s="61"/>
      <c r="D1121" s="237" t="s">
        <v>31</v>
      </c>
      <c r="E1121" s="305"/>
      <c r="F1121" s="490"/>
      <c r="G1121" s="237" t="s">
        <v>31</v>
      </c>
      <c r="H1121" s="305"/>
      <c r="I1121" s="490" t="s">
        <v>31</v>
      </c>
      <c r="J1121" s="490"/>
      <c r="K1121" s="237" t="s">
        <v>31</v>
      </c>
      <c r="L1121" s="305"/>
      <c r="M1121" s="490" t="s">
        <v>31</v>
      </c>
      <c r="N1121" s="490"/>
      <c r="O1121" s="237" t="s">
        <v>31</v>
      </c>
      <c r="P1121" s="305"/>
      <c r="Q1121" s="490" t="s">
        <v>31</v>
      </c>
      <c r="R1121" s="490"/>
      <c r="S1121" s="237" t="s">
        <v>31</v>
      </c>
      <c r="T1121" s="305"/>
      <c r="U1121" s="490" t="s">
        <v>31</v>
      </c>
      <c r="V1121" s="568" t="s">
        <v>256</v>
      </c>
      <c r="W1121" s="449">
        <f ca="1">W1120-I1120</f>
        <v>433460.97066003457</v>
      </c>
      <c r="X1121" s="1069"/>
      <c r="Y1121" s="31"/>
      <c r="Z1121" s="7"/>
      <c r="AA1121" s="7"/>
      <c r="AB1121" s="7"/>
      <c r="AC1121" s="7"/>
      <c r="AD1121" s="7"/>
      <c r="AE1121" s="7"/>
      <c r="AF1121" s="7"/>
      <c r="AG1121" s="7"/>
      <c r="AH1121" s="7"/>
      <c r="AI1121" s="7"/>
      <c r="AJ1121" s="7"/>
      <c r="AK1121" s="7"/>
      <c r="AL1121" s="7"/>
      <c r="AM1121" s="7"/>
      <c r="AN1121" s="7"/>
      <c r="AO1121" s="7"/>
      <c r="AP1121" s="7"/>
    </row>
    <row r="1122" spans="1:42">
      <c r="A1122" s="305"/>
      <c r="B1122" s="305"/>
      <c r="C1122" s="61"/>
      <c r="D1122" s="237"/>
      <c r="E1122" s="305"/>
      <c r="F1122" s="490"/>
      <c r="G1122" s="237"/>
      <c r="H1122" s="305"/>
      <c r="I1122" s="490"/>
      <c r="J1122" s="490"/>
      <c r="K1122" s="237"/>
      <c r="L1122" s="305"/>
      <c r="M1122" s="490"/>
      <c r="N1122" s="490"/>
      <c r="O1122" s="237"/>
      <c r="P1122" s="305"/>
      <c r="Q1122" s="490"/>
      <c r="R1122" s="490"/>
      <c r="S1122" s="237"/>
      <c r="T1122" s="305"/>
      <c r="U1122" s="490"/>
      <c r="V1122" s="1071"/>
      <c r="W1122" s="1071"/>
      <c r="X1122" s="1071"/>
      <c r="Y1122" s="31"/>
      <c r="Z1122" s="7"/>
      <c r="AA1122" s="7"/>
      <c r="AB1122" s="7"/>
      <c r="AC1122" s="7"/>
      <c r="AD1122" s="7"/>
      <c r="AE1122" s="7"/>
      <c r="AF1122" s="7"/>
      <c r="AG1122" s="7"/>
      <c r="AH1122" s="7"/>
      <c r="AI1122" s="7"/>
      <c r="AJ1122" s="7"/>
      <c r="AK1122" s="7"/>
      <c r="AL1122" s="7"/>
      <c r="AM1122" s="7"/>
      <c r="AN1122" s="7"/>
      <c r="AO1122" s="7"/>
      <c r="AP1122" s="7"/>
    </row>
    <row r="1123" spans="1:42">
      <c r="A1123" s="305"/>
      <c r="B1123" s="305"/>
      <c r="C1123" s="61"/>
      <c r="D1123" s="237"/>
      <c r="E1123" s="305"/>
      <c r="F1123" s="490"/>
      <c r="G1123" s="237"/>
      <c r="H1123" s="305"/>
      <c r="I1123" s="490"/>
      <c r="J1123" s="490"/>
      <c r="K1123" s="237"/>
      <c r="L1123" s="305"/>
      <c r="M1123" s="490"/>
      <c r="N1123" s="490"/>
      <c r="O1123" s="237"/>
      <c r="P1123" s="305"/>
      <c r="Q1123" s="490"/>
      <c r="R1123" s="490"/>
      <c r="S1123" s="237"/>
      <c r="T1123" s="305"/>
      <c r="U1123" s="490"/>
      <c r="V1123" s="295"/>
      <c r="W1123" s="295"/>
      <c r="X1123" s="295"/>
      <c r="Y1123" s="31"/>
      <c r="Z1123" s="7"/>
      <c r="AA1123" s="7"/>
      <c r="AB1123" s="7"/>
      <c r="AC1123" s="7"/>
      <c r="AD1123" s="7"/>
      <c r="AE1123" s="7"/>
      <c r="AF1123" s="7"/>
      <c r="AG1123" s="7"/>
      <c r="AH1123" s="7"/>
      <c r="AI1123" s="7"/>
      <c r="AJ1123" s="7"/>
      <c r="AK1123" s="7"/>
      <c r="AL1123" s="7"/>
      <c r="AM1123" s="7"/>
      <c r="AN1123" s="7"/>
      <c r="AO1123" s="7"/>
      <c r="AP1123" s="7"/>
    </row>
    <row r="1124" spans="1:42">
      <c r="A1124" s="305" t="s">
        <v>470</v>
      </c>
      <c r="B1124" s="305"/>
      <c r="C1124" s="305"/>
      <c r="D1124" s="305"/>
      <c r="E1124" s="305"/>
      <c r="F1124" s="490"/>
      <c r="G1124" s="305"/>
      <c r="H1124" s="305"/>
      <c r="I1124" s="305"/>
      <c r="J1124" s="305"/>
      <c r="K1124" s="305"/>
      <c r="L1124" s="305"/>
      <c r="M1124" s="490" t="s">
        <v>31</v>
      </c>
      <c r="N1124" s="305"/>
      <c r="O1124" s="305"/>
      <c r="P1124" s="305"/>
      <c r="Q1124" s="490" t="s">
        <v>31</v>
      </c>
      <c r="R1124" s="305"/>
      <c r="S1124" s="305"/>
      <c r="T1124" s="305"/>
      <c r="U1124" s="490" t="s">
        <v>31</v>
      </c>
      <c r="W1124" s="4"/>
      <c r="X1124" s="4"/>
      <c r="Y1124" s="4"/>
      <c r="Z1124" s="7"/>
      <c r="AA1124" s="7"/>
      <c r="AB1124" s="7"/>
      <c r="AC1124" s="7"/>
      <c r="AD1124" s="7"/>
      <c r="AE1124" s="7"/>
      <c r="AF1124" s="7"/>
      <c r="AG1124" s="7"/>
      <c r="AH1124" s="7"/>
      <c r="AI1124" s="7"/>
      <c r="AJ1124" s="7"/>
      <c r="AK1124" s="7"/>
      <c r="AL1124" s="7"/>
      <c r="AM1124" s="7"/>
      <c r="AN1124" s="7"/>
      <c r="AO1124" s="7"/>
      <c r="AP1124" s="7"/>
    </row>
    <row r="1125" spans="1:42">
      <c r="A1125" s="305" t="s">
        <v>573</v>
      </c>
      <c r="B1125" s="305"/>
      <c r="C1125" s="305"/>
      <c r="D1125" s="305"/>
      <c r="E1125" s="305"/>
      <c r="F1125" s="490"/>
      <c r="G1125" s="305"/>
      <c r="H1125" s="305"/>
      <c r="I1125" s="305"/>
      <c r="J1125" s="305"/>
      <c r="K1125" s="305"/>
      <c r="L1125" s="305"/>
      <c r="M1125" s="305"/>
      <c r="N1125" s="305"/>
      <c r="O1125" s="305"/>
      <c r="P1125" s="305"/>
      <c r="Q1125" s="305"/>
      <c r="R1125" s="305"/>
      <c r="S1125" s="305"/>
      <c r="T1125" s="305"/>
      <c r="U1125" s="305"/>
      <c r="W1125" s="4"/>
      <c r="X1125" s="4"/>
      <c r="Y1125" s="162"/>
      <c r="Z1125" s="162"/>
      <c r="AA1125" s="162"/>
      <c r="AB1125" s="162"/>
      <c r="AC1125" s="162"/>
      <c r="AD1125" s="162"/>
      <c r="AE1125" s="162"/>
      <c r="AF1125" s="162"/>
      <c r="AG1125" s="162"/>
      <c r="AH1125" s="162"/>
      <c r="AI1125" s="162"/>
      <c r="AJ1125" s="162"/>
      <c r="AK1125" s="162"/>
      <c r="AL1125" s="7"/>
      <c r="AM1125" s="7"/>
      <c r="AN1125" s="7"/>
      <c r="AO1125" s="7"/>
      <c r="AP1125" s="7"/>
    </row>
    <row r="1126" spans="1:42">
      <c r="A1126" s="305" t="s">
        <v>574</v>
      </c>
      <c r="B1126" s="305"/>
      <c r="C1126" s="305"/>
      <c r="D1126" s="305"/>
      <c r="E1126" s="305"/>
      <c r="F1126" s="490"/>
      <c r="G1126" s="305"/>
      <c r="H1126" s="305"/>
      <c r="I1126" s="305"/>
      <c r="J1126" s="305"/>
      <c r="K1126" s="305"/>
      <c r="L1126" s="305"/>
      <c r="M1126" s="305"/>
      <c r="N1126" s="305"/>
      <c r="O1126" s="305"/>
      <c r="P1126" s="305"/>
      <c r="Q1126" s="305"/>
      <c r="R1126" s="305"/>
      <c r="S1126" s="305"/>
      <c r="T1126" s="305"/>
      <c r="U1126" s="305"/>
      <c r="V1126" s="162"/>
      <c r="W1126" s="162"/>
      <c r="X1126" s="295" t="s">
        <v>31</v>
      </c>
      <c r="Y1126" s="162"/>
      <c r="Z1126" s="162"/>
      <c r="AA1126" s="162"/>
      <c r="AB1126" s="162"/>
      <c r="AC1126" s="162"/>
      <c r="AD1126" s="162"/>
      <c r="AE1126" s="162"/>
      <c r="AF1126" s="162"/>
      <c r="AG1126" s="162"/>
      <c r="AH1126" s="162"/>
      <c r="AI1126" s="162"/>
      <c r="AJ1126" s="162"/>
      <c r="AK1126" s="162"/>
      <c r="AL1126" s="7"/>
      <c r="AM1126" s="7"/>
      <c r="AN1126" s="7"/>
      <c r="AO1126" s="7"/>
      <c r="AP1126" s="7"/>
    </row>
    <row r="1127" spans="1:42">
      <c r="A1127" s="305" t="s">
        <v>472</v>
      </c>
      <c r="B1127" s="305"/>
      <c r="C1127" s="305"/>
      <c r="D1127" s="305"/>
      <c r="E1127" s="305"/>
      <c r="F1127" s="490"/>
      <c r="G1127" s="305"/>
      <c r="H1127" s="305"/>
      <c r="I1127" s="305"/>
      <c r="J1127" s="305"/>
      <c r="K1127" s="305"/>
      <c r="L1127" s="305"/>
      <c r="M1127" s="305"/>
      <c r="N1127" s="305"/>
      <c r="O1127" s="305"/>
      <c r="P1127" s="305"/>
      <c r="Q1127" s="305"/>
      <c r="R1127" s="305"/>
      <c r="S1127" s="305"/>
      <c r="T1127" s="305"/>
      <c r="U1127" s="305"/>
      <c r="V1127" s="162"/>
      <c r="W1127" s="162"/>
      <c r="X1127" s="31"/>
      <c r="Y1127" s="31"/>
      <c r="Z1127" s="163"/>
      <c r="AA1127" s="163"/>
      <c r="AB1127" s="164"/>
      <c r="AC1127" s="164"/>
      <c r="AD1127" s="164"/>
      <c r="AE1127" s="164"/>
      <c r="AF1127" s="165"/>
      <c r="AG1127" s="166"/>
      <c r="AH1127" s="162"/>
      <c r="AI1127" s="162"/>
      <c r="AJ1127" s="162"/>
      <c r="AK1127" s="162"/>
      <c r="AL1127" s="7"/>
      <c r="AM1127" s="7"/>
      <c r="AN1127" s="7"/>
      <c r="AO1127" s="7"/>
      <c r="AP1127" s="7"/>
    </row>
    <row r="1128" spans="1:42">
      <c r="A1128" s="4" t="s">
        <v>346</v>
      </c>
      <c r="C1128" s="419">
        <v>11400.039491543301</v>
      </c>
      <c r="D1128" s="983">
        <v>8.93</v>
      </c>
      <c r="F1128" s="490">
        <f t="shared" ref="F1128:F1137" si="184">ROUND(C1128*D1128,0)</f>
        <v>101802</v>
      </c>
      <c r="G1128" s="983">
        <f>ROUND(D1128+(D1128*$X$1166),2)</f>
        <v>7.72</v>
      </c>
      <c r="I1128" s="490">
        <f>ROUND(G1128*$C1128,0)</f>
        <v>88008</v>
      </c>
      <c r="J1128" s="490"/>
      <c r="K1128" s="983" t="e">
        <f>#REF!</f>
        <v>#REF!</v>
      </c>
      <c r="M1128" s="490" t="e">
        <f>#REF!</f>
        <v>#REF!</v>
      </c>
      <c r="N1128" s="490"/>
      <c r="O1128" s="983" t="e">
        <f>#REF!</f>
        <v>#REF!</v>
      </c>
      <c r="Q1128" s="490" t="e">
        <f>#REF!</f>
        <v>#REF!</v>
      </c>
      <c r="R1128" s="490"/>
      <c r="S1128" s="983" t="e">
        <f>#REF!</f>
        <v>#REF!</v>
      </c>
      <c r="U1128" s="490" t="e">
        <f>#REF!</f>
        <v>#REF!</v>
      </c>
      <c r="X1128" s="165"/>
      <c r="Y1128" s="165"/>
      <c r="Z1128" s="31"/>
      <c r="AA1128" s="287"/>
      <c r="AB1128" s="287"/>
      <c r="AC1128" s="167"/>
      <c r="AD1128" s="167"/>
      <c r="AE1128" s="167"/>
      <c r="AF1128" s="168"/>
      <c r="AG1128" s="162"/>
      <c r="AH1128" s="165"/>
      <c r="AI1128" s="165"/>
      <c r="AJ1128" s="165"/>
      <c r="AK1128" s="165"/>
      <c r="AL1128" s="7"/>
      <c r="AM1128" s="7"/>
      <c r="AN1128" s="7"/>
      <c r="AO1128" s="7"/>
      <c r="AP1128" s="7"/>
    </row>
    <row r="1129" spans="1:42">
      <c r="A1129" s="4" t="s">
        <v>473</v>
      </c>
      <c r="C1129" s="419">
        <v>17310.1784326038</v>
      </c>
      <c r="D1129" s="983">
        <v>10.72</v>
      </c>
      <c r="F1129" s="490">
        <f t="shared" si="184"/>
        <v>185565</v>
      </c>
      <c r="G1129" s="983">
        <f t="shared" ref="G1129:G1159" si="185">ROUND(D1129+(D1129*$X$1166),2)</f>
        <v>9.27</v>
      </c>
      <c r="I1129" s="490">
        <f t="shared" ref="I1129:I1156" si="186">ROUND(G1129*$C1129,0)</f>
        <v>160465</v>
      </c>
      <c r="J1129" s="490"/>
      <c r="K1129" s="983" t="e">
        <f>#REF!</f>
        <v>#REF!</v>
      </c>
      <c r="M1129" s="490" t="e">
        <f>#REF!</f>
        <v>#REF!</v>
      </c>
      <c r="N1129" s="490"/>
      <c r="O1129" s="983" t="e">
        <f>#REF!</f>
        <v>#REF!</v>
      </c>
      <c r="Q1129" s="490" t="e">
        <f>#REF!</f>
        <v>#REF!</v>
      </c>
      <c r="R1129" s="490"/>
      <c r="S1129" s="983" t="e">
        <f>#REF!</f>
        <v>#REF!</v>
      </c>
      <c r="U1129" s="490" t="e">
        <f>#REF!</f>
        <v>#REF!</v>
      </c>
      <c r="X1129" s="165"/>
      <c r="Y1129" s="165"/>
      <c r="Z1129" s="31"/>
      <c r="AA1129" s="287"/>
      <c r="AB1129" s="287"/>
      <c r="AC1129" s="167"/>
      <c r="AD1129" s="167"/>
      <c r="AE1129" s="167"/>
      <c r="AF1129" s="162"/>
      <c r="AG1129" s="162"/>
      <c r="AH1129" s="165"/>
      <c r="AI1129" s="165"/>
      <c r="AJ1129" s="165"/>
      <c r="AK1129" s="165"/>
      <c r="AL1129" s="7"/>
      <c r="AM1129" s="7"/>
      <c r="AN1129" s="7"/>
      <c r="AO1129" s="7"/>
      <c r="AP1129" s="7"/>
    </row>
    <row r="1130" spans="1:42">
      <c r="A1130" s="4" t="s">
        <v>576</v>
      </c>
      <c r="C1130" s="419">
        <v>0</v>
      </c>
      <c r="D1130" s="983">
        <v>34.03</v>
      </c>
      <c r="F1130" s="490">
        <f t="shared" si="184"/>
        <v>0</v>
      </c>
      <c r="G1130" s="983">
        <f t="shared" si="185"/>
        <v>29.43</v>
      </c>
      <c r="I1130" s="490">
        <f t="shared" si="186"/>
        <v>0</v>
      </c>
      <c r="J1130" s="490"/>
      <c r="K1130" s="983" t="e">
        <f>#REF!</f>
        <v>#REF!</v>
      </c>
      <c r="M1130" s="490" t="e">
        <f>#REF!</f>
        <v>#REF!</v>
      </c>
      <c r="N1130" s="490"/>
      <c r="O1130" s="983" t="e">
        <f>#REF!</f>
        <v>#REF!</v>
      </c>
      <c r="Q1130" s="490" t="e">
        <f>#REF!</f>
        <v>#REF!</v>
      </c>
      <c r="R1130" s="490"/>
      <c r="S1130" s="983" t="e">
        <f>#REF!</f>
        <v>#REF!</v>
      </c>
      <c r="U1130" s="490" t="e">
        <f>#REF!</f>
        <v>#REF!</v>
      </c>
      <c r="X1130" s="165"/>
      <c r="Y1130" s="165"/>
      <c r="Z1130" s="31"/>
      <c r="AA1130" s="287"/>
      <c r="AB1130" s="287"/>
      <c r="AC1130" s="167"/>
      <c r="AD1130" s="167"/>
      <c r="AE1130" s="167"/>
      <c r="AF1130" s="162"/>
      <c r="AG1130" s="162"/>
      <c r="AH1130" s="165"/>
      <c r="AI1130" s="165"/>
      <c r="AJ1130" s="165"/>
      <c r="AK1130" s="165"/>
      <c r="AL1130" s="7"/>
      <c r="AM1130" s="7"/>
      <c r="AN1130" s="7"/>
      <c r="AO1130" s="7"/>
      <c r="AP1130" s="7"/>
    </row>
    <row r="1131" spans="1:42">
      <c r="A1131" s="4" t="s">
        <v>577</v>
      </c>
      <c r="C1131" s="419">
        <v>0</v>
      </c>
      <c r="D1131" s="1074">
        <v>26.46</v>
      </c>
      <c r="F1131" s="490">
        <f t="shared" si="184"/>
        <v>0</v>
      </c>
      <c r="G1131" s="983">
        <f t="shared" si="185"/>
        <v>22.88</v>
      </c>
      <c r="I1131" s="490">
        <f t="shared" si="186"/>
        <v>0</v>
      </c>
      <c r="J1131" s="490"/>
      <c r="K1131" s="983" t="e">
        <f>#REF!</f>
        <v>#REF!</v>
      </c>
      <c r="M1131" s="490" t="e">
        <f>#REF!</f>
        <v>#REF!</v>
      </c>
      <c r="N1131" s="490"/>
      <c r="O1131" s="983" t="e">
        <f>#REF!</f>
        <v>#REF!</v>
      </c>
      <c r="Q1131" s="490" t="e">
        <f>#REF!</f>
        <v>#REF!</v>
      </c>
      <c r="R1131" s="490"/>
      <c r="S1131" s="983" t="e">
        <f>#REF!</f>
        <v>#REF!</v>
      </c>
      <c r="U1131" s="490" t="e">
        <f>#REF!</f>
        <v>#REF!</v>
      </c>
      <c r="X1131" s="165"/>
      <c r="Y1131" s="165"/>
      <c r="Z1131" s="31"/>
      <c r="AA1131" s="287"/>
      <c r="AB1131" s="287"/>
      <c r="AC1131" s="167"/>
      <c r="AD1131" s="167"/>
      <c r="AE1131" s="167"/>
      <c r="AF1131" s="162"/>
      <c r="AG1131" s="162"/>
      <c r="AH1131" s="165"/>
      <c r="AI1131" s="165"/>
      <c r="AJ1131" s="165"/>
      <c r="AK1131" s="165"/>
      <c r="AL1131" s="7"/>
      <c r="AM1131" s="7"/>
      <c r="AN1131" s="7"/>
      <c r="AO1131" s="7"/>
      <c r="AP1131" s="7"/>
    </row>
    <row r="1132" spans="1:42">
      <c r="A1132" s="4" t="s">
        <v>571</v>
      </c>
      <c r="C1132" s="419">
        <v>1065.5868126631899</v>
      </c>
      <c r="D1132" s="1074">
        <v>13.69</v>
      </c>
      <c r="F1132" s="490">
        <f t="shared" si="184"/>
        <v>14588</v>
      </c>
      <c r="G1132" s="983">
        <f t="shared" si="185"/>
        <v>11.84</v>
      </c>
      <c r="I1132" s="490">
        <f t="shared" si="186"/>
        <v>12617</v>
      </c>
      <c r="J1132" s="490"/>
      <c r="K1132" s="983" t="e">
        <f>#REF!</f>
        <v>#REF!</v>
      </c>
      <c r="M1132" s="490" t="e">
        <f>#REF!</f>
        <v>#REF!</v>
      </c>
      <c r="N1132" s="490"/>
      <c r="O1132" s="983" t="e">
        <f>#REF!</f>
        <v>#REF!</v>
      </c>
      <c r="Q1132" s="490" t="e">
        <f>#REF!</f>
        <v>#REF!</v>
      </c>
      <c r="R1132" s="490"/>
      <c r="S1132" s="983" t="e">
        <f>#REF!</f>
        <v>#REF!</v>
      </c>
      <c r="U1132" s="490" t="e">
        <f>#REF!</f>
        <v>#REF!</v>
      </c>
      <c r="X1132" s="165"/>
      <c r="Y1132" s="165"/>
      <c r="Z1132" s="31"/>
      <c r="AA1132" s="287"/>
      <c r="AB1132" s="287"/>
      <c r="AC1132" s="167"/>
      <c r="AD1132" s="167"/>
      <c r="AE1132" s="167"/>
      <c r="AF1132" s="162"/>
      <c r="AG1132" s="162"/>
      <c r="AH1132" s="165"/>
      <c r="AI1132" s="165"/>
      <c r="AJ1132" s="165"/>
      <c r="AK1132" s="165"/>
      <c r="AL1132" s="7"/>
      <c r="AM1132" s="7"/>
      <c r="AN1132" s="7"/>
      <c r="AO1132" s="7"/>
      <c r="AP1132" s="7"/>
    </row>
    <row r="1133" spans="1:42">
      <c r="A1133" s="4" t="s">
        <v>578</v>
      </c>
      <c r="C1133" s="419">
        <v>47.999893788498298</v>
      </c>
      <c r="D1133" s="1074">
        <v>35.25</v>
      </c>
      <c r="F1133" s="490">
        <f t="shared" si="184"/>
        <v>1692</v>
      </c>
      <c r="G1133" s="983">
        <f t="shared" si="185"/>
        <v>30.48</v>
      </c>
      <c r="I1133" s="490">
        <f t="shared" si="186"/>
        <v>1463</v>
      </c>
      <c r="J1133" s="490"/>
      <c r="K1133" s="983" t="e">
        <f>#REF!</f>
        <v>#REF!</v>
      </c>
      <c r="M1133" s="490" t="e">
        <f>#REF!</f>
        <v>#REF!</v>
      </c>
      <c r="N1133" s="490"/>
      <c r="O1133" s="983" t="e">
        <f>#REF!</f>
        <v>#REF!</v>
      </c>
      <c r="Q1133" s="490" t="e">
        <f>#REF!</f>
        <v>#REF!</v>
      </c>
      <c r="R1133" s="490"/>
      <c r="S1133" s="983" t="e">
        <f>#REF!</f>
        <v>#REF!</v>
      </c>
      <c r="U1133" s="490" t="e">
        <f>#REF!</f>
        <v>#REF!</v>
      </c>
      <c r="X1133" s="165"/>
      <c r="Y1133" s="165"/>
      <c r="Z1133" s="31"/>
      <c r="AA1133" s="287"/>
      <c r="AB1133" s="287"/>
      <c r="AC1133" s="167"/>
      <c r="AD1133" s="167"/>
      <c r="AE1133" s="167"/>
      <c r="AF1133" s="162"/>
      <c r="AG1133" s="162"/>
      <c r="AH1133" s="165"/>
      <c r="AI1133" s="165"/>
      <c r="AJ1133" s="165"/>
      <c r="AK1133" s="165"/>
      <c r="AL1133" s="7"/>
      <c r="AM1133" s="7"/>
      <c r="AN1133" s="7"/>
      <c r="AO1133" s="7"/>
      <c r="AP1133" s="7"/>
    </row>
    <row r="1134" spans="1:42">
      <c r="A1134" s="4" t="s">
        <v>579</v>
      </c>
      <c r="C1134" s="419">
        <v>0</v>
      </c>
      <c r="D1134" s="1074">
        <v>27.72</v>
      </c>
      <c r="F1134" s="490">
        <f t="shared" si="184"/>
        <v>0</v>
      </c>
      <c r="G1134" s="983">
        <f t="shared" si="185"/>
        <v>23.97</v>
      </c>
      <c r="I1134" s="490">
        <f t="shared" si="186"/>
        <v>0</v>
      </c>
      <c r="J1134" s="490"/>
      <c r="K1134" s="983" t="e">
        <f>#REF!</f>
        <v>#REF!</v>
      </c>
      <c r="M1134" s="490" t="e">
        <f>#REF!</f>
        <v>#REF!</v>
      </c>
      <c r="N1134" s="490"/>
      <c r="O1134" s="983" t="e">
        <f>#REF!</f>
        <v>#REF!</v>
      </c>
      <c r="Q1134" s="490" t="e">
        <f>#REF!</f>
        <v>#REF!</v>
      </c>
      <c r="R1134" s="490"/>
      <c r="S1134" s="983" t="e">
        <f>#REF!</f>
        <v>#REF!</v>
      </c>
      <c r="U1134" s="490" t="e">
        <f>#REF!</f>
        <v>#REF!</v>
      </c>
      <c r="X1134" s="165"/>
      <c r="Y1134" s="165"/>
      <c r="Z1134" s="31"/>
      <c r="AA1134" s="287"/>
      <c r="AB1134" s="287"/>
      <c r="AC1134" s="167"/>
      <c r="AD1134" s="167"/>
      <c r="AE1134" s="167"/>
      <c r="AF1134" s="162"/>
      <c r="AG1134" s="162"/>
      <c r="AH1134" s="165"/>
      <c r="AI1134" s="165"/>
      <c r="AJ1134" s="165"/>
      <c r="AK1134" s="165"/>
      <c r="AL1134" s="7"/>
      <c r="AM1134" s="7"/>
      <c r="AN1134" s="7"/>
      <c r="AO1134" s="7"/>
      <c r="AP1134" s="7"/>
    </row>
    <row r="1135" spans="1:42">
      <c r="A1135" s="4" t="s">
        <v>347</v>
      </c>
      <c r="C1135" s="419">
        <v>16337.519049537101</v>
      </c>
      <c r="D1135" s="1074">
        <v>15.63</v>
      </c>
      <c r="F1135" s="490">
        <f t="shared" si="184"/>
        <v>255355</v>
      </c>
      <c r="G1135" s="983">
        <f t="shared" si="185"/>
        <v>13.52</v>
      </c>
      <c r="I1135" s="490">
        <f t="shared" si="186"/>
        <v>220883</v>
      </c>
      <c r="J1135" s="490"/>
      <c r="K1135" s="983" t="e">
        <f>#REF!</f>
        <v>#REF!</v>
      </c>
      <c r="M1135" s="490" t="e">
        <f>#REF!</f>
        <v>#REF!</v>
      </c>
      <c r="N1135" s="490"/>
      <c r="O1135" s="983" t="e">
        <f>#REF!</f>
        <v>#REF!</v>
      </c>
      <c r="Q1135" s="490" t="e">
        <f>#REF!</f>
        <v>#REF!</v>
      </c>
      <c r="R1135" s="490"/>
      <c r="S1135" s="983" t="e">
        <f>#REF!</f>
        <v>#REF!</v>
      </c>
      <c r="U1135" s="490" t="e">
        <f>#REF!</f>
        <v>#REF!</v>
      </c>
      <c r="X1135" s="165"/>
      <c r="Y1135" s="165"/>
      <c r="Z1135" s="31"/>
      <c r="AA1135" s="287"/>
      <c r="AB1135" s="287"/>
      <c r="AC1135" s="167"/>
      <c r="AD1135" s="167"/>
      <c r="AE1135" s="167"/>
      <c r="AF1135" s="162"/>
      <c r="AG1135" s="162"/>
      <c r="AH1135" s="165"/>
      <c r="AI1135" s="165"/>
      <c r="AJ1135" s="165"/>
      <c r="AK1135" s="165"/>
      <c r="AL1135" s="7"/>
      <c r="AM1135" s="7"/>
      <c r="AN1135" s="7"/>
      <c r="AO1135" s="7"/>
      <c r="AP1135" s="7"/>
    </row>
    <row r="1136" spans="1:42">
      <c r="A1136" s="4" t="s">
        <v>572</v>
      </c>
      <c r="C1136" s="419">
        <v>1995.29440937456</v>
      </c>
      <c r="D1136" s="1074">
        <v>19.8</v>
      </c>
      <c r="F1136" s="490">
        <f t="shared" si="184"/>
        <v>39507</v>
      </c>
      <c r="G1136" s="983">
        <f t="shared" si="185"/>
        <v>17.12</v>
      </c>
      <c r="I1136" s="490">
        <f t="shared" si="186"/>
        <v>34159</v>
      </c>
      <c r="J1136" s="490"/>
      <c r="K1136" s="983" t="e">
        <f>#REF!</f>
        <v>#REF!</v>
      </c>
      <c r="M1136" s="490" t="e">
        <f>#REF!</f>
        <v>#REF!</v>
      </c>
      <c r="N1136" s="490"/>
      <c r="O1136" s="983" t="e">
        <f>#REF!</f>
        <v>#REF!</v>
      </c>
      <c r="Q1136" s="490" t="e">
        <f>#REF!</f>
        <v>#REF!</v>
      </c>
      <c r="R1136" s="490"/>
      <c r="S1136" s="983" t="e">
        <f>#REF!</f>
        <v>#REF!</v>
      </c>
      <c r="U1136" s="490" t="e">
        <f>#REF!</f>
        <v>#REF!</v>
      </c>
      <c r="X1136" s="165"/>
      <c r="Y1136" s="165"/>
      <c r="Z1136" s="31"/>
      <c r="AA1136" s="287"/>
      <c r="AB1136" s="287"/>
      <c r="AC1136" s="167"/>
      <c r="AD1136" s="167"/>
      <c r="AE1136" s="167"/>
      <c r="AF1136" s="162"/>
      <c r="AG1136" s="162"/>
      <c r="AH1136" s="165"/>
      <c r="AI1136" s="165"/>
      <c r="AJ1136" s="165"/>
      <c r="AK1136" s="165"/>
      <c r="AL1136" s="7"/>
      <c r="AM1136" s="7"/>
      <c r="AN1136" s="7"/>
      <c r="AO1136" s="7"/>
      <c r="AP1136" s="7"/>
    </row>
    <row r="1137" spans="1:42">
      <c r="A1137" s="4" t="s">
        <v>348</v>
      </c>
      <c r="C1137" s="419">
        <v>2706.90940145997</v>
      </c>
      <c r="D1137" s="1074">
        <v>26.16</v>
      </c>
      <c r="F1137" s="490">
        <f t="shared" si="184"/>
        <v>70813</v>
      </c>
      <c r="G1137" s="983">
        <f t="shared" si="185"/>
        <v>22.62</v>
      </c>
      <c r="I1137" s="490">
        <f>ROUND(G1137*$C1137,0)</f>
        <v>61230</v>
      </c>
      <c r="J1137" s="490"/>
      <c r="K1137" s="983" t="e">
        <f>#REF!</f>
        <v>#REF!</v>
      </c>
      <c r="M1137" s="490" t="e">
        <f>#REF!</f>
        <v>#REF!</v>
      </c>
      <c r="N1137" s="490"/>
      <c r="O1137" s="983" t="e">
        <f>#REF!</f>
        <v>#REF!</v>
      </c>
      <c r="Q1137" s="490" t="e">
        <f>#REF!</f>
        <v>#REF!</v>
      </c>
      <c r="R1137" s="490"/>
      <c r="S1137" s="983" t="e">
        <f>#REF!</f>
        <v>#REF!</v>
      </c>
      <c r="U1137" s="490" t="e">
        <f>#REF!</f>
        <v>#REF!</v>
      </c>
      <c r="X1137" s="165"/>
      <c r="Y1137" s="165"/>
      <c r="Z1137" s="31"/>
      <c r="AA1137" s="287"/>
      <c r="AB1137" s="287"/>
      <c r="AC1137" s="167"/>
      <c r="AD1137" s="167"/>
      <c r="AE1137" s="167"/>
      <c r="AF1137" s="162"/>
      <c r="AG1137" s="162"/>
      <c r="AH1137" s="165"/>
      <c r="AI1137" s="165"/>
      <c r="AJ1137" s="165"/>
      <c r="AK1137" s="165"/>
      <c r="AL1137" s="7"/>
      <c r="AM1137" s="7"/>
      <c r="AN1137" s="7"/>
      <c r="AO1137" s="7"/>
      <c r="AP1137" s="7"/>
    </row>
    <row r="1138" spans="1:42">
      <c r="A1138" s="4" t="s">
        <v>783</v>
      </c>
      <c r="C1138" s="419"/>
      <c r="D1138" s="983"/>
      <c r="F1138" s="490"/>
      <c r="G1138" s="983"/>
      <c r="I1138" s="490"/>
      <c r="J1138" s="490"/>
      <c r="K1138" s="983"/>
      <c r="M1138" s="490"/>
      <c r="N1138" s="490"/>
      <c r="O1138" s="983"/>
      <c r="Q1138" s="490"/>
      <c r="R1138" s="490"/>
      <c r="S1138" s="983"/>
      <c r="U1138" s="490"/>
      <c r="X1138" s="165"/>
      <c r="Y1138" s="165"/>
      <c r="Z1138" s="31"/>
      <c r="AA1138" s="287"/>
      <c r="AB1138" s="287"/>
      <c r="AC1138" s="167"/>
      <c r="AD1138" s="167"/>
      <c r="AE1138" s="167"/>
      <c r="AF1138" s="162"/>
      <c r="AG1138" s="162"/>
      <c r="AH1138" s="165"/>
      <c r="AI1138" s="165"/>
      <c r="AJ1138" s="165"/>
      <c r="AK1138" s="165"/>
      <c r="AL1138" s="7"/>
      <c r="AM1138" s="7"/>
      <c r="AN1138" s="7"/>
      <c r="AO1138" s="7"/>
      <c r="AP1138" s="7"/>
    </row>
    <row r="1139" spans="1:42">
      <c r="A1139" s="4" t="s">
        <v>888</v>
      </c>
      <c r="C1139" s="419">
        <v>42.160200250312897</v>
      </c>
      <c r="D1139" s="1074">
        <v>7.95</v>
      </c>
      <c r="F1139" s="490">
        <f t="shared" ref="F1139:F1144" si="187">ROUND(C1139*D1139,0)</f>
        <v>335</v>
      </c>
      <c r="G1139" s="983">
        <f t="shared" si="185"/>
        <v>6.88</v>
      </c>
      <c r="I1139" s="490">
        <f t="shared" ref="I1139:I1144" si="188">ROUND(G1139*$C1139,0)</f>
        <v>290</v>
      </c>
      <c r="J1139" s="490"/>
      <c r="K1139" s="983" t="e">
        <f>#REF!</f>
        <v>#REF!</v>
      </c>
      <c r="M1139" s="490" t="e">
        <f>#REF!</f>
        <v>#REF!</v>
      </c>
      <c r="N1139" s="490"/>
      <c r="O1139" s="983" t="e">
        <f>#REF!</f>
        <v>#REF!</v>
      </c>
      <c r="Q1139" s="490" t="e">
        <f>#REF!</f>
        <v>#REF!</v>
      </c>
      <c r="R1139" s="490"/>
      <c r="S1139" s="983" t="e">
        <f>#REF!</f>
        <v>#REF!</v>
      </c>
      <c r="U1139" s="490" t="e">
        <f>#REF!</f>
        <v>#REF!</v>
      </c>
      <c r="X1139" s="165"/>
      <c r="Y1139" s="165"/>
      <c r="Z1139" s="31"/>
      <c r="AA1139" s="287"/>
      <c r="AB1139" s="287"/>
      <c r="AC1139" s="167"/>
      <c r="AD1139" s="167"/>
      <c r="AE1139" s="167"/>
      <c r="AF1139" s="162"/>
      <c r="AG1139" s="162"/>
      <c r="AH1139" s="165"/>
      <c r="AI1139" s="165"/>
      <c r="AJ1139" s="165"/>
      <c r="AK1139" s="165"/>
      <c r="AL1139" s="7"/>
      <c r="AM1139" s="7"/>
      <c r="AN1139" s="7"/>
      <c r="AO1139" s="7"/>
      <c r="AP1139" s="7"/>
    </row>
    <row r="1140" spans="1:42">
      <c r="A1140" s="4" t="s">
        <v>889</v>
      </c>
      <c r="C1140" s="419">
        <v>1940.5866589300399</v>
      </c>
      <c r="D1140" s="1074">
        <v>9.86</v>
      </c>
      <c r="F1140" s="490">
        <f t="shared" si="187"/>
        <v>19134</v>
      </c>
      <c r="G1140" s="983">
        <f t="shared" si="185"/>
        <v>8.5299999999999994</v>
      </c>
      <c r="I1140" s="490">
        <f t="shared" si="188"/>
        <v>16553</v>
      </c>
      <c r="J1140" s="490"/>
      <c r="K1140" s="983" t="e">
        <f>#REF!</f>
        <v>#REF!</v>
      </c>
      <c r="M1140" s="490" t="e">
        <f>#REF!</f>
        <v>#REF!</v>
      </c>
      <c r="N1140" s="490"/>
      <c r="O1140" s="983" t="e">
        <f>#REF!</f>
        <v>#REF!</v>
      </c>
      <c r="Q1140" s="490" t="e">
        <f>#REF!</f>
        <v>#REF!</v>
      </c>
      <c r="R1140" s="490"/>
      <c r="S1140" s="983" t="e">
        <f>#REF!</f>
        <v>#REF!</v>
      </c>
      <c r="U1140" s="490" t="e">
        <f>#REF!</f>
        <v>#REF!</v>
      </c>
      <c r="X1140" s="165"/>
      <c r="Y1140" s="165"/>
      <c r="Z1140" s="31"/>
      <c r="AA1140" s="287"/>
      <c r="AB1140" s="287"/>
      <c r="AC1140" s="167"/>
      <c r="AD1140" s="167"/>
      <c r="AE1140" s="167"/>
      <c r="AF1140" s="162"/>
      <c r="AG1140" s="162"/>
      <c r="AH1140" s="165"/>
      <c r="AI1140" s="165"/>
      <c r="AJ1140" s="165"/>
      <c r="AK1140" s="165"/>
      <c r="AL1140" s="7"/>
      <c r="AM1140" s="7"/>
      <c r="AN1140" s="7"/>
      <c r="AO1140" s="7"/>
      <c r="AP1140" s="7"/>
    </row>
    <row r="1141" spans="1:42">
      <c r="A1141" s="4" t="s">
        <v>890</v>
      </c>
      <c r="C1141" s="419">
        <v>386.34804089456901</v>
      </c>
      <c r="D1141" s="1074">
        <v>12.43</v>
      </c>
      <c r="F1141" s="490">
        <f t="shared" si="187"/>
        <v>4802</v>
      </c>
      <c r="G1141" s="983">
        <f t="shared" si="185"/>
        <v>10.75</v>
      </c>
      <c r="I1141" s="490">
        <f t="shared" si="188"/>
        <v>4153</v>
      </c>
      <c r="J1141" s="490"/>
      <c r="K1141" s="983" t="e">
        <f>#REF!</f>
        <v>#REF!</v>
      </c>
      <c r="M1141" s="490" t="e">
        <f>#REF!</f>
        <v>#REF!</v>
      </c>
      <c r="N1141" s="490"/>
      <c r="O1141" s="983" t="e">
        <f>#REF!</f>
        <v>#REF!</v>
      </c>
      <c r="Q1141" s="490" t="e">
        <f>#REF!</f>
        <v>#REF!</v>
      </c>
      <c r="R1141" s="490"/>
      <c r="S1141" s="983" t="e">
        <f>#REF!</f>
        <v>#REF!</v>
      </c>
      <c r="U1141" s="490" t="e">
        <f>#REF!</f>
        <v>#REF!</v>
      </c>
      <c r="X1141" s="165"/>
      <c r="Y1141" s="165"/>
      <c r="Z1141" s="31"/>
      <c r="AA1141" s="287"/>
      <c r="AB1141" s="287"/>
      <c r="AC1141" s="167"/>
      <c r="AD1141" s="167"/>
      <c r="AE1141" s="167"/>
      <c r="AF1141" s="162"/>
      <c r="AG1141" s="162"/>
      <c r="AH1141" s="165"/>
      <c r="AI1141" s="165"/>
      <c r="AJ1141" s="165"/>
      <c r="AK1141" s="165"/>
      <c r="AL1141" s="7"/>
      <c r="AM1141" s="7"/>
      <c r="AN1141" s="7"/>
      <c r="AO1141" s="7"/>
      <c r="AP1141" s="7"/>
    </row>
    <row r="1142" spans="1:42">
      <c r="A1142" s="4" t="s">
        <v>891</v>
      </c>
      <c r="C1142" s="419">
        <v>30.6747747747748</v>
      </c>
      <c r="D1142" s="1074">
        <v>12.87</v>
      </c>
      <c r="F1142" s="490">
        <f t="shared" si="187"/>
        <v>395</v>
      </c>
      <c r="G1142" s="983">
        <f t="shared" si="185"/>
        <v>11.13</v>
      </c>
      <c r="I1142" s="490">
        <f t="shared" si="188"/>
        <v>341</v>
      </c>
      <c r="J1142" s="490"/>
      <c r="K1142" s="983" t="e">
        <f>#REF!</f>
        <v>#REF!</v>
      </c>
      <c r="M1142" s="490" t="e">
        <f>#REF!</f>
        <v>#REF!</v>
      </c>
      <c r="N1142" s="490"/>
      <c r="O1142" s="983" t="e">
        <f>#REF!</f>
        <v>#REF!</v>
      </c>
      <c r="Q1142" s="490" t="e">
        <f>#REF!</f>
        <v>#REF!</v>
      </c>
      <c r="R1142" s="490"/>
      <c r="S1142" s="983" t="e">
        <f>#REF!</f>
        <v>#REF!</v>
      </c>
      <c r="U1142" s="490" t="e">
        <f>#REF!</f>
        <v>#REF!</v>
      </c>
      <c r="X1142" s="165"/>
      <c r="Y1142" s="165"/>
      <c r="Z1142" s="31"/>
      <c r="AA1142" s="287"/>
      <c r="AB1142" s="287"/>
      <c r="AC1142" s="167"/>
      <c r="AD1142" s="167"/>
      <c r="AE1142" s="167"/>
      <c r="AF1142" s="162"/>
      <c r="AG1142" s="162"/>
      <c r="AH1142" s="165"/>
      <c r="AI1142" s="165"/>
      <c r="AJ1142" s="165"/>
      <c r="AK1142" s="165"/>
      <c r="AL1142" s="7"/>
      <c r="AM1142" s="7"/>
      <c r="AN1142" s="7"/>
      <c r="AO1142" s="7"/>
      <c r="AP1142" s="7"/>
    </row>
    <row r="1143" spans="1:42">
      <c r="A1143" s="4" t="s">
        <v>892</v>
      </c>
      <c r="C1143" s="419">
        <v>1920.3574460887401</v>
      </c>
      <c r="D1143" s="1074">
        <v>20.67</v>
      </c>
      <c r="F1143" s="490">
        <f t="shared" si="187"/>
        <v>39694</v>
      </c>
      <c r="G1143" s="983">
        <f t="shared" si="185"/>
        <v>17.88</v>
      </c>
      <c r="I1143" s="490">
        <f t="shared" si="188"/>
        <v>34336</v>
      </c>
      <c r="J1143" s="490"/>
      <c r="K1143" s="983" t="e">
        <f>#REF!</f>
        <v>#REF!</v>
      </c>
      <c r="M1143" s="490" t="e">
        <f>#REF!</f>
        <v>#REF!</v>
      </c>
      <c r="N1143" s="490"/>
      <c r="O1143" s="983" t="e">
        <f>#REF!</f>
        <v>#REF!</v>
      </c>
      <c r="Q1143" s="490" t="e">
        <f>#REF!</f>
        <v>#REF!</v>
      </c>
      <c r="R1143" s="490"/>
      <c r="S1143" s="983" t="e">
        <f>#REF!</f>
        <v>#REF!</v>
      </c>
      <c r="U1143" s="490" t="e">
        <f>#REF!</f>
        <v>#REF!</v>
      </c>
      <c r="X1143" s="165"/>
      <c r="Y1143" s="165"/>
      <c r="Z1143" s="31"/>
      <c r="AA1143" s="287"/>
      <c r="AB1143" s="287"/>
      <c r="AC1143" s="167"/>
      <c r="AD1143" s="167"/>
      <c r="AE1143" s="167"/>
      <c r="AF1143" s="162"/>
      <c r="AG1143" s="162"/>
      <c r="AH1143" s="165"/>
      <c r="AI1143" s="165"/>
      <c r="AJ1143" s="165"/>
      <c r="AK1143" s="165"/>
      <c r="AL1143" s="7"/>
      <c r="AM1143" s="7"/>
      <c r="AN1143" s="7"/>
      <c r="AO1143" s="7"/>
      <c r="AP1143" s="7"/>
    </row>
    <row r="1144" spans="1:42">
      <c r="A1144" s="4" t="s">
        <v>893</v>
      </c>
      <c r="C1144" s="419">
        <v>710.850771902367</v>
      </c>
      <c r="D1144" s="1074">
        <v>26.09</v>
      </c>
      <c r="F1144" s="490">
        <f t="shared" si="187"/>
        <v>18546</v>
      </c>
      <c r="G1144" s="983">
        <f t="shared" si="185"/>
        <v>22.56</v>
      </c>
      <c r="I1144" s="490">
        <f t="shared" si="188"/>
        <v>16037</v>
      </c>
      <c r="J1144" s="490"/>
      <c r="K1144" s="983" t="e">
        <f>#REF!</f>
        <v>#REF!</v>
      </c>
      <c r="M1144" s="490" t="e">
        <f>#REF!</f>
        <v>#REF!</v>
      </c>
      <c r="N1144" s="490"/>
      <c r="O1144" s="983" t="e">
        <f>#REF!</f>
        <v>#REF!</v>
      </c>
      <c r="Q1144" s="490" t="e">
        <f>#REF!</f>
        <v>#REF!</v>
      </c>
      <c r="R1144" s="490"/>
      <c r="S1144" s="983" t="e">
        <f>#REF!</f>
        <v>#REF!</v>
      </c>
      <c r="U1144" s="490" t="e">
        <f>#REF!</f>
        <v>#REF!</v>
      </c>
      <c r="X1144" s="165"/>
      <c r="Y1144" s="165"/>
      <c r="Z1144" s="31"/>
      <c r="AA1144" s="287"/>
      <c r="AB1144" s="287"/>
      <c r="AC1144" s="167"/>
      <c r="AD1144" s="167"/>
      <c r="AE1144" s="167"/>
      <c r="AF1144" s="162"/>
      <c r="AG1144" s="162"/>
      <c r="AH1144" s="165"/>
      <c r="AI1144" s="165"/>
      <c r="AJ1144" s="165"/>
      <c r="AK1144" s="165"/>
      <c r="AL1144" s="7"/>
      <c r="AM1144" s="7"/>
      <c r="AN1144" s="7"/>
      <c r="AO1144" s="7"/>
      <c r="AP1144" s="7"/>
    </row>
    <row r="1145" spans="1:42">
      <c r="A1145" s="4" t="s">
        <v>894</v>
      </c>
      <c r="C1145" s="419"/>
      <c r="D1145" s="983"/>
      <c r="F1145" s="490"/>
      <c r="G1145" s="983"/>
      <c r="I1145" s="490"/>
      <c r="J1145" s="490"/>
      <c r="K1145" s="983"/>
      <c r="M1145" s="490"/>
      <c r="N1145" s="490"/>
      <c r="O1145" s="983"/>
      <c r="Q1145" s="490"/>
      <c r="R1145" s="490"/>
      <c r="S1145" s="983"/>
      <c r="U1145" s="490"/>
      <c r="X1145" s="165"/>
      <c r="Y1145" s="165"/>
      <c r="Z1145" s="31"/>
      <c r="AA1145" s="287"/>
      <c r="AB1145" s="287"/>
      <c r="AC1145" s="167"/>
      <c r="AD1145" s="167"/>
      <c r="AE1145" s="167"/>
      <c r="AF1145" s="162"/>
      <c r="AG1145" s="162"/>
      <c r="AH1145" s="165"/>
      <c r="AI1145" s="165"/>
      <c r="AJ1145" s="165"/>
      <c r="AK1145" s="165"/>
      <c r="AL1145" s="7"/>
      <c r="AM1145" s="7"/>
      <c r="AN1145" s="7"/>
      <c r="AO1145" s="7"/>
      <c r="AP1145" s="7"/>
    </row>
    <row r="1146" spans="1:42">
      <c r="A1146" s="4" t="s">
        <v>888</v>
      </c>
      <c r="C1146" s="419">
        <v>2511.7599388379199</v>
      </c>
      <c r="D1146" s="1074">
        <v>6.5</v>
      </c>
      <c r="F1146" s="490">
        <f t="shared" ref="F1146:F1151" si="189">ROUND(C1146*D1146,0)</f>
        <v>16326</v>
      </c>
      <c r="G1146" s="983">
        <f t="shared" si="185"/>
        <v>5.62</v>
      </c>
      <c r="I1146" s="490">
        <f t="shared" ref="I1146:I1151" si="190">ROUND(G1146*$C1146,0)</f>
        <v>14116</v>
      </c>
      <c r="J1146" s="490"/>
      <c r="K1146" s="983" t="e">
        <f>#REF!</f>
        <v>#REF!</v>
      </c>
      <c r="M1146" s="490" t="e">
        <f>#REF!</f>
        <v>#REF!</v>
      </c>
      <c r="N1146" s="490"/>
      <c r="O1146" s="983" t="e">
        <f>#REF!</f>
        <v>#REF!</v>
      </c>
      <c r="Q1146" s="490" t="e">
        <f>#REF!</f>
        <v>#REF!</v>
      </c>
      <c r="R1146" s="490"/>
      <c r="S1146" s="983" t="e">
        <f>#REF!</f>
        <v>#REF!</v>
      </c>
      <c r="U1146" s="490" t="e">
        <f>#REF!</f>
        <v>#REF!</v>
      </c>
      <c r="X1146" s="165"/>
      <c r="Y1146" s="165"/>
      <c r="Z1146" s="31"/>
      <c r="AA1146" s="287"/>
      <c r="AB1146" s="287"/>
      <c r="AC1146" s="167"/>
      <c r="AD1146" s="167"/>
      <c r="AE1146" s="167"/>
      <c r="AF1146" s="162"/>
      <c r="AG1146" s="162"/>
      <c r="AH1146" s="165"/>
      <c r="AI1146" s="165"/>
      <c r="AJ1146" s="165"/>
      <c r="AK1146" s="165"/>
      <c r="AL1146" s="7"/>
      <c r="AM1146" s="7"/>
      <c r="AN1146" s="7"/>
      <c r="AO1146" s="7"/>
      <c r="AP1146" s="7"/>
    </row>
    <row r="1147" spans="1:42">
      <c r="A1147" s="4" t="s">
        <v>889</v>
      </c>
      <c r="C1147" s="419">
        <v>1224.931672702</v>
      </c>
      <c r="D1147" s="1074">
        <v>6.97</v>
      </c>
      <c r="F1147" s="490">
        <f t="shared" si="189"/>
        <v>8538</v>
      </c>
      <c r="G1147" s="983">
        <f t="shared" si="185"/>
        <v>6.03</v>
      </c>
      <c r="I1147" s="490">
        <f t="shared" si="190"/>
        <v>7386</v>
      </c>
      <c r="J1147" s="490"/>
      <c r="K1147" s="983" t="e">
        <f>#REF!</f>
        <v>#REF!</v>
      </c>
      <c r="M1147" s="490" t="e">
        <f>#REF!</f>
        <v>#REF!</v>
      </c>
      <c r="N1147" s="490"/>
      <c r="O1147" s="983" t="e">
        <f>#REF!</f>
        <v>#REF!</v>
      </c>
      <c r="Q1147" s="490" t="e">
        <f>#REF!</f>
        <v>#REF!</v>
      </c>
      <c r="R1147" s="490"/>
      <c r="S1147" s="983" t="e">
        <f>#REF!</f>
        <v>#REF!</v>
      </c>
      <c r="U1147" s="490" t="e">
        <f>#REF!</f>
        <v>#REF!</v>
      </c>
      <c r="X1147" s="165"/>
      <c r="Y1147" s="165"/>
      <c r="Z1147" s="31"/>
      <c r="AA1147" s="287"/>
      <c r="AB1147" s="287"/>
      <c r="AC1147" s="167"/>
      <c r="AD1147" s="167"/>
      <c r="AE1147" s="167"/>
      <c r="AF1147" s="162"/>
      <c r="AG1147" s="162"/>
      <c r="AH1147" s="165"/>
      <c r="AI1147" s="165"/>
      <c r="AJ1147" s="165"/>
      <c r="AK1147" s="165"/>
      <c r="AL1147" s="7"/>
      <c r="AM1147" s="7"/>
      <c r="AN1147" s="7"/>
      <c r="AO1147" s="7"/>
      <c r="AP1147" s="7"/>
    </row>
    <row r="1148" spans="1:42">
      <c r="A1148" s="4" t="s">
        <v>890</v>
      </c>
      <c r="C1148" s="419">
        <v>21.048507462686601</v>
      </c>
      <c r="D1148" s="1074">
        <v>7.97</v>
      </c>
      <c r="F1148" s="490">
        <f t="shared" si="189"/>
        <v>168</v>
      </c>
      <c r="G1148" s="983">
        <f t="shared" si="185"/>
        <v>6.89</v>
      </c>
      <c r="I1148" s="490">
        <f t="shared" si="190"/>
        <v>145</v>
      </c>
      <c r="J1148" s="490"/>
      <c r="K1148" s="983" t="e">
        <f>#REF!</f>
        <v>#REF!</v>
      </c>
      <c r="M1148" s="490" t="e">
        <f>#REF!</f>
        <v>#REF!</v>
      </c>
      <c r="N1148" s="490"/>
      <c r="O1148" s="983" t="e">
        <f>#REF!</f>
        <v>#REF!</v>
      </c>
      <c r="Q1148" s="490" t="e">
        <f>#REF!</f>
        <v>#REF!</v>
      </c>
      <c r="R1148" s="490"/>
      <c r="S1148" s="983" t="e">
        <f>#REF!</f>
        <v>#REF!</v>
      </c>
      <c r="U1148" s="490" t="e">
        <f>#REF!</f>
        <v>#REF!</v>
      </c>
      <c r="X1148" s="165"/>
      <c r="Y1148" s="165"/>
      <c r="Z1148" s="31"/>
      <c r="AA1148" s="287"/>
      <c r="AB1148" s="287"/>
      <c r="AC1148" s="167"/>
      <c r="AD1148" s="167"/>
      <c r="AE1148" s="167"/>
      <c r="AF1148" s="162"/>
      <c r="AG1148" s="162"/>
      <c r="AH1148" s="165"/>
      <c r="AI1148" s="165"/>
      <c r="AJ1148" s="165"/>
      <c r="AK1148" s="165"/>
      <c r="AL1148" s="7"/>
      <c r="AM1148" s="7"/>
      <c r="AN1148" s="7"/>
      <c r="AO1148" s="7"/>
      <c r="AP1148" s="7"/>
    </row>
    <row r="1149" spans="1:42">
      <c r="A1149" s="4" t="s">
        <v>891</v>
      </c>
      <c r="C1149" s="419">
        <v>1847.76591955096</v>
      </c>
      <c r="D1149" s="1074">
        <v>8.1300000000000008</v>
      </c>
      <c r="F1149" s="490">
        <f t="shared" si="189"/>
        <v>15022</v>
      </c>
      <c r="G1149" s="983">
        <f t="shared" si="185"/>
        <v>7.03</v>
      </c>
      <c r="I1149" s="490">
        <f t="shared" si="190"/>
        <v>12990</v>
      </c>
      <c r="J1149" s="490"/>
      <c r="K1149" s="983" t="e">
        <f>#REF!</f>
        <v>#REF!</v>
      </c>
      <c r="M1149" s="490" t="e">
        <f>#REF!</f>
        <v>#REF!</v>
      </c>
      <c r="N1149" s="490"/>
      <c r="O1149" s="983" t="e">
        <f>#REF!</f>
        <v>#REF!</v>
      </c>
      <c r="Q1149" s="490" t="e">
        <f>#REF!</f>
        <v>#REF!</v>
      </c>
      <c r="R1149" s="490"/>
      <c r="S1149" s="983" t="e">
        <f>#REF!</f>
        <v>#REF!</v>
      </c>
      <c r="U1149" s="490" t="e">
        <f>#REF!</f>
        <v>#REF!</v>
      </c>
      <c r="X1149" s="165"/>
      <c r="Y1149" s="165"/>
      <c r="Z1149" s="31"/>
      <c r="AA1149" s="287"/>
      <c r="AB1149" s="287"/>
      <c r="AC1149" s="167"/>
      <c r="AD1149" s="167"/>
      <c r="AE1149" s="167"/>
      <c r="AF1149" s="162"/>
      <c r="AG1149" s="162"/>
      <c r="AH1149" s="165"/>
      <c r="AI1149" s="165"/>
      <c r="AJ1149" s="165"/>
      <c r="AK1149" s="165"/>
      <c r="AL1149" s="7"/>
      <c r="AM1149" s="7"/>
      <c r="AN1149" s="7"/>
      <c r="AO1149" s="7"/>
      <c r="AP1149" s="7"/>
    </row>
    <row r="1150" spans="1:42">
      <c r="A1150" s="4" t="s">
        <v>892</v>
      </c>
      <c r="C1150" s="419">
        <v>164.16525779691301</v>
      </c>
      <c r="D1150" s="1074">
        <v>10.56</v>
      </c>
      <c r="F1150" s="490">
        <f t="shared" si="189"/>
        <v>1734</v>
      </c>
      <c r="G1150" s="983">
        <f t="shared" si="185"/>
        <v>9.1300000000000008</v>
      </c>
      <c r="I1150" s="490">
        <f t="shared" si="190"/>
        <v>1499</v>
      </c>
      <c r="J1150" s="490"/>
      <c r="K1150" s="983" t="e">
        <f>#REF!</f>
        <v>#REF!</v>
      </c>
      <c r="M1150" s="490" t="e">
        <f>#REF!</f>
        <v>#REF!</v>
      </c>
      <c r="N1150" s="490"/>
      <c r="O1150" s="983" t="e">
        <f>#REF!</f>
        <v>#REF!</v>
      </c>
      <c r="Q1150" s="490" t="e">
        <f>#REF!</f>
        <v>#REF!</v>
      </c>
      <c r="R1150" s="490"/>
      <c r="S1150" s="983" t="e">
        <f>#REF!</f>
        <v>#REF!</v>
      </c>
      <c r="U1150" s="490" t="e">
        <f>#REF!</f>
        <v>#REF!</v>
      </c>
      <c r="X1150" s="165"/>
      <c r="Y1150" s="165"/>
      <c r="Z1150" s="31"/>
      <c r="AA1150" s="287"/>
      <c r="AB1150" s="287"/>
      <c r="AC1150" s="167"/>
      <c r="AD1150" s="167"/>
      <c r="AE1150" s="167"/>
      <c r="AF1150" s="162"/>
      <c r="AG1150" s="162"/>
      <c r="AH1150" s="165"/>
      <c r="AI1150" s="165"/>
      <c r="AJ1150" s="165"/>
      <c r="AK1150" s="165"/>
      <c r="AL1150" s="7"/>
      <c r="AM1150" s="7"/>
      <c r="AN1150" s="7"/>
      <c r="AO1150" s="7"/>
      <c r="AP1150" s="7"/>
    </row>
    <row r="1151" spans="1:42">
      <c r="A1151" s="4" t="s">
        <v>893</v>
      </c>
      <c r="C1151" s="419">
        <v>648.34196374959504</v>
      </c>
      <c r="D1151" s="1074">
        <v>12.09</v>
      </c>
      <c r="F1151" s="490">
        <f t="shared" si="189"/>
        <v>7838</v>
      </c>
      <c r="G1151" s="983">
        <f t="shared" si="185"/>
        <v>10.46</v>
      </c>
      <c r="I1151" s="490">
        <f t="shared" si="190"/>
        <v>6782</v>
      </c>
      <c r="J1151" s="490"/>
      <c r="K1151" s="983" t="e">
        <f>#REF!</f>
        <v>#REF!</v>
      </c>
      <c r="M1151" s="490" t="e">
        <f>#REF!</f>
        <v>#REF!</v>
      </c>
      <c r="N1151" s="490"/>
      <c r="O1151" s="983" t="e">
        <f>#REF!</f>
        <v>#REF!</v>
      </c>
      <c r="Q1151" s="490" t="e">
        <f>#REF!</f>
        <v>#REF!</v>
      </c>
      <c r="R1151" s="490"/>
      <c r="S1151" s="983" t="e">
        <f>#REF!</f>
        <v>#REF!</v>
      </c>
      <c r="U1151" s="490" t="e">
        <f>#REF!</f>
        <v>#REF!</v>
      </c>
      <c r="X1151" s="165"/>
      <c r="Y1151" s="165"/>
      <c r="Z1151" s="31"/>
      <c r="AA1151" s="287"/>
      <c r="AB1151" s="287"/>
      <c r="AC1151" s="167"/>
      <c r="AD1151" s="167"/>
      <c r="AE1151" s="167"/>
      <c r="AF1151" s="162"/>
      <c r="AG1151" s="162"/>
      <c r="AH1151" s="165"/>
      <c r="AI1151" s="165"/>
      <c r="AJ1151" s="165"/>
      <c r="AK1151" s="165"/>
      <c r="AL1151" s="7"/>
      <c r="AM1151" s="7"/>
      <c r="AN1151" s="7"/>
      <c r="AO1151" s="7"/>
      <c r="AP1151" s="7"/>
    </row>
    <row r="1152" spans="1:42">
      <c r="A1152" s="4" t="s">
        <v>575</v>
      </c>
      <c r="C1152" s="419"/>
      <c r="D1152" s="983"/>
      <c r="F1152" s="490"/>
      <c r="G1152" s="983"/>
      <c r="I1152" s="490"/>
      <c r="J1152" s="490"/>
      <c r="K1152" s="983"/>
      <c r="M1152" s="490"/>
      <c r="N1152" s="490"/>
      <c r="O1152" s="983"/>
      <c r="Q1152" s="490"/>
      <c r="R1152" s="490"/>
      <c r="S1152" s="983"/>
      <c r="U1152" s="490"/>
      <c r="X1152" s="165"/>
      <c r="Y1152" s="165"/>
      <c r="Z1152" s="31"/>
      <c r="AA1152" s="287"/>
      <c r="AB1152" s="287"/>
      <c r="AC1152" s="167"/>
      <c r="AD1152" s="167"/>
      <c r="AE1152" s="167"/>
      <c r="AF1152" s="162"/>
      <c r="AG1152" s="162"/>
      <c r="AH1152" s="165"/>
      <c r="AI1152" s="165"/>
      <c r="AJ1152" s="165"/>
      <c r="AK1152" s="165"/>
      <c r="AL1152" s="7"/>
      <c r="AM1152" s="7"/>
      <c r="AN1152" s="7"/>
      <c r="AO1152" s="7"/>
      <c r="AP1152" s="7"/>
    </row>
    <row r="1153" spans="1:44">
      <c r="A1153" s="4" t="s">
        <v>580</v>
      </c>
      <c r="C1153" s="419">
        <v>0</v>
      </c>
      <c r="D1153" s="1074">
        <v>32.630000000000003</v>
      </c>
      <c r="F1153" s="490">
        <f t="shared" ref="F1153:F1159" si="191">ROUND(C1153*D1153,0)</f>
        <v>0</v>
      </c>
      <c r="G1153" s="983">
        <f t="shared" si="185"/>
        <v>28.22</v>
      </c>
      <c r="I1153" s="490">
        <f>ROUND(G1153*$C1153,0)</f>
        <v>0</v>
      </c>
      <c r="J1153" s="490"/>
      <c r="K1153" s="983" t="e">
        <f>#REF!</f>
        <v>#REF!</v>
      </c>
      <c r="M1153" s="490" t="e">
        <f>#REF!</f>
        <v>#REF!</v>
      </c>
      <c r="N1153" s="490"/>
      <c r="O1153" s="983" t="e">
        <f>#REF!</f>
        <v>#REF!</v>
      </c>
      <c r="Q1153" s="490" t="e">
        <f>#REF!</f>
        <v>#REF!</v>
      </c>
      <c r="R1153" s="490"/>
      <c r="S1153" s="983" t="e">
        <f>#REF!</f>
        <v>#REF!</v>
      </c>
      <c r="U1153" s="490" t="e">
        <f>#REF!</f>
        <v>#REF!</v>
      </c>
      <c r="X1153" s="165"/>
      <c r="Y1153" s="165"/>
      <c r="Z1153" s="31"/>
      <c r="AA1153" s="287"/>
      <c r="AB1153" s="287"/>
      <c r="AC1153" s="167"/>
      <c r="AD1153" s="167"/>
      <c r="AE1153" s="167"/>
      <c r="AF1153" s="162"/>
      <c r="AG1153" s="162"/>
      <c r="AH1153" s="165"/>
      <c r="AI1153" s="165"/>
      <c r="AJ1153" s="165"/>
      <c r="AK1153" s="165"/>
      <c r="AL1153" s="7"/>
      <c r="AM1153" s="7"/>
      <c r="AN1153" s="7"/>
      <c r="AO1153" s="7"/>
      <c r="AP1153" s="7"/>
    </row>
    <row r="1154" spans="1:44">
      <c r="A1154" s="4" t="s">
        <v>581</v>
      </c>
      <c r="C1154" s="419">
        <v>0</v>
      </c>
      <c r="D1154" s="1074">
        <v>27.22</v>
      </c>
      <c r="F1154" s="490">
        <f t="shared" si="191"/>
        <v>0</v>
      </c>
      <c r="G1154" s="983">
        <f t="shared" si="185"/>
        <v>23.54</v>
      </c>
      <c r="I1154" s="490">
        <f t="shared" si="186"/>
        <v>0</v>
      </c>
      <c r="J1154" s="490"/>
      <c r="K1154" s="983" t="e">
        <f>#REF!</f>
        <v>#REF!</v>
      </c>
      <c r="M1154" s="490" t="e">
        <f>#REF!</f>
        <v>#REF!</v>
      </c>
      <c r="N1154" s="490"/>
      <c r="O1154" s="983" t="e">
        <f>#REF!</f>
        <v>#REF!</v>
      </c>
      <c r="Q1154" s="490" t="e">
        <f>#REF!</f>
        <v>#REF!</v>
      </c>
      <c r="R1154" s="490"/>
      <c r="S1154" s="983" t="e">
        <f>#REF!</f>
        <v>#REF!</v>
      </c>
      <c r="U1154" s="490" t="e">
        <f>#REF!</f>
        <v>#REF!</v>
      </c>
      <c r="X1154" s="165"/>
      <c r="Y1154" s="165"/>
      <c r="Z1154" s="31"/>
      <c r="AA1154" s="287"/>
      <c r="AB1154" s="287"/>
      <c r="AC1154" s="167"/>
      <c r="AD1154" s="167"/>
      <c r="AE1154" s="167"/>
      <c r="AF1154" s="162"/>
      <c r="AG1154" s="162"/>
      <c r="AH1154" s="165"/>
      <c r="AI1154" s="165"/>
      <c r="AJ1154" s="165"/>
      <c r="AK1154" s="165"/>
      <c r="AL1154" s="7"/>
      <c r="AM1154" s="7"/>
      <c r="AN1154" s="7"/>
      <c r="AO1154" s="7"/>
      <c r="AP1154" s="7"/>
    </row>
    <row r="1155" spans="1:44">
      <c r="A1155" s="4" t="s">
        <v>582</v>
      </c>
      <c r="C1155" s="419">
        <v>0</v>
      </c>
      <c r="D1155" s="1074">
        <v>25.09</v>
      </c>
      <c r="F1155" s="490">
        <f t="shared" si="191"/>
        <v>0</v>
      </c>
      <c r="G1155" s="983">
        <f t="shared" si="185"/>
        <v>21.7</v>
      </c>
      <c r="I1155" s="490">
        <f>ROUND(G1155*$C1155,0)</f>
        <v>0</v>
      </c>
      <c r="J1155" s="490"/>
      <c r="K1155" s="983" t="e">
        <f>#REF!</f>
        <v>#REF!</v>
      </c>
      <c r="M1155" s="490" t="e">
        <f>#REF!</f>
        <v>#REF!</v>
      </c>
      <c r="N1155" s="490"/>
      <c r="O1155" s="983" t="e">
        <f>#REF!</f>
        <v>#REF!</v>
      </c>
      <c r="Q1155" s="490" t="e">
        <f>#REF!</f>
        <v>#REF!</v>
      </c>
      <c r="R1155" s="490"/>
      <c r="S1155" s="983" t="e">
        <f>#REF!</f>
        <v>#REF!</v>
      </c>
      <c r="U1155" s="490" t="e">
        <f>#REF!</f>
        <v>#REF!</v>
      </c>
      <c r="X1155" s="165"/>
      <c r="Y1155" s="165"/>
      <c r="Z1155" s="31"/>
      <c r="AA1155" s="287"/>
      <c r="AB1155" s="287"/>
      <c r="AC1155" s="167"/>
      <c r="AD1155" s="167"/>
      <c r="AE1155" s="167"/>
      <c r="AF1155" s="162"/>
      <c r="AG1155" s="162"/>
      <c r="AH1155" s="165"/>
      <c r="AI1155" s="165"/>
      <c r="AJ1155" s="165"/>
      <c r="AK1155" s="165"/>
      <c r="AL1155" s="7"/>
      <c r="AM1155" s="7"/>
      <c r="AN1155" s="7"/>
      <c r="AO1155" s="7"/>
      <c r="AP1155" s="7"/>
    </row>
    <row r="1156" spans="1:44">
      <c r="A1156" s="4" t="s">
        <v>583</v>
      </c>
      <c r="C1156" s="419">
        <v>0</v>
      </c>
      <c r="D1156" s="1074">
        <v>36.67</v>
      </c>
      <c r="F1156" s="490">
        <f t="shared" si="191"/>
        <v>0</v>
      </c>
      <c r="G1156" s="983">
        <f t="shared" si="185"/>
        <v>31.71</v>
      </c>
      <c r="I1156" s="490">
        <f t="shared" si="186"/>
        <v>0</v>
      </c>
      <c r="J1156" s="490"/>
      <c r="K1156" s="983" t="e">
        <f>#REF!</f>
        <v>#REF!</v>
      </c>
      <c r="M1156" s="490" t="e">
        <f>#REF!</f>
        <v>#REF!</v>
      </c>
      <c r="N1156" s="490"/>
      <c r="O1156" s="983" t="e">
        <f>#REF!</f>
        <v>#REF!</v>
      </c>
      <c r="Q1156" s="490" t="e">
        <f>#REF!</f>
        <v>#REF!</v>
      </c>
      <c r="R1156" s="490"/>
      <c r="S1156" s="983" t="e">
        <f>#REF!</f>
        <v>#REF!</v>
      </c>
      <c r="U1156" s="490" t="e">
        <f>#REF!</f>
        <v>#REF!</v>
      </c>
      <c r="X1156" s="165"/>
      <c r="Y1156" s="165"/>
      <c r="Z1156" s="31"/>
      <c r="AA1156" s="287"/>
      <c r="AB1156" s="287"/>
      <c r="AC1156" s="167"/>
      <c r="AD1156" s="167"/>
      <c r="AE1156" s="167"/>
      <c r="AF1156" s="162"/>
      <c r="AG1156" s="162"/>
      <c r="AH1156" s="165"/>
      <c r="AI1156" s="165"/>
      <c r="AJ1156" s="165"/>
      <c r="AK1156" s="165"/>
      <c r="AL1156" s="7"/>
      <c r="AM1156" s="7"/>
      <c r="AN1156" s="7"/>
      <c r="AO1156" s="7"/>
      <c r="AP1156" s="7"/>
    </row>
    <row r="1157" spans="1:44">
      <c r="A1157" s="4" t="s">
        <v>584</v>
      </c>
      <c r="C1157" s="419">
        <v>0</v>
      </c>
      <c r="D1157" s="1074">
        <v>29.52</v>
      </c>
      <c r="F1157" s="490">
        <f t="shared" si="191"/>
        <v>0</v>
      </c>
      <c r="G1157" s="983">
        <f t="shared" si="185"/>
        <v>25.53</v>
      </c>
      <c r="I1157" s="490">
        <f>ROUND(G1157*$C1157,0)</f>
        <v>0</v>
      </c>
      <c r="J1157" s="490"/>
      <c r="K1157" s="983" t="e">
        <f>#REF!</f>
        <v>#REF!</v>
      </c>
      <c r="M1157" s="490" t="e">
        <f>#REF!</f>
        <v>#REF!</v>
      </c>
      <c r="N1157" s="490"/>
      <c r="O1157" s="983" t="e">
        <f>#REF!</f>
        <v>#REF!</v>
      </c>
      <c r="Q1157" s="490" t="e">
        <f>#REF!</f>
        <v>#REF!</v>
      </c>
      <c r="R1157" s="490"/>
      <c r="S1157" s="983" t="e">
        <f>#REF!</f>
        <v>#REF!</v>
      </c>
      <c r="U1157" s="490" t="e">
        <f>#REF!</f>
        <v>#REF!</v>
      </c>
      <c r="X1157" s="165"/>
      <c r="Y1157" s="165"/>
      <c r="Z1157" s="31"/>
      <c r="AA1157" s="287"/>
      <c r="AB1157" s="287"/>
      <c r="AC1157" s="167"/>
      <c r="AD1157" s="167"/>
      <c r="AE1157" s="167"/>
      <c r="AF1157" s="162"/>
      <c r="AG1157" s="162"/>
      <c r="AH1157" s="165"/>
      <c r="AI1157" s="165"/>
      <c r="AJ1157" s="165"/>
      <c r="AK1157" s="165"/>
      <c r="AL1157" s="7"/>
      <c r="AM1157" s="7"/>
      <c r="AN1157" s="7"/>
      <c r="AO1157" s="7"/>
      <c r="AP1157" s="7"/>
    </row>
    <row r="1158" spans="1:44">
      <c r="A1158" s="4" t="s">
        <v>585</v>
      </c>
      <c r="C1158" s="419">
        <v>0</v>
      </c>
      <c r="D1158" s="1074">
        <v>29.01</v>
      </c>
      <c r="F1158" s="490">
        <f t="shared" si="191"/>
        <v>0</v>
      </c>
      <c r="G1158" s="983">
        <f t="shared" si="185"/>
        <v>25.09</v>
      </c>
      <c r="I1158" s="490">
        <f>ROUND(G1158*$C1158,0)</f>
        <v>0</v>
      </c>
      <c r="J1158" s="490"/>
      <c r="K1158" s="983" t="e">
        <f>#REF!</f>
        <v>#REF!</v>
      </c>
      <c r="M1158" s="490" t="e">
        <f>#REF!</f>
        <v>#REF!</v>
      </c>
      <c r="N1158" s="490"/>
      <c r="O1158" s="983" t="e">
        <f>#REF!</f>
        <v>#REF!</v>
      </c>
      <c r="Q1158" s="490" t="e">
        <f>#REF!</f>
        <v>#REF!</v>
      </c>
      <c r="R1158" s="490"/>
      <c r="S1158" s="983" t="e">
        <f>#REF!</f>
        <v>#REF!</v>
      </c>
      <c r="U1158" s="490" t="e">
        <f>#REF!</f>
        <v>#REF!</v>
      </c>
      <c r="X1158" s="165"/>
      <c r="Y1158" s="165"/>
      <c r="Z1158" s="31"/>
      <c r="AA1158" s="287"/>
      <c r="AB1158" s="287"/>
      <c r="AC1158" s="167"/>
      <c r="AD1158" s="167"/>
      <c r="AE1158" s="167"/>
      <c r="AF1158" s="162"/>
      <c r="AG1158" s="162"/>
      <c r="AH1158" s="165"/>
      <c r="AI1158" s="165"/>
      <c r="AJ1158" s="165"/>
      <c r="AK1158" s="165"/>
      <c r="AL1158" s="7"/>
      <c r="AM1158" s="7"/>
      <c r="AN1158" s="7"/>
      <c r="AO1158" s="7"/>
      <c r="AP1158" s="7"/>
    </row>
    <row r="1159" spans="1:44">
      <c r="A1159" s="4" t="s">
        <v>586</v>
      </c>
      <c r="C1159" s="419">
        <v>0</v>
      </c>
      <c r="D1159" s="1074">
        <v>31.59</v>
      </c>
      <c r="F1159" s="490">
        <f t="shared" si="191"/>
        <v>0</v>
      </c>
      <c r="G1159" s="983">
        <f t="shared" si="185"/>
        <v>27.32</v>
      </c>
      <c r="I1159" s="490">
        <f>ROUND(G1159*$C1159,0)</f>
        <v>0</v>
      </c>
      <c r="J1159" s="490"/>
      <c r="K1159" s="983" t="e">
        <f>#REF!</f>
        <v>#REF!</v>
      </c>
      <c r="M1159" s="490" t="e">
        <f>#REF!</f>
        <v>#REF!</v>
      </c>
      <c r="N1159" s="490"/>
      <c r="O1159" s="983" t="e">
        <f>#REF!</f>
        <v>#REF!</v>
      </c>
      <c r="Q1159" s="490" t="e">
        <f>#REF!</f>
        <v>#REF!</v>
      </c>
      <c r="R1159" s="490"/>
      <c r="S1159" s="983" t="e">
        <f>#REF!</f>
        <v>#REF!</v>
      </c>
      <c r="U1159" s="490" t="e">
        <f>#REF!</f>
        <v>#REF!</v>
      </c>
      <c r="X1159" s="165"/>
      <c r="Y1159" s="165"/>
      <c r="Z1159" s="31"/>
      <c r="AA1159" s="287"/>
      <c r="AB1159" s="287"/>
      <c r="AC1159" s="167"/>
      <c r="AD1159" s="167"/>
      <c r="AE1159" s="167"/>
      <c r="AF1159" s="162"/>
      <c r="AG1159" s="162"/>
      <c r="AH1159" s="165"/>
      <c r="AI1159" s="165"/>
      <c r="AJ1159" s="165"/>
      <c r="AK1159" s="165"/>
      <c r="AL1159" s="7"/>
      <c r="AM1159" s="7"/>
      <c r="AN1159" s="7"/>
      <c r="AO1159" s="7"/>
      <c r="AP1159" s="7"/>
    </row>
    <row r="1160" spans="1:44">
      <c r="A1160" s="4" t="s">
        <v>350</v>
      </c>
      <c r="C1160" s="419">
        <v>2928</v>
      </c>
      <c r="D1160" s="983"/>
      <c r="F1160" s="490"/>
      <c r="G1160" s="983"/>
      <c r="I1160" s="490"/>
      <c r="J1160" s="490"/>
      <c r="K1160" s="983"/>
      <c r="M1160" s="490"/>
      <c r="N1160" s="490"/>
      <c r="O1160" s="983"/>
      <c r="Q1160" s="490"/>
      <c r="R1160" s="490"/>
      <c r="S1160" s="983"/>
      <c r="U1160" s="490"/>
      <c r="X1160" s="165"/>
      <c r="Y1160" s="165"/>
      <c r="Z1160" s="31"/>
      <c r="AA1160" s="287"/>
      <c r="AB1160" s="287"/>
      <c r="AC1160" s="167"/>
      <c r="AD1160" s="167"/>
      <c r="AE1160" s="167"/>
      <c r="AF1160" s="162"/>
      <c r="AG1160" s="162"/>
      <c r="AH1160" s="165"/>
      <c r="AI1160" s="165"/>
      <c r="AJ1160" s="165"/>
      <c r="AK1160" s="165"/>
      <c r="AL1160" s="7"/>
      <c r="AM1160" s="7"/>
      <c r="AN1160" s="7"/>
      <c r="AO1160" s="7"/>
      <c r="AP1160" s="7"/>
    </row>
    <row r="1161" spans="1:44" s="588" customFormat="1" hidden="1">
      <c r="A1161" s="588" t="s">
        <v>782</v>
      </c>
      <c r="C1161" s="631">
        <f>C1162</f>
        <v>3621950.3857190385</v>
      </c>
      <c r="D1161" s="987">
        <v>0</v>
      </c>
      <c r="E1161" s="616" t="s">
        <v>362</v>
      </c>
      <c r="F1161" s="616"/>
      <c r="G1161" s="987">
        <v>0</v>
      </c>
      <c r="H1161" s="616" t="s">
        <v>362</v>
      </c>
      <c r="I1161" s="616">
        <f>ROUND(G1161*$C1161/100,0)</f>
        <v>0</v>
      </c>
      <c r="J1161" s="616"/>
      <c r="K1161" s="987" t="e">
        <f>#REF!</f>
        <v>#REF!</v>
      </c>
      <c r="L1161" s="592" t="s">
        <v>31</v>
      </c>
      <c r="M1161" s="490" t="e">
        <f>#REF!</f>
        <v>#REF!</v>
      </c>
      <c r="N1161" s="616"/>
      <c r="O1161" s="987" t="e">
        <f>#REF!</f>
        <v>#REF!</v>
      </c>
      <c r="P1161" s="592" t="s">
        <v>31</v>
      </c>
      <c r="Q1161" s="490" t="e">
        <f>#REF!</f>
        <v>#REF!</v>
      </c>
      <c r="R1161" s="616"/>
      <c r="S1161" s="987" t="e">
        <f>#REF!</f>
        <v>#REF!</v>
      </c>
      <c r="T1161" s="592" t="s">
        <v>362</v>
      </c>
      <c r="U1161" s="490" t="e">
        <f>#REF!</f>
        <v>#REF!</v>
      </c>
      <c r="V1161" s="988" t="e">
        <f>#REF!</f>
        <v>#REF!</v>
      </c>
      <c r="W1161" s="450" t="s">
        <v>752</v>
      </c>
      <c r="Z1161" s="989"/>
      <c r="AA1161" s="989"/>
      <c r="AF1161" s="635"/>
      <c r="AG1161" s="635"/>
      <c r="AH1161" s="635"/>
      <c r="AI1161" s="635"/>
      <c r="AJ1161" s="635"/>
      <c r="AK1161" s="635"/>
      <c r="AL1161" s="635"/>
      <c r="AM1161" s="635"/>
      <c r="AN1161" s="635"/>
      <c r="AO1161" s="635"/>
      <c r="AP1161" s="635"/>
      <c r="AR1161" s="988"/>
    </row>
    <row r="1162" spans="1:44">
      <c r="A1162" s="4" t="s">
        <v>369</v>
      </c>
      <c r="C1162" s="419">
        <v>3621950.3857190385</v>
      </c>
      <c r="D1162" s="990"/>
      <c r="E1162" s="7"/>
      <c r="F1162" s="723">
        <f>SUM(F1128:F1159)</f>
        <v>801854</v>
      </c>
      <c r="G1162" s="990"/>
      <c r="H1162" s="7"/>
      <c r="I1162" s="723">
        <f>SUM(I1128:I1161)</f>
        <v>693453</v>
      </c>
      <c r="J1162" s="723"/>
      <c r="K1162" s="990"/>
      <c r="L1162" s="7"/>
      <c r="M1162" s="723" t="e">
        <f>SUM(M1128:M1161)</f>
        <v>#REF!</v>
      </c>
      <c r="N1162" s="723"/>
      <c r="O1162" s="990"/>
      <c r="P1162" s="7"/>
      <c r="Q1162" s="723" t="e">
        <f>SUM(Q1128:Q1161)</f>
        <v>#REF!</v>
      </c>
      <c r="R1162" s="723"/>
      <c r="S1162" s="990"/>
      <c r="T1162" s="7"/>
      <c r="U1162" s="723" t="e">
        <f>SUM(U1128:U1161)</f>
        <v>#REF!</v>
      </c>
      <c r="X1162" s="165"/>
      <c r="Y1162" s="165"/>
      <c r="Z1162" s="1075"/>
      <c r="AA1162" s="7"/>
      <c r="AB1162" s="7"/>
      <c r="AC1162" s="171"/>
      <c r="AD1162" s="171"/>
      <c r="AE1162" s="171"/>
      <c r="AF1162" s="162"/>
      <c r="AG1162" s="162"/>
      <c r="AH1162" s="172"/>
      <c r="AI1162" s="162"/>
      <c r="AJ1162" s="162"/>
      <c r="AK1162" s="162"/>
      <c r="AL1162" s="7"/>
      <c r="AM1162" s="7"/>
      <c r="AN1162" s="7"/>
      <c r="AO1162" s="7"/>
      <c r="AP1162" s="7"/>
    </row>
    <row r="1163" spans="1:44">
      <c r="A1163" s="4" t="s">
        <v>351</v>
      </c>
      <c r="C1163" s="419">
        <f ca="1">'Table 2'!H129</f>
        <v>97338.732190921903</v>
      </c>
      <c r="D1163" s="990"/>
      <c r="E1163" s="7"/>
      <c r="F1163" s="723">
        <f>'Table 3'!E129</f>
        <v>12385.749110823419</v>
      </c>
      <c r="G1163" s="990"/>
      <c r="H1163" s="7"/>
      <c r="I1163" s="723">
        <f>F1163</f>
        <v>12385.749110823419</v>
      </c>
      <c r="J1163" s="723"/>
      <c r="K1163" s="990"/>
      <c r="L1163" s="7"/>
      <c r="M1163" s="723" t="e">
        <f>$I$1163*V1168/($V$1168+$W$1168+$X$1168)</f>
        <v>#DIV/0!</v>
      </c>
      <c r="N1163" s="723"/>
      <c r="O1163" s="305"/>
      <c r="P1163" s="305"/>
      <c r="Q1163" s="723" t="e">
        <f>$I$1163*W1168/($V$1168+$W$1168+$X$1168)</f>
        <v>#DIV/0!</v>
      </c>
      <c r="R1163" s="723"/>
      <c r="S1163" s="305"/>
      <c r="T1163" s="305"/>
      <c r="U1163" s="723" t="e">
        <f>$I$1163*X1168/($V$1168+$W$1168+$X$1168)</f>
        <v>#DIV/0!</v>
      </c>
      <c r="V1163" s="1044"/>
      <c r="X1163" s="171"/>
      <c r="Y1163" s="171"/>
      <c r="Z1163" s="287"/>
      <c r="AA1163" s="7"/>
      <c r="AB1163" s="7"/>
      <c r="AC1163" s="7"/>
      <c r="AD1163" s="7"/>
      <c r="AE1163" s="7"/>
      <c r="AF1163" s="165"/>
      <c r="AG1163" s="162"/>
      <c r="AH1163" s="7"/>
      <c r="AI1163" s="7"/>
      <c r="AJ1163" s="7"/>
      <c r="AK1163" s="7"/>
      <c r="AL1163" s="7"/>
      <c r="AM1163" s="7"/>
      <c r="AN1163" s="7"/>
      <c r="AO1163" s="7"/>
      <c r="AP1163" s="7"/>
    </row>
    <row r="1164" spans="1:44" ht="16.5" thickBot="1">
      <c r="A1164" s="4" t="s">
        <v>9</v>
      </c>
      <c r="C1164" s="994">
        <f ca="1">C1162+C1163</f>
        <v>3719289.1179099604</v>
      </c>
      <c r="D1164" s="995"/>
      <c r="E1164" s="995"/>
      <c r="F1164" s="996">
        <f>F1162+F1163</f>
        <v>814239.74911082338</v>
      </c>
      <c r="G1164" s="995"/>
      <c r="H1164" s="995"/>
      <c r="I1164" s="996">
        <f>I1162+I1163</f>
        <v>705838.74911082338</v>
      </c>
      <c r="J1164" s="995"/>
      <c r="K1164" s="995"/>
      <c r="L1164" s="996"/>
      <c r="M1164" s="996" t="e">
        <f>M1162+M1163</f>
        <v>#REF!</v>
      </c>
      <c r="N1164" s="995"/>
      <c r="O1164" s="995"/>
      <c r="P1164" s="996"/>
      <c r="Q1164" s="996" t="e">
        <f>Q1162+Q1163</f>
        <v>#REF!</v>
      </c>
      <c r="R1164" s="995"/>
      <c r="S1164" s="995"/>
      <c r="T1164" s="996"/>
      <c r="U1164" s="996" t="e">
        <f>U1162+U1163</f>
        <v>#REF!</v>
      </c>
      <c r="V1164" s="440" t="s">
        <v>397</v>
      </c>
      <c r="W1164" s="452">
        <f ca="1">'Rate Spread targets'!Q38*1000</f>
        <v>828113.9045129352</v>
      </c>
      <c r="X1164" s="998">
        <f>(I1164-F1164)/F1164</f>
        <v>-0.13313155015875541</v>
      </c>
      <c r="Y1164" s="453"/>
      <c r="AF1164" s="162"/>
      <c r="AG1164" s="162"/>
      <c r="AH1164" s="7"/>
      <c r="AI1164" s="7"/>
      <c r="AJ1164" s="7"/>
      <c r="AK1164" s="7"/>
      <c r="AL1164" s="7"/>
      <c r="AM1164" s="7"/>
      <c r="AN1164" s="7"/>
      <c r="AO1164" s="7"/>
      <c r="AP1164" s="7"/>
    </row>
    <row r="1165" spans="1:44" ht="16.5" thickTop="1">
      <c r="A1165" s="728" t="s">
        <v>781</v>
      </c>
      <c r="C1165" s="999"/>
      <c r="D1165" s="723"/>
      <c r="E1165" s="723"/>
      <c r="F1165" s="723"/>
      <c r="G1165" s="723"/>
      <c r="H1165" s="723"/>
      <c r="I1165" s="723"/>
      <c r="J1165" s="723"/>
      <c r="K1165" s="723"/>
      <c r="L1165" s="723"/>
      <c r="M1165" s="723"/>
      <c r="N1165" s="723"/>
      <c r="O1165" s="723"/>
      <c r="P1165" s="723"/>
      <c r="Q1165" s="723"/>
      <c r="R1165" s="723"/>
      <c r="S1165" s="723"/>
      <c r="T1165" s="723"/>
      <c r="U1165" s="723"/>
      <c r="V1165" s="724"/>
      <c r="W1165" s="294"/>
      <c r="X1165" s="1000"/>
      <c r="Y1165" s="453"/>
      <c r="AF1165" s="162"/>
      <c r="AG1165" s="162"/>
      <c r="AH1165" s="7"/>
      <c r="AI1165" s="7"/>
      <c r="AJ1165" s="7"/>
      <c r="AK1165" s="7"/>
      <c r="AL1165" s="7"/>
      <c r="AM1165" s="7"/>
      <c r="AN1165" s="7"/>
      <c r="AO1165" s="7"/>
      <c r="AP1165" s="7"/>
    </row>
    <row r="1166" spans="1:44">
      <c r="C1166" s="999"/>
      <c r="D1166" s="723"/>
      <c r="E1166" s="723"/>
      <c r="F1166" s="723"/>
      <c r="G1166" s="723"/>
      <c r="H1166" s="723"/>
      <c r="I1166" s="723"/>
      <c r="J1166" s="723"/>
      <c r="K1166" s="723"/>
      <c r="L1166" s="723"/>
      <c r="M1166" s="723"/>
      <c r="N1166" s="723"/>
      <c r="O1166" s="723"/>
      <c r="P1166" s="723"/>
      <c r="Q1166" s="723"/>
      <c r="R1166" s="723"/>
      <c r="S1166" s="723"/>
      <c r="T1166" s="723"/>
      <c r="U1166" s="723" t="s">
        <v>31</v>
      </c>
      <c r="V1166" s="441" t="s">
        <v>256</v>
      </c>
      <c r="W1166" s="449">
        <f ca="1">W1164-I1164</f>
        <v>122275.15540211182</v>
      </c>
      <c r="X1166" s="451">
        <v>-0.13519999999999999</v>
      </c>
      <c r="Y1166" s="453"/>
      <c r="AF1166" s="162"/>
      <c r="AG1166" s="162"/>
      <c r="AH1166" s="7"/>
      <c r="AI1166" s="7"/>
      <c r="AJ1166" s="7"/>
      <c r="AK1166" s="7"/>
      <c r="AL1166" s="7"/>
      <c r="AM1166" s="7"/>
      <c r="AN1166" s="7"/>
      <c r="AO1166" s="7"/>
      <c r="AP1166" s="7"/>
    </row>
    <row r="1167" spans="1:44" ht="18" customHeight="1">
      <c r="C1167" s="999"/>
      <c r="D1167" s="723"/>
      <c r="E1167" s="723"/>
      <c r="F1167" s="723"/>
      <c r="G1167" s="723"/>
      <c r="H1167" s="723"/>
      <c r="I1167" s="723"/>
      <c r="J1167" s="723"/>
      <c r="K1167" s="723"/>
      <c r="L1167" s="723"/>
      <c r="M1167" s="723"/>
      <c r="N1167" s="723"/>
      <c r="O1167" s="723"/>
      <c r="P1167" s="723"/>
      <c r="Q1167" s="723"/>
      <c r="R1167" s="723"/>
      <c r="S1167" s="723"/>
      <c r="T1167" s="723"/>
      <c r="U1167" s="723" t="s">
        <v>31</v>
      </c>
      <c r="V1167" s="540"/>
      <c r="W1167" s="540"/>
      <c r="X1167" s="540"/>
      <c r="Y1167" s="453"/>
      <c r="AF1167" s="162"/>
      <c r="AG1167" s="162"/>
      <c r="AH1167" s="7"/>
      <c r="AI1167" s="7"/>
      <c r="AJ1167" s="7"/>
      <c r="AK1167" s="7"/>
      <c r="AL1167" s="7"/>
      <c r="AM1167" s="7"/>
      <c r="AN1167" s="7"/>
      <c r="AO1167" s="7"/>
      <c r="AP1167" s="7"/>
    </row>
    <row r="1168" spans="1:44">
      <c r="C1168" s="999"/>
      <c r="D1168" s="723"/>
      <c r="E1168" s="723"/>
      <c r="F1168" s="723"/>
      <c r="G1168" s="723"/>
      <c r="H1168" s="723"/>
      <c r="I1168" s="723"/>
      <c r="J1168" s="723"/>
      <c r="K1168" s="723"/>
      <c r="L1168" s="723"/>
      <c r="M1168" s="723"/>
      <c r="N1168" s="723"/>
      <c r="O1168" s="723"/>
      <c r="P1168" s="723"/>
      <c r="Q1168" s="723"/>
      <c r="R1168" s="723"/>
      <c r="S1168" s="723"/>
      <c r="T1168" s="723"/>
      <c r="U1168" s="723"/>
      <c r="V1168" s="342"/>
      <c r="W1168" s="342"/>
      <c r="X1168" s="342"/>
      <c r="Y1168" s="453"/>
      <c r="AF1168" s="162"/>
      <c r="AG1168" s="162"/>
      <c r="AH1168" s="7"/>
      <c r="AI1168" s="7"/>
      <c r="AJ1168" s="7"/>
      <c r="AK1168" s="7"/>
      <c r="AL1168" s="7"/>
      <c r="AM1168" s="7"/>
      <c r="AN1168" s="7"/>
      <c r="AO1168" s="7"/>
      <c r="AP1168" s="7"/>
    </row>
    <row r="1169" spans="1:44">
      <c r="A1169" s="305"/>
      <c r="B1169" s="305"/>
      <c r="C1169" s="61"/>
      <c r="D1169" s="61" t="s">
        <v>31</v>
      </c>
      <c r="E1169" s="61"/>
      <c r="F1169" s="490"/>
      <c r="G1169" s="61" t="s">
        <v>31</v>
      </c>
      <c r="H1169" s="61"/>
      <c r="I1169" s="490" t="s">
        <v>31</v>
      </c>
      <c r="J1169" s="490"/>
      <c r="K1169" s="61" t="s">
        <v>31</v>
      </c>
      <c r="L1169" s="61"/>
      <c r="M1169" s="490" t="s">
        <v>31</v>
      </c>
      <c r="N1169" s="490"/>
      <c r="O1169" s="61" t="s">
        <v>31</v>
      </c>
      <c r="P1169" s="61"/>
      <c r="Q1169" s="490" t="s">
        <v>31</v>
      </c>
      <c r="R1169" s="490"/>
      <c r="S1169" s="61" t="s">
        <v>31</v>
      </c>
      <c r="T1169" s="61"/>
      <c r="U1169" s="490" t="s">
        <v>31</v>
      </c>
      <c r="W1169" s="4"/>
      <c r="X1169" s="4"/>
      <c r="Y1169" s="454"/>
      <c r="AA1169" s="161"/>
      <c r="AB1169" s="161"/>
      <c r="AC1169" s="161"/>
      <c r="AD1169" s="161"/>
      <c r="AE1169" s="161"/>
      <c r="AF1169" s="162"/>
      <c r="AG1169" s="162"/>
      <c r="AH1169" s="7"/>
      <c r="AI1169" s="7"/>
      <c r="AJ1169" s="7"/>
      <c r="AK1169" s="7"/>
      <c r="AL1169" s="7"/>
      <c r="AM1169" s="7"/>
      <c r="AN1169" s="7"/>
      <c r="AO1169" s="7"/>
      <c r="AP1169" s="7"/>
    </row>
    <row r="1170" spans="1:44">
      <c r="A1170" s="305" t="s">
        <v>474</v>
      </c>
      <c r="B1170" s="305"/>
      <c r="C1170" s="305"/>
      <c r="D1170" s="305"/>
      <c r="E1170" s="305"/>
      <c r="F1170" s="305"/>
      <c r="G1170" s="305"/>
      <c r="H1170" s="305"/>
      <c r="I1170" s="305"/>
      <c r="J1170" s="305"/>
      <c r="K1170" s="305"/>
      <c r="L1170" s="305"/>
      <c r="M1170" s="305"/>
      <c r="N1170" s="305"/>
      <c r="O1170" s="305"/>
      <c r="P1170" s="305"/>
      <c r="Q1170" s="305"/>
      <c r="R1170" s="305"/>
      <c r="S1170" s="305"/>
      <c r="T1170" s="305"/>
      <c r="U1170" s="305"/>
      <c r="V1170" s="162"/>
      <c r="W1170" s="171"/>
      <c r="X1170" s="162"/>
      <c r="Y1170" s="162"/>
      <c r="Z1170" s="7"/>
      <c r="AA1170" s="7"/>
      <c r="AB1170" s="7"/>
      <c r="AC1170" s="7"/>
      <c r="AD1170" s="7"/>
      <c r="AE1170" s="7"/>
      <c r="AF1170" s="7"/>
      <c r="AG1170" s="162"/>
      <c r="AH1170" s="162"/>
      <c r="AI1170" s="162"/>
      <c r="AJ1170" s="162"/>
      <c r="AK1170" s="162"/>
      <c r="AL1170" s="7"/>
      <c r="AM1170" s="7"/>
      <c r="AN1170" s="7"/>
      <c r="AO1170" s="7"/>
      <c r="AP1170" s="7"/>
    </row>
    <row r="1171" spans="1:44">
      <c r="A1171" s="305" t="s">
        <v>475</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7"/>
      <c r="W1171" s="31"/>
      <c r="X1171" s="31"/>
      <c r="Y1171" s="31"/>
      <c r="Z1171" s="7"/>
      <c r="AA1171" s="7"/>
      <c r="AB1171" s="7"/>
      <c r="AC1171" s="7"/>
      <c r="AD1171" s="7"/>
      <c r="AE1171" s="7"/>
      <c r="AF1171" s="7"/>
      <c r="AG1171" s="162"/>
      <c r="AH1171" s="162"/>
      <c r="AI1171" s="162"/>
      <c r="AJ1171" s="162"/>
      <c r="AK1171" s="162"/>
      <c r="AL1171" s="7"/>
      <c r="AM1171" s="7"/>
      <c r="AN1171" s="7"/>
      <c r="AO1171" s="7"/>
      <c r="AP1171" s="7"/>
    </row>
    <row r="1172" spans="1:44">
      <c r="A1172" s="305"/>
      <c r="B1172" s="305"/>
      <c r="C1172" s="305"/>
      <c r="D1172" s="305"/>
      <c r="E1172" s="305"/>
      <c r="F1172" s="305"/>
      <c r="G1172" s="305"/>
      <c r="H1172" s="305"/>
      <c r="I1172" s="305"/>
      <c r="J1172" s="305"/>
      <c r="K1172" s="305"/>
      <c r="L1172" s="305"/>
      <c r="M1172" s="305"/>
      <c r="N1172" s="305"/>
      <c r="O1172" s="305"/>
      <c r="P1172" s="305"/>
      <c r="Q1172" s="305"/>
      <c r="R1172" s="305"/>
      <c r="S1172" s="305"/>
      <c r="T1172" s="305"/>
      <c r="U1172" s="305"/>
      <c r="V1172" s="7"/>
      <c r="W1172" s="31"/>
      <c r="X1172" s="31" t="s">
        <v>31</v>
      </c>
      <c r="Y1172" s="31"/>
      <c r="Z1172" s="7"/>
      <c r="AA1172" s="7"/>
      <c r="AB1172" s="7"/>
      <c r="AC1172" s="7"/>
      <c r="AD1172" s="7"/>
      <c r="AE1172" s="7"/>
      <c r="AF1172" s="7"/>
      <c r="AG1172" s="162"/>
      <c r="AH1172" s="162"/>
      <c r="AI1172" s="162"/>
      <c r="AJ1172" s="162"/>
      <c r="AK1172" s="162"/>
      <c r="AL1172" s="7"/>
      <c r="AM1172" s="7"/>
      <c r="AN1172" s="7"/>
      <c r="AO1172" s="7"/>
      <c r="AP1172" s="7"/>
    </row>
    <row r="1173" spans="1:44">
      <c r="A1173" s="305" t="s">
        <v>476</v>
      </c>
      <c r="B1173" s="305"/>
      <c r="C1173" s="61"/>
      <c r="D1173" s="448"/>
      <c r="E1173" s="305"/>
      <c r="F1173" s="490">
        <v>18087.063065675098</v>
      </c>
      <c r="G1173" s="448"/>
      <c r="H1173" s="305"/>
      <c r="I1173" s="490">
        <f>F1173</f>
        <v>18087.063065675098</v>
      </c>
      <c r="J1173" s="490"/>
      <c r="K1173" s="448"/>
      <c r="L1173" s="305"/>
      <c r="M1173" s="490">
        <f>I1173</f>
        <v>18087.063065675098</v>
      </c>
      <c r="N1173" s="490"/>
      <c r="O1173" s="448"/>
      <c r="P1173" s="305"/>
      <c r="Q1173" s="490" t="s">
        <v>31</v>
      </c>
      <c r="R1173" s="490"/>
      <c r="S1173" s="448"/>
      <c r="T1173" s="305"/>
      <c r="U1173" s="490" t="str">
        <f>Q1173</f>
        <v xml:space="preserve"> </v>
      </c>
      <c r="V1173" s="7"/>
      <c r="W1173" s="31"/>
      <c r="X1173" s="31" t="s">
        <v>31</v>
      </c>
      <c r="Y1173" s="31"/>
      <c r="Z1173" s="7"/>
      <c r="AA1173" s="7"/>
      <c r="AB1173" s="7"/>
      <c r="AC1173" s="7"/>
      <c r="AD1173" s="7"/>
      <c r="AE1173" s="7"/>
      <c r="AF1173" s="7"/>
      <c r="AG1173" s="7"/>
      <c r="AH1173" s="7"/>
      <c r="AI1173" s="7"/>
      <c r="AJ1173" s="7"/>
      <c r="AK1173" s="7"/>
      <c r="AL1173" s="7"/>
      <c r="AM1173" s="7"/>
      <c r="AN1173" s="7"/>
      <c r="AO1173" s="7"/>
      <c r="AP1173" s="7"/>
    </row>
    <row r="1174" spans="1:44">
      <c r="A1174" s="305" t="s">
        <v>477</v>
      </c>
      <c r="B1174" s="305"/>
      <c r="C1174" s="419">
        <v>140860.105288452</v>
      </c>
      <c r="D1174" s="308">
        <v>8.7520000000000007</v>
      </c>
      <c r="E1174" s="305" t="s">
        <v>362</v>
      </c>
      <c r="F1174" s="1076">
        <f>ROUND(D1174*C1174/100,0)</f>
        <v>12328</v>
      </c>
      <c r="G1174" s="308">
        <v>8.3490000000000002</v>
      </c>
      <c r="H1174" s="305" t="s">
        <v>362</v>
      </c>
      <c r="I1174" s="490">
        <f>ROUND(G1174*$C1174/100,0)</f>
        <v>11760</v>
      </c>
      <c r="J1174" s="490"/>
      <c r="K1174" s="308" t="e">
        <f>#REF!</f>
        <v>#REF!</v>
      </c>
      <c r="L1174" s="305" t="s">
        <v>362</v>
      </c>
      <c r="M1174" s="490" t="e">
        <f>#REF!</f>
        <v>#REF!</v>
      </c>
      <c r="N1174" s="490"/>
      <c r="O1174" s="308" t="e">
        <f>#REF!</f>
        <v>#REF!</v>
      </c>
      <c r="P1174" s="305" t="s">
        <v>362</v>
      </c>
      <c r="Q1174" s="490" t="e">
        <f>#REF!</f>
        <v>#REF!</v>
      </c>
      <c r="R1174" s="490"/>
      <c r="S1174" s="308" t="e">
        <f>#REF!</f>
        <v>#REF!</v>
      </c>
      <c r="T1174" s="305" t="s">
        <v>362</v>
      </c>
      <c r="U1174" s="490" t="e">
        <f>#REF!</f>
        <v>#REF!</v>
      </c>
      <c r="V1174" s="7"/>
      <c r="W1174" s="31"/>
      <c r="X1174" s="31"/>
      <c r="Y1174" s="31"/>
      <c r="Z1174" s="7"/>
      <c r="AA1174" s="7"/>
      <c r="AB1174" s="7"/>
      <c r="AC1174" s="7"/>
      <c r="AD1174" s="7"/>
      <c r="AE1174" s="7"/>
      <c r="AF1174" s="7"/>
      <c r="AG1174" s="7"/>
      <c r="AH1174" s="7"/>
      <c r="AI1174" s="7"/>
      <c r="AJ1174" s="7"/>
      <c r="AK1174" s="7"/>
      <c r="AL1174" s="7"/>
      <c r="AM1174" s="7"/>
      <c r="AN1174" s="7"/>
      <c r="AO1174" s="7"/>
      <c r="AP1174" s="7"/>
    </row>
    <row r="1175" spans="1:44">
      <c r="A1175" s="305" t="s">
        <v>478</v>
      </c>
      <c r="B1175" s="305"/>
      <c r="C1175" s="419">
        <v>0</v>
      </c>
      <c r="D1175" s="308">
        <v>9.7940000000000005</v>
      </c>
      <c r="E1175" s="305" t="s">
        <v>362</v>
      </c>
      <c r="F1175" s="1076">
        <f>ROUND(D1175*C1175/100,0)</f>
        <v>0</v>
      </c>
      <c r="G1175" s="308">
        <f>ROUND(D1175/D1174*G1174,3)</f>
        <v>9.343</v>
      </c>
      <c r="H1175" s="305" t="s">
        <v>362</v>
      </c>
      <c r="I1175" s="490">
        <f>ROUND(G1175*$C1175/100,0)</f>
        <v>0</v>
      </c>
      <c r="J1175" s="490"/>
      <c r="K1175" s="308" t="e">
        <f>#REF!</f>
        <v>#REF!</v>
      </c>
      <c r="L1175" s="305" t="s">
        <v>362</v>
      </c>
      <c r="M1175" s="490" t="e">
        <f>#REF!</f>
        <v>#REF!</v>
      </c>
      <c r="N1175" s="490"/>
      <c r="O1175" s="308" t="e">
        <f>#REF!</f>
        <v>#REF!</v>
      </c>
      <c r="P1175" s="305" t="s">
        <v>362</v>
      </c>
      <c r="Q1175" s="490" t="e">
        <f>#REF!</f>
        <v>#REF!</v>
      </c>
      <c r="R1175" s="490"/>
      <c r="S1175" s="308" t="e">
        <f>#REF!</f>
        <v>#REF!</v>
      </c>
      <c r="T1175" s="305" t="s">
        <v>362</v>
      </c>
      <c r="U1175" s="490" t="e">
        <f>#REF!</f>
        <v>#REF!</v>
      </c>
      <c r="V1175" s="7"/>
      <c r="W1175" s="31"/>
      <c r="X1175" s="7"/>
      <c r="Y1175" s="7"/>
      <c r="Z1175" s="7"/>
      <c r="AA1175" s="7"/>
      <c r="AB1175" s="7"/>
      <c r="AC1175" s="7"/>
      <c r="AD1175" s="7"/>
      <c r="AE1175" s="7"/>
      <c r="AF1175" s="7"/>
      <c r="AG1175" s="7"/>
      <c r="AH1175" s="7"/>
      <c r="AI1175" s="7"/>
      <c r="AJ1175" s="7"/>
      <c r="AK1175" s="7"/>
      <c r="AL1175" s="7"/>
      <c r="AM1175" s="7"/>
      <c r="AN1175" s="7"/>
      <c r="AO1175" s="7"/>
      <c r="AP1175" s="7"/>
    </row>
    <row r="1176" spans="1:44">
      <c r="A1176" s="305" t="s">
        <v>900</v>
      </c>
      <c r="B1176" s="305"/>
      <c r="C1176" s="419">
        <v>14</v>
      </c>
      <c r="D1176" s="1077"/>
      <c r="E1176" s="305"/>
      <c r="F1176" s="490"/>
      <c r="G1176" s="1077"/>
      <c r="H1176" s="305"/>
      <c r="I1176" s="490"/>
      <c r="J1176" s="490"/>
      <c r="K1176" s="1077"/>
      <c r="L1176" s="305"/>
      <c r="M1176" s="490"/>
      <c r="N1176" s="490"/>
      <c r="O1176" s="1077"/>
      <c r="P1176" s="305"/>
      <c r="Q1176" s="490"/>
      <c r="R1176" s="490"/>
      <c r="S1176" s="1077"/>
      <c r="T1176" s="305"/>
      <c r="U1176" s="490"/>
      <c r="V1176" s="7"/>
      <c r="W1176" s="31"/>
      <c r="X1176" s="31"/>
      <c r="Y1176" s="31"/>
      <c r="Z1176" s="7"/>
      <c r="AA1176" s="7"/>
      <c r="AB1176" s="7"/>
      <c r="AC1176" s="7"/>
      <c r="AD1176" s="7"/>
      <c r="AE1176" s="7"/>
      <c r="AF1176" s="7"/>
      <c r="AG1176" s="7"/>
      <c r="AH1176" s="7"/>
      <c r="AI1176" s="7"/>
      <c r="AJ1176" s="7"/>
      <c r="AK1176" s="7"/>
      <c r="AL1176" s="7"/>
      <c r="AM1176" s="7"/>
      <c r="AN1176" s="7"/>
      <c r="AO1176" s="7"/>
      <c r="AP1176" s="7"/>
    </row>
    <row r="1177" spans="1:44" s="588" customFormat="1" hidden="1">
      <c r="A1177" s="588" t="s">
        <v>774</v>
      </c>
      <c r="C1177" s="631">
        <f>C1179</f>
        <v>140860.105288452</v>
      </c>
      <c r="D1177" s="990">
        <v>0</v>
      </c>
      <c r="E1177" s="635"/>
      <c r="F1177" s="616"/>
      <c r="G1177" s="987">
        <v>0</v>
      </c>
      <c r="H1177" s="616" t="s">
        <v>362</v>
      </c>
      <c r="I1177" s="616">
        <f>ROUND(G1177*$C1177/100,0)</f>
        <v>0</v>
      </c>
      <c r="J1177" s="616"/>
      <c r="K1177" s="987" t="s">
        <v>31</v>
      </c>
      <c r="L1177" s="592" t="s">
        <v>31</v>
      </c>
      <c r="M1177" s="490" t="e">
        <f>#REF!</f>
        <v>#REF!</v>
      </c>
      <c r="N1177" s="616"/>
      <c r="O1177" s="987" t="s">
        <v>31</v>
      </c>
      <c r="P1177" s="592" t="s">
        <v>31</v>
      </c>
      <c r="Q1177" s="490" t="e">
        <f>#REF!</f>
        <v>#REF!</v>
      </c>
      <c r="R1177" s="616"/>
      <c r="S1177" s="987" t="e">
        <f>#REF!</f>
        <v>#REF!</v>
      </c>
      <c r="T1177" s="592" t="s">
        <v>362</v>
      </c>
      <c r="U1177" s="490" t="e">
        <f>#REF!</f>
        <v>#REF!</v>
      </c>
      <c r="V1177" s="988" t="e">
        <f>#REF!</f>
        <v>#REF!</v>
      </c>
      <c r="W1177" s="450" t="s">
        <v>752</v>
      </c>
      <c r="Z1177" s="989"/>
      <c r="AA1177" s="989"/>
      <c r="AF1177" s="635"/>
      <c r="AG1177" s="635"/>
      <c r="AH1177" s="635"/>
      <c r="AI1177" s="635"/>
      <c r="AJ1177" s="635"/>
      <c r="AK1177" s="635"/>
      <c r="AL1177" s="635"/>
      <c r="AM1177" s="635"/>
      <c r="AN1177" s="635"/>
      <c r="AO1177" s="635"/>
      <c r="AP1177" s="635"/>
      <c r="AR1177" s="988"/>
    </row>
    <row r="1178" spans="1:44" s="588" customFormat="1" hidden="1">
      <c r="A1178" s="588" t="s">
        <v>761</v>
      </c>
      <c r="C1178" s="631"/>
      <c r="D1178" s="1058">
        <f>D1174</f>
        <v>8.7520000000000007</v>
      </c>
      <c r="E1178" s="592" t="s">
        <v>362</v>
      </c>
      <c r="F1178" s="616"/>
      <c r="G1178" s="1058">
        <f>G1174+G1177</f>
        <v>8.3490000000000002</v>
      </c>
      <c r="H1178" s="592" t="s">
        <v>362</v>
      </c>
      <c r="I1178" s="616"/>
      <c r="J1178" s="616"/>
      <c r="K1178" s="1058" t="e">
        <f>K1174+K1177</f>
        <v>#REF!</v>
      </c>
      <c r="L1178" s="592" t="s">
        <v>362</v>
      </c>
      <c r="M1178" s="616"/>
      <c r="N1178" s="616"/>
      <c r="O1178" s="1058" t="e">
        <f>O1174+O1177</f>
        <v>#REF!</v>
      </c>
      <c r="P1178" s="592" t="s">
        <v>362</v>
      </c>
      <c r="Q1178" s="616"/>
      <c r="R1178" s="616"/>
      <c r="S1178" s="1058" t="e">
        <f>S1174+S1177</f>
        <v>#REF!</v>
      </c>
      <c r="T1178" s="592" t="s">
        <v>362</v>
      </c>
      <c r="U1178" s="616"/>
      <c r="V1178" s="988"/>
      <c r="W1178" s="450"/>
      <c r="X1178" s="454" t="s">
        <v>31</v>
      </c>
      <c r="Z1178" s="989"/>
      <c r="AA1178" s="989"/>
      <c r="AF1178" s="635"/>
      <c r="AG1178" s="635"/>
      <c r="AH1178" s="635"/>
      <c r="AI1178" s="635"/>
      <c r="AJ1178" s="635"/>
      <c r="AK1178" s="635"/>
      <c r="AL1178" s="635"/>
      <c r="AM1178" s="635"/>
      <c r="AN1178" s="635"/>
      <c r="AO1178" s="635"/>
      <c r="AP1178" s="635"/>
      <c r="AR1178" s="988"/>
    </row>
    <row r="1179" spans="1:44">
      <c r="A1179" s="4" t="s">
        <v>479</v>
      </c>
      <c r="C1179" s="419">
        <f>SUM(C1174:C1175)</f>
        <v>140860.105288452</v>
      </c>
      <c r="D1179" s="990"/>
      <c r="E1179" s="7"/>
      <c r="F1179" s="723">
        <f>SUM(F1173:F1175)</f>
        <v>30415.063065675098</v>
      </c>
      <c r="G1179" s="990"/>
      <c r="H1179" s="7"/>
      <c r="I1179" s="723">
        <f>SUM(I1173:I1178)</f>
        <v>29847.063065675098</v>
      </c>
      <c r="J1179" s="723"/>
      <c r="K1179" s="990"/>
      <c r="L1179" s="7"/>
      <c r="M1179" s="723" t="e">
        <f>SUM(M1173:M1178)</f>
        <v>#REF!</v>
      </c>
      <c r="N1179" s="723"/>
      <c r="O1179" s="990"/>
      <c r="P1179" s="7"/>
      <c r="Q1179" s="723" t="e">
        <f>SUM(Q1173:Q1178)</f>
        <v>#REF!</v>
      </c>
      <c r="R1179" s="723"/>
      <c r="S1179" s="990"/>
      <c r="T1179" s="7"/>
      <c r="U1179" s="723" t="e">
        <f>SUM(U1173:U1178)</f>
        <v>#REF!</v>
      </c>
      <c r="V1179" s="7"/>
      <c r="W1179" s="31"/>
      <c r="X1179" s="31"/>
      <c r="Y1179" s="31"/>
      <c r="Z1179" s="7"/>
      <c r="AA1179" s="7"/>
      <c r="AB1179" s="7"/>
      <c r="AC1179" s="7"/>
      <c r="AD1179" s="7"/>
      <c r="AE1179" s="7"/>
      <c r="AF1179" s="7"/>
      <c r="AG1179" s="7"/>
      <c r="AH1179" s="7"/>
      <c r="AI1179" s="7"/>
      <c r="AJ1179" s="7"/>
      <c r="AK1179" s="7"/>
      <c r="AL1179" s="7"/>
      <c r="AM1179" s="7"/>
      <c r="AN1179" s="7"/>
      <c r="AO1179" s="7"/>
      <c r="AP1179" s="7"/>
    </row>
    <row r="1180" spans="1:44">
      <c r="A1180" s="4" t="s">
        <v>480</v>
      </c>
      <c r="C1180" s="419">
        <f ca="1">'Table 2'!H126</f>
        <v>3830.0355841127775</v>
      </c>
      <c r="D1180" s="990"/>
      <c r="E1180" s="7"/>
      <c r="F1180" s="723">
        <f>'Table 3'!E126</f>
        <v>476.33906498997436</v>
      </c>
      <c r="G1180" s="990"/>
      <c r="H1180" s="7"/>
      <c r="I1180" s="723">
        <f>F1180</f>
        <v>476.33906498997436</v>
      </c>
      <c r="J1180" s="723"/>
      <c r="K1180" s="990"/>
      <c r="L1180" s="7"/>
      <c r="M1180" s="723" t="e">
        <f>$I$1180*V1184/($V$1184+$W$1184+$X$1184)</f>
        <v>#DIV/0!</v>
      </c>
      <c r="N1180" s="723"/>
      <c r="O1180" s="305"/>
      <c r="P1180" s="305"/>
      <c r="Q1180" s="723" t="e">
        <f>$I$1180*W1184/($V$1184+$W$1184+$X$1184)</f>
        <v>#DIV/0!</v>
      </c>
      <c r="R1180" s="723"/>
      <c r="S1180" s="305"/>
      <c r="T1180" s="305"/>
      <c r="U1180" s="723" t="e">
        <f>$I$1180*X1184/($V$1184+$W$1184+$X$1184)</f>
        <v>#DIV/0!</v>
      </c>
      <c r="V1180" s="1044"/>
      <c r="W1180" s="174"/>
      <c r="X1180" s="31"/>
      <c r="Y1180" s="31"/>
      <c r="Z1180" s="7"/>
      <c r="AA1180" s="7"/>
      <c r="AB1180" s="7"/>
      <c r="AC1180" s="7"/>
      <c r="AD1180" s="7"/>
      <c r="AE1180" s="7"/>
      <c r="AF1180" s="7"/>
      <c r="AG1180" s="7"/>
      <c r="AH1180" s="7"/>
      <c r="AI1180" s="7"/>
      <c r="AJ1180" s="7"/>
      <c r="AK1180" s="7"/>
      <c r="AL1180" s="7"/>
      <c r="AM1180" s="7"/>
      <c r="AN1180" s="7"/>
      <c r="AO1180" s="7"/>
      <c r="AP1180" s="7"/>
    </row>
    <row r="1181" spans="1:44" ht="16.5" thickBot="1">
      <c r="A1181" s="305" t="s">
        <v>9</v>
      </c>
      <c r="B1181" s="305"/>
      <c r="C1181" s="994">
        <f ca="1">C1179+C1180</f>
        <v>144690.14087256478</v>
      </c>
      <c r="D1181" s="1078"/>
      <c r="E1181" s="1030"/>
      <c r="F1181" s="996">
        <f>F1179+F1180</f>
        <v>30891.402130665072</v>
      </c>
      <c r="G1181" s="1078"/>
      <c r="H1181" s="1030"/>
      <c r="I1181" s="996">
        <f>I1179+I1180</f>
        <v>30323.402130665072</v>
      </c>
      <c r="J1181" s="995"/>
      <c r="K1181" s="1078"/>
      <c r="L1181" s="1030"/>
      <c r="M1181" s="996" t="e">
        <f>M1179+M1180</f>
        <v>#REF!</v>
      </c>
      <c r="N1181" s="995"/>
      <c r="O1181" s="1078"/>
      <c r="P1181" s="1030"/>
      <c r="Q1181" s="996" t="e">
        <f>Q1179+Q1180</f>
        <v>#REF!</v>
      </c>
      <c r="R1181" s="995"/>
      <c r="S1181" s="1078"/>
      <c r="T1181" s="1030"/>
      <c r="U1181" s="996" t="e">
        <f>U1179+U1180</f>
        <v>#REF!</v>
      </c>
      <c r="V1181" s="440" t="s">
        <v>397</v>
      </c>
      <c r="W1181" s="997">
        <f ca="1">'Rate Spread targets'!Q39*1000</f>
        <v>31417.773035816794</v>
      </c>
      <c r="X1181" s="998">
        <f>(I1181-F1181)/F1181</f>
        <v>-1.8386993170379971E-2</v>
      </c>
      <c r="Y1181" s="454"/>
      <c r="Z1181" s="7"/>
      <c r="AA1181" s="7"/>
      <c r="AB1181" s="7"/>
      <c r="AC1181" s="7"/>
      <c r="AD1181" s="7"/>
      <c r="AE1181" s="7"/>
      <c r="AF1181" s="7"/>
      <c r="AG1181" s="7"/>
      <c r="AH1181" s="7"/>
      <c r="AI1181" s="7"/>
      <c r="AJ1181" s="7"/>
      <c r="AK1181" s="7"/>
      <c r="AL1181" s="7"/>
      <c r="AM1181" s="7"/>
      <c r="AN1181" s="7"/>
      <c r="AO1181" s="7"/>
      <c r="AP1181" s="7"/>
    </row>
    <row r="1182" spans="1:44" ht="16.5" thickTop="1">
      <c r="A1182" s="305"/>
      <c r="B1182" s="305"/>
      <c r="C1182" s="305"/>
      <c r="D1182" s="1059" t="s">
        <v>31</v>
      </c>
      <c r="E1182" s="305"/>
      <c r="F1182" s="305"/>
      <c r="G1182" s="1059" t="s">
        <v>31</v>
      </c>
      <c r="H1182" s="305"/>
      <c r="I1182" s="490" t="s">
        <v>31</v>
      </c>
      <c r="J1182" s="490"/>
      <c r="K1182" s="1059" t="s">
        <v>31</v>
      </c>
      <c r="L1182" s="305"/>
      <c r="M1182" s="490" t="s">
        <v>31</v>
      </c>
      <c r="N1182" s="490"/>
      <c r="O1182" s="1059" t="s">
        <v>31</v>
      </c>
      <c r="P1182" s="305"/>
      <c r="Q1182" s="490" t="s">
        <v>31</v>
      </c>
      <c r="R1182" s="490"/>
      <c r="S1182" s="1059" t="s">
        <v>31</v>
      </c>
      <c r="T1182" s="305"/>
      <c r="U1182" s="490" t="s">
        <v>31</v>
      </c>
      <c r="V1182" s="441" t="s">
        <v>256</v>
      </c>
      <c r="W1182" s="1001">
        <f ca="1">W1181-I1181</f>
        <v>1094.3709051517217</v>
      </c>
      <c r="X1182" s="451" t="s">
        <v>31</v>
      </c>
      <c r="Y1182" s="454"/>
      <c r="Z1182" s="7"/>
      <c r="AA1182" s="7"/>
      <c r="AB1182" s="7"/>
      <c r="AC1182" s="7"/>
      <c r="AD1182" s="7"/>
      <c r="AE1182" s="7"/>
      <c r="AF1182" s="7"/>
      <c r="AG1182" s="7"/>
      <c r="AH1182" s="7"/>
      <c r="AI1182" s="7"/>
      <c r="AJ1182" s="7"/>
      <c r="AK1182" s="7"/>
      <c r="AL1182" s="7"/>
      <c r="AM1182" s="7"/>
      <c r="AN1182" s="7"/>
      <c r="AO1182" s="7"/>
      <c r="AP1182" s="7"/>
    </row>
    <row r="1183" spans="1:44">
      <c r="A1183" s="305"/>
      <c r="B1183" s="305"/>
      <c r="C1183" s="305"/>
      <c r="D1183" s="1059"/>
      <c r="E1183" s="305"/>
      <c r="F1183" s="305"/>
      <c r="G1183" s="1059"/>
      <c r="H1183" s="305"/>
      <c r="I1183" s="490"/>
      <c r="J1183" s="490"/>
      <c r="K1183" s="1059"/>
      <c r="L1183" s="305"/>
      <c r="M1183" s="490"/>
      <c r="N1183" s="490"/>
      <c r="O1183" s="1059"/>
      <c r="P1183" s="305"/>
      <c r="Q1183" s="490"/>
      <c r="R1183" s="490"/>
      <c r="S1183" s="1059"/>
      <c r="T1183" s="305"/>
      <c r="U1183" s="490"/>
      <c r="V1183" s="540"/>
      <c r="W1183" s="540"/>
      <c r="X1183" s="540"/>
      <c r="Y1183" s="454"/>
      <c r="Z1183" s="7"/>
      <c r="AA1183" s="7"/>
      <c r="AB1183" s="7"/>
      <c r="AC1183" s="7"/>
      <c r="AD1183" s="7"/>
      <c r="AE1183" s="7"/>
      <c r="AF1183" s="7"/>
      <c r="AG1183" s="7"/>
      <c r="AH1183" s="7"/>
      <c r="AI1183" s="7"/>
      <c r="AJ1183" s="7"/>
      <c r="AK1183" s="7"/>
      <c r="AL1183" s="7"/>
      <c r="AM1183" s="7"/>
      <c r="AN1183" s="7"/>
      <c r="AO1183" s="7"/>
      <c r="AP1183" s="7"/>
    </row>
    <row r="1184" spans="1:44">
      <c r="A1184" s="305"/>
      <c r="B1184" s="305"/>
      <c r="C1184" s="305"/>
      <c r="D1184" s="1059"/>
      <c r="E1184" s="305"/>
      <c r="F1184" s="305"/>
      <c r="G1184" s="1059"/>
      <c r="H1184" s="305"/>
      <c r="I1184" s="490"/>
      <c r="J1184" s="490"/>
      <c r="K1184" s="1059"/>
      <c r="L1184" s="305"/>
      <c r="M1184" s="490"/>
      <c r="N1184" s="490"/>
      <c r="O1184" s="1059"/>
      <c r="P1184" s="305"/>
      <c r="Q1184" s="490"/>
      <c r="R1184" s="490"/>
      <c r="S1184" s="1059"/>
      <c r="T1184" s="305"/>
      <c r="U1184" s="490"/>
      <c r="V1184" s="342"/>
      <c r="W1184" s="342"/>
      <c r="X1184" s="342"/>
      <c r="Y1184" s="454"/>
      <c r="Z1184" s="7"/>
      <c r="AA1184" s="7"/>
      <c r="AB1184" s="7"/>
      <c r="AC1184" s="7"/>
      <c r="AD1184" s="7"/>
      <c r="AE1184" s="7"/>
      <c r="AF1184" s="7"/>
      <c r="AG1184" s="7"/>
      <c r="AH1184" s="7"/>
      <c r="AI1184" s="7"/>
      <c r="AJ1184" s="7"/>
      <c r="AK1184" s="7"/>
      <c r="AL1184" s="7"/>
      <c r="AM1184" s="7"/>
      <c r="AN1184" s="7"/>
      <c r="AO1184" s="7"/>
      <c r="AP1184" s="7"/>
    </row>
    <row r="1185" spans="1:44">
      <c r="A1185" s="305" t="s">
        <v>481</v>
      </c>
      <c r="B1185" s="305"/>
      <c r="C1185" s="305"/>
      <c r="D1185" s="305"/>
      <c r="E1185" s="305"/>
      <c r="F1185" s="305"/>
      <c r="G1185" s="305"/>
      <c r="H1185" s="305"/>
      <c r="I1185" s="305"/>
      <c r="J1185" s="305"/>
      <c r="K1185" s="305"/>
      <c r="L1185" s="305"/>
      <c r="M1185" s="305"/>
      <c r="N1185" s="305"/>
      <c r="O1185" s="305"/>
      <c r="P1185" s="305"/>
      <c r="Q1185" s="305"/>
      <c r="R1185" s="305"/>
      <c r="S1185" s="305"/>
      <c r="T1185" s="305"/>
      <c r="U1185" s="305"/>
      <c r="V1185" s="7"/>
      <c r="W1185" s="31"/>
      <c r="X1185" s="31"/>
      <c r="Y1185" s="31"/>
      <c r="Z1185" s="7"/>
      <c r="AA1185" s="7"/>
      <c r="AB1185" s="7"/>
      <c r="AC1185" s="7"/>
      <c r="AD1185" s="7"/>
      <c r="AE1185" s="7"/>
      <c r="AF1185" s="7"/>
      <c r="AG1185" s="7"/>
      <c r="AH1185" s="7"/>
      <c r="AI1185" s="7"/>
      <c r="AJ1185" s="7"/>
      <c r="AK1185" s="7"/>
      <c r="AL1185" s="7"/>
      <c r="AM1185" s="7"/>
      <c r="AN1185" s="7"/>
      <c r="AO1185" s="7"/>
      <c r="AP1185" s="7"/>
    </row>
    <row r="1186" spans="1:44">
      <c r="A1186" s="305" t="s">
        <v>482</v>
      </c>
      <c r="B1186" s="305"/>
      <c r="C1186" s="305"/>
      <c r="D1186" s="305"/>
      <c r="E1186" s="305"/>
      <c r="F1186" s="305"/>
      <c r="G1186" s="305"/>
      <c r="H1186" s="305"/>
      <c r="I1186" s="305"/>
      <c r="J1186" s="305"/>
      <c r="K1186" s="305"/>
      <c r="L1186" s="305"/>
      <c r="M1186" s="305"/>
      <c r="N1186" s="305"/>
      <c r="O1186" s="305"/>
      <c r="P1186" s="305"/>
      <c r="Q1186" s="305"/>
      <c r="R1186" s="305"/>
      <c r="S1186" s="305"/>
      <c r="T1186" s="305"/>
      <c r="U1186" s="305"/>
      <c r="V1186" s="7"/>
      <c r="W1186" s="31"/>
      <c r="X1186" s="31"/>
      <c r="Y1186" s="31"/>
      <c r="Z1186" s="7"/>
      <c r="AA1186" s="7"/>
      <c r="AB1186" s="7"/>
      <c r="AC1186" s="7"/>
      <c r="AD1186" s="7"/>
      <c r="AE1186" s="7"/>
      <c r="AF1186" s="7"/>
      <c r="AG1186" s="7"/>
      <c r="AH1186" s="7"/>
      <c r="AI1186" s="7"/>
      <c r="AJ1186" s="7"/>
      <c r="AK1186" s="7"/>
      <c r="AL1186" s="7"/>
      <c r="AM1186" s="7"/>
      <c r="AN1186" s="7"/>
      <c r="AO1186" s="7"/>
      <c r="AP1186" s="7"/>
    </row>
    <row r="1187" spans="1:44">
      <c r="A1187" s="305"/>
      <c r="B1187" s="305"/>
      <c r="C1187" s="305"/>
      <c r="D1187" s="1059"/>
      <c r="E1187" s="305"/>
      <c r="F1187" s="305"/>
      <c r="G1187" s="1059"/>
      <c r="H1187" s="305"/>
      <c r="I1187" s="305"/>
      <c r="J1187" s="305"/>
      <c r="K1187" s="1059"/>
      <c r="L1187" s="305"/>
      <c r="M1187" s="305"/>
      <c r="N1187" s="305"/>
      <c r="O1187" s="1059"/>
      <c r="P1187" s="305"/>
      <c r="Q1187" s="305"/>
      <c r="R1187" s="305"/>
      <c r="S1187" s="1059"/>
      <c r="T1187" s="305"/>
      <c r="U1187" s="305"/>
      <c r="V1187" s="7"/>
      <c r="W1187" s="31"/>
      <c r="X1187" s="31"/>
      <c r="Y1187" s="31"/>
      <c r="Z1187" s="7"/>
      <c r="AA1187" s="7"/>
      <c r="AB1187" s="7"/>
      <c r="AC1187" s="7"/>
      <c r="AD1187" s="7"/>
      <c r="AE1187" s="7"/>
      <c r="AF1187" s="7"/>
      <c r="AG1187" s="7"/>
      <c r="AH1187" s="7"/>
      <c r="AI1187" s="7"/>
      <c r="AJ1187" s="7"/>
      <c r="AK1187" s="7"/>
      <c r="AL1187" s="7"/>
      <c r="AM1187" s="7"/>
      <c r="AN1187" s="7"/>
      <c r="AO1187" s="7"/>
      <c r="AP1187" s="7"/>
    </row>
    <row r="1188" spans="1:44">
      <c r="A1188" s="305" t="s">
        <v>476</v>
      </c>
      <c r="B1188" s="305"/>
      <c r="C1188" s="61"/>
      <c r="D1188" s="448"/>
      <c r="E1188" s="305"/>
      <c r="F1188" s="490">
        <f>F1203+F1232</f>
        <v>1693.7661131961399</v>
      </c>
      <c r="G1188" s="448"/>
      <c r="H1188" s="305"/>
      <c r="I1188" s="490">
        <f>I1203+I1232</f>
        <v>1693.7661131961399</v>
      </c>
      <c r="J1188" s="490"/>
      <c r="K1188" s="448"/>
      <c r="L1188" s="305"/>
      <c r="M1188" s="490" t="e">
        <f>M1203+M1232</f>
        <v>#REF!</v>
      </c>
      <c r="N1188" s="490"/>
      <c r="O1188" s="448"/>
      <c r="P1188" s="305"/>
      <c r="Q1188" s="490" t="e">
        <f>Q1203+Q1232</f>
        <v>#REF!</v>
      </c>
      <c r="R1188" s="490"/>
      <c r="S1188" s="448"/>
      <c r="T1188" s="305"/>
      <c r="U1188" s="490" t="e">
        <f>U1203+U1232</f>
        <v>#REF!</v>
      </c>
      <c r="V1188" s="7"/>
      <c r="W1188" s="31"/>
      <c r="X1188" s="31"/>
      <c r="Y1188" s="31"/>
      <c r="Z1188" s="7"/>
      <c r="AA1188" s="7"/>
      <c r="AB1188" s="7"/>
      <c r="AC1188" s="7"/>
      <c r="AD1188" s="7"/>
      <c r="AE1188" s="7"/>
      <c r="AF1188" s="7"/>
      <c r="AG1188" s="7"/>
      <c r="AH1188" s="7"/>
      <c r="AI1188" s="7"/>
      <c r="AJ1188" s="7"/>
      <c r="AK1188" s="7"/>
      <c r="AL1188" s="7"/>
      <c r="AM1188" s="7"/>
      <c r="AN1188" s="7"/>
      <c r="AO1188" s="7"/>
      <c r="AP1188" s="7"/>
    </row>
    <row r="1189" spans="1:44">
      <c r="A1189" s="305" t="s">
        <v>598</v>
      </c>
      <c r="B1189" s="305"/>
      <c r="C1189" s="419">
        <f>C1219+C1233+C1234</f>
        <v>1847418.9175815417</v>
      </c>
      <c r="D1189" s="308" t="s">
        <v>31</v>
      </c>
      <c r="E1189" s="305" t="s">
        <v>31</v>
      </c>
      <c r="F1189" s="1076">
        <f>F1219+F1234</f>
        <v>133291</v>
      </c>
      <c r="G1189" s="308" t="s">
        <v>31</v>
      </c>
      <c r="H1189" s="305" t="s">
        <v>31</v>
      </c>
      <c r="I1189" s="490">
        <f>I1219+I1234</f>
        <v>78234.882187850322</v>
      </c>
      <c r="J1189" s="490"/>
      <c r="K1189" s="308" t="s">
        <v>31</v>
      </c>
      <c r="L1189" s="305" t="s">
        <v>31</v>
      </c>
      <c r="M1189" s="490" t="e">
        <f>M1219+M1234</f>
        <v>#REF!</v>
      </c>
      <c r="N1189" s="490"/>
      <c r="O1189" s="308" t="s">
        <v>31</v>
      </c>
      <c r="P1189" s="305" t="s">
        <v>31</v>
      </c>
      <c r="Q1189" s="490" t="e">
        <f>Q1219+Q1234</f>
        <v>#REF!</v>
      </c>
      <c r="R1189" s="490"/>
      <c r="S1189" s="308" t="s">
        <v>31</v>
      </c>
      <c r="T1189" s="305" t="s">
        <v>31</v>
      </c>
      <c r="U1189" s="490" t="e">
        <f>U1219+U1234</f>
        <v>#REF!</v>
      </c>
      <c r="V1189" s="7"/>
      <c r="W1189" s="31"/>
      <c r="X1189" s="31"/>
      <c r="Y1189" s="31"/>
      <c r="Z1189" s="7"/>
      <c r="AA1189" s="7"/>
      <c r="AB1189" s="7"/>
      <c r="AC1189" s="7"/>
      <c r="AD1189" s="7"/>
      <c r="AE1189" s="7"/>
      <c r="AF1189" s="7"/>
      <c r="AG1189" s="7"/>
      <c r="AH1189" s="7"/>
      <c r="AI1189" s="7"/>
      <c r="AJ1189" s="7"/>
      <c r="AK1189" s="7"/>
      <c r="AL1189" s="7"/>
      <c r="AM1189" s="7"/>
      <c r="AN1189" s="7"/>
      <c r="AO1189" s="7"/>
      <c r="AP1189" s="7"/>
    </row>
    <row r="1190" spans="1:44">
      <c r="A1190" s="305" t="s">
        <v>600</v>
      </c>
      <c r="B1190" s="305"/>
      <c r="C1190" s="419">
        <f>C1220</f>
        <v>1848477.8177724311</v>
      </c>
      <c r="D1190" s="308" t="s">
        <v>31</v>
      </c>
      <c r="E1190" s="305" t="s">
        <v>31</v>
      </c>
      <c r="F1190" s="490">
        <f>F1205+F1206+F1207+F1208+F1209+F1210+F1213+F1214+F1215+F1216+F1217</f>
        <v>133337.20706264634</v>
      </c>
      <c r="G1190" s="308" t="s">
        <v>31</v>
      </c>
      <c r="H1190" s="305" t="s">
        <v>31</v>
      </c>
      <c r="I1190" s="490">
        <f>I1205+I1206+I1207+I1208+I1209+I1210+I1213+I1214+I1215+I1216+I1217</f>
        <v>130313.32419445165</v>
      </c>
      <c r="J1190" s="490"/>
      <c r="K1190" s="308" t="s">
        <v>31</v>
      </c>
      <c r="L1190" s="305" t="s">
        <v>31</v>
      </c>
      <c r="M1190" s="490" t="e">
        <f>M1205+M1206+M1207+M1208+M1209+M1210+M1213+M1214+M1215+M1216+M1217</f>
        <v>#REF!</v>
      </c>
      <c r="N1190" s="490"/>
      <c r="O1190" s="308" t="s">
        <v>31</v>
      </c>
      <c r="P1190" s="305" t="s">
        <v>31</v>
      </c>
      <c r="Q1190" s="490" t="e">
        <f>Q1205+Q1206+Q1207+Q1208+Q1209+Q1210+Q1213+Q1214+Q1215+Q1216+Q1217</f>
        <v>#REF!</v>
      </c>
      <c r="R1190" s="490"/>
      <c r="S1190" s="308" t="s">
        <v>31</v>
      </c>
      <c r="T1190" s="305" t="s">
        <v>31</v>
      </c>
      <c r="U1190" s="490" t="e">
        <f>U1205+U1206+U1207+U1208+U1209+U1210+U1213+U1214+U1215+U1216+U1217</f>
        <v>#REF!</v>
      </c>
      <c r="V1190" s="7"/>
      <c r="W1190" s="31"/>
      <c r="X1190" s="31" t="s">
        <v>31</v>
      </c>
      <c r="Z1190" s="7"/>
      <c r="AA1190" s="7"/>
      <c r="AB1190" s="7"/>
      <c r="AC1190" s="7"/>
      <c r="AD1190" s="7"/>
      <c r="AE1190" s="7"/>
      <c r="AF1190" s="7"/>
      <c r="AG1190" s="7"/>
      <c r="AH1190" s="7"/>
      <c r="AI1190" s="7"/>
      <c r="AJ1190" s="7"/>
      <c r="AK1190" s="7"/>
      <c r="AL1190" s="7"/>
      <c r="AM1190" s="7"/>
      <c r="AN1190" s="7"/>
      <c r="AO1190" s="7"/>
      <c r="AP1190" s="7"/>
    </row>
    <row r="1191" spans="1:44">
      <c r="A1191" s="305" t="s">
        <v>350</v>
      </c>
      <c r="B1191" s="305"/>
      <c r="C1191" s="419">
        <f>C1221+C1235</f>
        <v>2792</v>
      </c>
      <c r="D1191" s="1077"/>
      <c r="E1191" s="305"/>
      <c r="F1191" s="490"/>
      <c r="G1191" s="1077"/>
      <c r="H1191" s="305"/>
      <c r="I1191" s="490"/>
      <c r="J1191" s="490"/>
      <c r="K1191" s="1077"/>
      <c r="L1191" s="305"/>
      <c r="M1191" s="490"/>
      <c r="N1191" s="490"/>
      <c r="O1191" s="1077"/>
      <c r="P1191" s="305"/>
      <c r="Q1191" s="490"/>
      <c r="R1191" s="490"/>
      <c r="S1191" s="1077"/>
      <c r="T1191" s="305"/>
      <c r="U1191" s="490"/>
      <c r="V1191" s="7"/>
      <c r="W1191" s="31"/>
      <c r="X1191" s="31"/>
      <c r="Y1191" s="31"/>
      <c r="Z1191" s="7"/>
      <c r="AA1191" s="7"/>
      <c r="AB1191" s="7"/>
      <c r="AC1191" s="7"/>
      <c r="AD1191" s="7"/>
      <c r="AE1191" s="7"/>
      <c r="AF1191" s="7"/>
      <c r="AG1191" s="7"/>
      <c r="AH1191" s="7"/>
      <c r="AI1191" s="7"/>
      <c r="AJ1191" s="7"/>
      <c r="AK1191" s="7"/>
      <c r="AL1191" s="7"/>
      <c r="AM1191" s="7"/>
      <c r="AN1191" s="7"/>
      <c r="AO1191" s="7"/>
      <c r="AP1191" s="7"/>
    </row>
    <row r="1192" spans="1:44" s="588" customFormat="1" hidden="1">
      <c r="A1192" s="588" t="s">
        <v>782</v>
      </c>
      <c r="C1192" s="631">
        <f>C1193</f>
        <v>3695896.7353539728</v>
      </c>
      <c r="D1192" s="987">
        <v>0</v>
      </c>
      <c r="E1192" s="616" t="s">
        <v>362</v>
      </c>
      <c r="F1192" s="616"/>
      <c r="G1192" s="987">
        <v>0</v>
      </c>
      <c r="H1192" s="616" t="s">
        <v>362</v>
      </c>
      <c r="I1192" s="616">
        <f>ROUND(G1192*$C1192/100,0)</f>
        <v>0</v>
      </c>
      <c r="J1192" s="616"/>
      <c r="K1192" s="987" t="s">
        <v>31</v>
      </c>
      <c r="L1192" s="592" t="s">
        <v>31</v>
      </c>
      <c r="M1192" s="616">
        <f>K1192*C1192</f>
        <v>0</v>
      </c>
      <c r="N1192" s="616"/>
      <c r="O1192" s="987" t="s">
        <v>31</v>
      </c>
      <c r="P1192" s="592" t="s">
        <v>31</v>
      </c>
      <c r="Q1192" s="616">
        <f>O1192*C1192</f>
        <v>0</v>
      </c>
      <c r="R1192" s="616"/>
      <c r="S1192" s="987">
        <f>G1192</f>
        <v>0</v>
      </c>
      <c r="T1192" s="592" t="s">
        <v>362</v>
      </c>
      <c r="U1192" s="616">
        <f>I1192</f>
        <v>0</v>
      </c>
      <c r="V1192" s="1050" t="e">
        <f>#REF!</f>
        <v>#REF!</v>
      </c>
      <c r="W1192" s="655" t="s">
        <v>752</v>
      </c>
      <c r="Z1192" s="989"/>
      <c r="AA1192" s="989"/>
      <c r="AF1192" s="635"/>
      <c r="AG1192" s="635"/>
      <c r="AH1192" s="635"/>
      <c r="AI1192" s="635"/>
      <c r="AJ1192" s="635"/>
      <c r="AK1192" s="635"/>
      <c r="AL1192" s="635"/>
      <c r="AM1192" s="635"/>
      <c r="AN1192" s="635"/>
      <c r="AO1192" s="635"/>
      <c r="AP1192" s="635"/>
      <c r="AR1192" s="988"/>
    </row>
    <row r="1193" spans="1:44">
      <c r="A1193" s="4" t="s">
        <v>479</v>
      </c>
      <c r="C1193" s="419">
        <f>C1224+C1237</f>
        <v>3695896.7353539728</v>
      </c>
      <c r="D1193" s="990"/>
      <c r="E1193" s="7"/>
      <c r="F1193" s="723">
        <f>F1224+F1237</f>
        <v>268321.97317584243</v>
      </c>
      <c r="G1193" s="990"/>
      <c r="H1193" s="7"/>
      <c r="I1193" s="723">
        <f>I1224+I1237</f>
        <v>210241.97249549808</v>
      </c>
      <c r="J1193" s="723"/>
      <c r="K1193" s="990"/>
      <c r="L1193" s="7"/>
      <c r="M1193" s="723" t="e">
        <f>M1224+M1237</f>
        <v>#REF!</v>
      </c>
      <c r="N1193" s="723"/>
      <c r="O1193" s="990"/>
      <c r="P1193" s="7"/>
      <c r="Q1193" s="723" t="e">
        <f>Q1224+Q1237</f>
        <v>#REF!</v>
      </c>
      <c r="R1193" s="723"/>
      <c r="S1193" s="990"/>
      <c r="T1193" s="7"/>
      <c r="U1193" s="723" t="e">
        <f>U1224+U1237</f>
        <v>#REF!</v>
      </c>
      <c r="X1193" s="31"/>
      <c r="Y1193" s="31"/>
      <c r="Z1193" s="7"/>
      <c r="AA1193" s="7"/>
      <c r="AB1193" s="7"/>
      <c r="AC1193" s="7"/>
      <c r="AD1193" s="7"/>
      <c r="AE1193" s="7"/>
      <c r="AF1193" s="7"/>
      <c r="AG1193" s="7"/>
      <c r="AH1193" s="7"/>
      <c r="AI1193" s="7"/>
      <c r="AJ1193" s="7"/>
      <c r="AK1193" s="7"/>
      <c r="AL1193" s="7"/>
      <c r="AM1193" s="7"/>
      <c r="AN1193" s="7"/>
      <c r="AO1193" s="7"/>
      <c r="AP1193" s="7"/>
    </row>
    <row r="1194" spans="1:44">
      <c r="A1194" s="4" t="s">
        <v>480</v>
      </c>
      <c r="C1194" s="419">
        <f ca="1">C1225+C1238</f>
        <v>100237.9878157135</v>
      </c>
      <c r="D1194" s="990"/>
      <c r="E1194" s="7"/>
      <c r="F1194" s="723">
        <f>F1225+F1238</f>
        <v>4167.2379546518341</v>
      </c>
      <c r="G1194" s="990"/>
      <c r="H1194" s="7"/>
      <c r="I1194" s="723">
        <f>F1194</f>
        <v>4167.2379546518341</v>
      </c>
      <c r="J1194" s="723"/>
      <c r="K1194" s="990"/>
      <c r="L1194" s="7"/>
      <c r="M1194" s="723" t="e">
        <f>M1225+M1238</f>
        <v>#DIV/0!</v>
      </c>
      <c r="N1194" s="723"/>
      <c r="O1194" s="990"/>
      <c r="P1194" s="7"/>
      <c r="Q1194" s="723" t="e">
        <f>Q1225+Q1238</f>
        <v>#DIV/0!</v>
      </c>
      <c r="R1194" s="723"/>
      <c r="S1194" s="990"/>
      <c r="T1194" s="7"/>
      <c r="U1194" s="723" t="e">
        <f>U1225+U1238</f>
        <v>#DIV/0!</v>
      </c>
      <c r="V1194" s="1044"/>
      <c r="W1194" s="174"/>
      <c r="X1194" s="31"/>
      <c r="Y1194" s="31"/>
      <c r="Z1194" s="7"/>
      <c r="AA1194" s="7"/>
      <c r="AB1194" s="7"/>
      <c r="AC1194" s="7"/>
      <c r="AD1194" s="7"/>
      <c r="AE1194" s="7"/>
      <c r="AF1194" s="7"/>
      <c r="AG1194" s="7"/>
      <c r="AH1194" s="7"/>
      <c r="AI1194" s="7"/>
      <c r="AJ1194" s="7"/>
      <c r="AK1194" s="7"/>
      <c r="AL1194" s="7"/>
      <c r="AM1194" s="7"/>
      <c r="AN1194" s="7"/>
      <c r="AO1194" s="7"/>
      <c r="AP1194" s="7"/>
    </row>
    <row r="1195" spans="1:44" ht="16.5" thickBot="1">
      <c r="A1195" s="305" t="s">
        <v>9</v>
      </c>
      <c r="B1195" s="305"/>
      <c r="C1195" s="994">
        <f ca="1">C1193+C1194</f>
        <v>3796134.7231696863</v>
      </c>
      <c r="D1195" s="1078"/>
      <c r="E1195" s="1030"/>
      <c r="F1195" s="996">
        <f>F1193+F1194</f>
        <v>272489.21113049425</v>
      </c>
      <c r="G1195" s="1078"/>
      <c r="H1195" s="1030"/>
      <c r="I1195" s="996">
        <f>I1193+I1194</f>
        <v>214409.2104501499</v>
      </c>
      <c r="J1195" s="995"/>
      <c r="K1195" s="1078"/>
      <c r="L1195" s="1030"/>
      <c r="M1195" s="996" t="e">
        <f>M1193+M1194</f>
        <v>#REF!</v>
      </c>
      <c r="N1195" s="995"/>
      <c r="O1195" s="1078"/>
      <c r="P1195" s="1030"/>
      <c r="Q1195" s="996" t="e">
        <f>Q1193+Q1194</f>
        <v>#REF!</v>
      </c>
      <c r="R1195" s="995"/>
      <c r="S1195" s="1078"/>
      <c r="T1195" s="1030"/>
      <c r="U1195" s="996" t="e">
        <f>U1193+U1194</f>
        <v>#REF!</v>
      </c>
      <c r="V1195" s="440" t="s">
        <v>397</v>
      </c>
      <c r="W1195" s="997">
        <f ca="1">'Rate Spread targets'!Q40*1000</f>
        <v>277132.26333318005</v>
      </c>
      <c r="X1195" s="998">
        <f>(I1195-F1195)/F1195</f>
        <v>-0.2131460560929512</v>
      </c>
      <c r="Y1195" s="454"/>
      <c r="Z1195" s="7"/>
      <c r="AA1195" s="7"/>
      <c r="AB1195" s="7"/>
      <c r="AC1195" s="7"/>
      <c r="AD1195" s="7"/>
      <c r="AE1195" s="7"/>
      <c r="AF1195" s="7"/>
      <c r="AG1195" s="7"/>
      <c r="AH1195" s="7"/>
      <c r="AI1195" s="7"/>
      <c r="AJ1195" s="7"/>
      <c r="AK1195" s="7"/>
      <c r="AL1195" s="7"/>
      <c r="AM1195" s="7"/>
      <c r="AN1195" s="7"/>
      <c r="AO1195" s="7"/>
      <c r="AP1195" s="7"/>
    </row>
    <row r="1196" spans="1:44" ht="16.5" thickTop="1">
      <c r="A1196" s="1079" t="s">
        <v>781</v>
      </c>
      <c r="B1196" s="305"/>
      <c r="C1196" s="999"/>
      <c r="D1196" s="126"/>
      <c r="E1196" s="1033"/>
      <c r="F1196" s="723"/>
      <c r="G1196" s="126"/>
      <c r="H1196" s="1033"/>
      <c r="I1196" s="723"/>
      <c r="J1196" s="723"/>
      <c r="K1196" s="126"/>
      <c r="L1196" s="1033"/>
      <c r="M1196" s="723"/>
      <c r="N1196" s="723"/>
      <c r="O1196" s="126"/>
      <c r="P1196" s="1033"/>
      <c r="Q1196" s="723"/>
      <c r="R1196" s="723"/>
      <c r="S1196" s="126"/>
      <c r="T1196" s="1033"/>
      <c r="U1196" s="723"/>
      <c r="V1196" s="724"/>
      <c r="W1196" s="342"/>
      <c r="X1196" s="1000"/>
      <c r="Y1196" s="454"/>
      <c r="Z1196" s="7"/>
      <c r="AA1196" s="7"/>
      <c r="AB1196" s="7"/>
      <c r="AC1196" s="7"/>
      <c r="AD1196" s="7"/>
      <c r="AE1196" s="7"/>
      <c r="AF1196" s="7"/>
      <c r="AG1196" s="7"/>
      <c r="AH1196" s="7"/>
      <c r="AI1196" s="7"/>
      <c r="AJ1196" s="7"/>
      <c r="AK1196" s="7"/>
      <c r="AL1196" s="7"/>
      <c r="AM1196" s="7"/>
      <c r="AN1196" s="7"/>
      <c r="AO1196" s="7"/>
      <c r="AP1196" s="7"/>
    </row>
    <row r="1197" spans="1:44">
      <c r="A1197" s="305"/>
      <c r="B1197" s="305"/>
      <c r="C1197" s="999"/>
      <c r="D1197" s="126"/>
      <c r="E1197" s="1033"/>
      <c r="F1197" s="723"/>
      <c r="G1197" s="126"/>
      <c r="H1197" s="1033"/>
      <c r="I1197" s="723"/>
      <c r="J1197" s="723"/>
      <c r="K1197" s="126"/>
      <c r="L1197" s="1033"/>
      <c r="M1197" s="723"/>
      <c r="N1197" s="723"/>
      <c r="O1197" s="126"/>
      <c r="P1197" s="1033"/>
      <c r="Q1197" s="723"/>
      <c r="R1197" s="723"/>
      <c r="S1197" s="126"/>
      <c r="T1197" s="1033"/>
      <c r="U1197" s="723"/>
      <c r="V1197" s="441" t="s">
        <v>256</v>
      </c>
      <c r="W1197" s="1001">
        <f ca="1">W1195-I1195</f>
        <v>62723.052883030148</v>
      </c>
      <c r="X1197" s="1069"/>
      <c r="Y1197" s="454"/>
      <c r="Z1197" s="7"/>
      <c r="AA1197" s="7"/>
      <c r="AB1197" s="7"/>
      <c r="AC1197" s="7"/>
      <c r="AD1197" s="7"/>
      <c r="AE1197" s="7"/>
      <c r="AF1197" s="7"/>
      <c r="AG1197" s="7"/>
      <c r="AH1197" s="7"/>
      <c r="AI1197" s="7"/>
      <c r="AJ1197" s="7"/>
      <c r="AK1197" s="7"/>
      <c r="AL1197" s="7"/>
      <c r="AM1197" s="7"/>
      <c r="AN1197" s="7"/>
      <c r="AO1197" s="7"/>
      <c r="AP1197" s="7"/>
    </row>
    <row r="1198" spans="1:44">
      <c r="A1198" s="305"/>
      <c r="B1198" s="305"/>
      <c r="C1198" s="999"/>
      <c r="D1198" s="126"/>
      <c r="E1198" s="1033"/>
      <c r="F1198" s="723"/>
      <c r="G1198" s="126"/>
      <c r="H1198" s="1033"/>
      <c r="I1198" s="723"/>
      <c r="J1198" s="723"/>
      <c r="K1198" s="126"/>
      <c r="L1198" s="1033"/>
      <c r="M1198" s="723"/>
      <c r="N1198" s="723"/>
      <c r="O1198" s="126"/>
      <c r="P1198" s="1033"/>
      <c r="Q1198" s="723"/>
      <c r="R1198" s="723"/>
      <c r="S1198" s="126"/>
      <c r="T1198" s="1033"/>
      <c r="U1198" s="723"/>
      <c r="V1198" s="540"/>
      <c r="W1198" s="540"/>
      <c r="X1198" s="540"/>
      <c r="Y1198" s="454"/>
      <c r="Z1198" s="7"/>
      <c r="AA1198" s="7"/>
      <c r="AB1198" s="7"/>
      <c r="AC1198" s="7"/>
      <c r="AD1198" s="7"/>
      <c r="AE1198" s="7"/>
      <c r="AF1198" s="7"/>
      <c r="AG1198" s="7"/>
      <c r="AH1198" s="7"/>
      <c r="AI1198" s="7"/>
      <c r="AJ1198" s="7"/>
      <c r="AK1198" s="7"/>
      <c r="AL1198" s="7"/>
      <c r="AM1198" s="7"/>
      <c r="AN1198" s="7"/>
      <c r="AO1198" s="7"/>
      <c r="AP1198" s="7"/>
    </row>
    <row r="1199" spans="1:44">
      <c r="A1199" s="305"/>
      <c r="B1199" s="305"/>
      <c r="C1199" s="999"/>
      <c r="D1199" s="126" t="s">
        <v>31</v>
      </c>
      <c r="E1199" s="1033"/>
      <c r="F1199" s="723"/>
      <c r="G1199" s="126" t="s">
        <v>31</v>
      </c>
      <c r="H1199" s="1033"/>
      <c r="I1199" s="723" t="s">
        <v>31</v>
      </c>
      <c r="J1199" s="723"/>
      <c r="K1199" s="126" t="s">
        <v>31</v>
      </c>
      <c r="L1199" s="1033"/>
      <c r="M1199" s="723" t="s">
        <v>31</v>
      </c>
      <c r="N1199" s="723"/>
      <c r="O1199" s="126" t="s">
        <v>31</v>
      </c>
      <c r="P1199" s="1033"/>
      <c r="Q1199" s="723" t="s">
        <v>31</v>
      </c>
      <c r="R1199" s="723"/>
      <c r="S1199" s="126" t="s">
        <v>31</v>
      </c>
      <c r="T1199" s="1033"/>
      <c r="U1199" s="723" t="s">
        <v>31</v>
      </c>
      <c r="V1199" s="342"/>
      <c r="W1199" s="342"/>
      <c r="X1199" s="342"/>
      <c r="Y1199" s="31"/>
      <c r="Z1199" s="7"/>
      <c r="AA1199" s="7"/>
      <c r="AB1199" s="7"/>
      <c r="AC1199" s="7"/>
      <c r="AD1199" s="7"/>
      <c r="AE1199" s="7"/>
      <c r="AF1199" s="7"/>
      <c r="AG1199" s="7"/>
      <c r="AH1199" s="7"/>
      <c r="AI1199" s="7"/>
      <c r="AJ1199" s="7"/>
      <c r="AK1199" s="7"/>
      <c r="AL1199" s="7"/>
      <c r="AM1199" s="7"/>
      <c r="AN1199" s="7"/>
      <c r="AO1199" s="7"/>
      <c r="AP1199" s="7"/>
    </row>
    <row r="1200" spans="1:44">
      <c r="A1200" s="305" t="s">
        <v>485</v>
      </c>
      <c r="B1200" s="305"/>
      <c r="C1200" s="305"/>
      <c r="D1200" s="305"/>
      <c r="E1200" s="305"/>
      <c r="F1200" s="305"/>
      <c r="G1200" s="305"/>
      <c r="H1200" s="305"/>
      <c r="I1200" s="305"/>
      <c r="J1200" s="305"/>
      <c r="K1200" s="305"/>
      <c r="L1200" s="305"/>
      <c r="M1200" s="305"/>
      <c r="N1200" s="305"/>
      <c r="O1200" s="305"/>
      <c r="P1200" s="305"/>
      <c r="Q1200" s="305"/>
      <c r="R1200" s="305"/>
      <c r="S1200" s="305"/>
      <c r="T1200" s="305"/>
      <c r="U1200" s="305"/>
      <c r="V1200" s="342"/>
      <c r="W1200" s="31"/>
      <c r="X1200" s="31"/>
      <c r="Y1200" s="31"/>
      <c r="Z1200" s="7"/>
      <c r="AA1200" s="7"/>
      <c r="AB1200" s="7"/>
      <c r="AC1200" s="7"/>
      <c r="AD1200" s="7"/>
      <c r="AE1200" s="7"/>
      <c r="AF1200" s="7"/>
      <c r="AG1200" s="7"/>
      <c r="AH1200" s="7"/>
      <c r="AI1200" s="7"/>
      <c r="AJ1200" s="7"/>
      <c r="AK1200" s="7"/>
      <c r="AL1200" s="7"/>
      <c r="AM1200" s="7"/>
      <c r="AN1200" s="7"/>
      <c r="AO1200" s="7"/>
      <c r="AP1200" s="7"/>
    </row>
    <row r="1201" spans="1:42">
      <c r="A1201" s="305" t="s">
        <v>486</v>
      </c>
      <c r="B1201" s="305"/>
      <c r="C1201" s="305"/>
      <c r="D1201" s="305"/>
      <c r="E1201" s="305"/>
      <c r="F1201" s="305"/>
      <c r="G1201" s="305"/>
      <c r="H1201" s="305"/>
      <c r="I1201" s="305"/>
      <c r="J1201" s="305"/>
      <c r="K1201" s="305"/>
      <c r="L1201" s="305"/>
      <c r="M1201" s="305"/>
      <c r="N1201" s="305"/>
      <c r="O1201" s="305"/>
      <c r="P1201" s="305"/>
      <c r="Q1201" s="305"/>
      <c r="R1201" s="305"/>
      <c r="S1201" s="305"/>
      <c r="T1201" s="305"/>
      <c r="U1201" s="305"/>
      <c r="V1201" s="7"/>
      <c r="W1201" s="31"/>
      <c r="X1201" s="31"/>
      <c r="Y1201" s="31"/>
      <c r="Z1201" s="7"/>
      <c r="AA1201" s="7"/>
      <c r="AB1201" s="7"/>
      <c r="AC1201" s="7"/>
      <c r="AD1201" s="7"/>
      <c r="AE1201" s="7"/>
      <c r="AF1201" s="7"/>
      <c r="AG1201" s="7"/>
      <c r="AH1201" s="7"/>
      <c r="AI1201" s="7"/>
      <c r="AJ1201" s="7"/>
      <c r="AK1201" s="7"/>
      <c r="AL1201" s="7"/>
      <c r="AM1201" s="7"/>
      <c r="AN1201" s="7"/>
      <c r="AO1201" s="7"/>
      <c r="AP1201" s="7"/>
    </row>
    <row r="1202" spans="1:42">
      <c r="A1202" s="305"/>
      <c r="B1202" s="305"/>
      <c r="C1202" s="305"/>
      <c r="D1202" s="1059"/>
      <c r="E1202" s="305"/>
      <c r="F1202" s="305"/>
      <c r="G1202" s="1059"/>
      <c r="H1202" s="305"/>
      <c r="I1202" s="305"/>
      <c r="J1202" s="305"/>
      <c r="K1202" s="1059"/>
      <c r="L1202" s="305"/>
      <c r="M1202" s="305"/>
      <c r="N1202" s="305"/>
      <c r="O1202" s="1059"/>
      <c r="P1202" s="305"/>
      <c r="Q1202" s="305"/>
      <c r="R1202" s="305"/>
      <c r="S1202" s="1059"/>
      <c r="T1202" s="305"/>
      <c r="U1202" s="305"/>
      <c r="V1202" s="7"/>
      <c r="W1202" s="31"/>
      <c r="X1202" s="31"/>
      <c r="Y1202" s="31"/>
      <c r="Z1202" s="7"/>
      <c r="AA1202" s="7"/>
      <c r="AB1202" s="7"/>
      <c r="AC1202" s="7"/>
      <c r="AD1202" s="7"/>
      <c r="AE1202" s="7"/>
      <c r="AF1202" s="7"/>
      <c r="AG1202" s="7"/>
      <c r="AH1202" s="7"/>
      <c r="AI1202" s="7"/>
      <c r="AJ1202" s="7"/>
      <c r="AK1202" s="7"/>
      <c r="AL1202" s="7"/>
      <c r="AM1202" s="7"/>
      <c r="AN1202" s="7"/>
      <c r="AO1202" s="7"/>
      <c r="AP1202" s="7"/>
    </row>
    <row r="1203" spans="1:42">
      <c r="A1203" s="305" t="s">
        <v>476</v>
      </c>
      <c r="B1203" s="305"/>
      <c r="C1203" s="61"/>
      <c r="D1203" s="448"/>
      <c r="E1203" s="305"/>
      <c r="F1203" s="490">
        <v>1693.7661131961399</v>
      </c>
      <c r="G1203" s="448"/>
      <c r="H1203" s="305"/>
      <c r="I1203" s="490">
        <f>F1203</f>
        <v>1693.7661131961399</v>
      </c>
      <c r="J1203" s="490"/>
      <c r="K1203" s="448"/>
      <c r="L1203" s="305"/>
      <c r="M1203" s="490">
        <f>I1203</f>
        <v>1693.7661131961399</v>
      </c>
      <c r="N1203" s="490"/>
      <c r="O1203" s="448"/>
      <c r="P1203" s="305"/>
      <c r="Q1203" s="490" t="s">
        <v>31</v>
      </c>
      <c r="R1203" s="490"/>
      <c r="S1203" s="448"/>
      <c r="T1203" s="305"/>
      <c r="U1203" s="490" t="str">
        <f>Q1203</f>
        <v xml:space="preserve"> </v>
      </c>
      <c r="V1203" s="7"/>
      <c r="W1203" s="31"/>
      <c r="X1203" s="31"/>
      <c r="Y1203" s="31"/>
      <c r="Z1203" s="7"/>
      <c r="AA1203" s="7"/>
      <c r="AB1203" s="7"/>
      <c r="AC1203" s="7"/>
      <c r="AD1203" s="7"/>
      <c r="AE1203" s="7"/>
      <c r="AF1203" s="7"/>
      <c r="AG1203" s="7"/>
      <c r="AH1203" s="7"/>
      <c r="AI1203" s="7"/>
      <c r="AJ1203" s="7"/>
      <c r="AK1203" s="7"/>
      <c r="AL1203" s="7"/>
      <c r="AM1203" s="7"/>
      <c r="AN1203" s="7"/>
      <c r="AO1203" s="7"/>
      <c r="AP1203" s="7"/>
    </row>
    <row r="1204" spans="1:42">
      <c r="A1204" s="305" t="s">
        <v>574</v>
      </c>
      <c r="B1204" s="305"/>
      <c r="C1204" s="61"/>
      <c r="D1204" s="448"/>
      <c r="E1204" s="305"/>
      <c r="F1204" s="490"/>
      <c r="G1204" s="448"/>
      <c r="H1204" s="305"/>
      <c r="I1204" s="490"/>
      <c r="J1204" s="490"/>
      <c r="K1204" s="448"/>
      <c r="L1204" s="305"/>
      <c r="M1204" s="490"/>
      <c r="N1204" s="490"/>
      <c r="O1204" s="448"/>
      <c r="P1204" s="305"/>
      <c r="Q1204" s="490"/>
      <c r="R1204" s="490"/>
      <c r="S1204" s="448"/>
      <c r="T1204" s="305"/>
      <c r="U1204" s="490"/>
      <c r="V1204" s="7"/>
      <c r="Z1204" s="342" t="s">
        <v>31</v>
      </c>
      <c r="AA1204" s="31"/>
      <c r="AB1204" s="7"/>
      <c r="AC1204" s="7"/>
      <c r="AD1204" s="7"/>
      <c r="AE1204" s="7"/>
      <c r="AF1204" s="7"/>
      <c r="AG1204" s="7"/>
      <c r="AH1204" s="7"/>
      <c r="AI1204" s="7"/>
      <c r="AJ1204" s="7"/>
      <c r="AK1204" s="7"/>
      <c r="AL1204" s="7"/>
      <c r="AM1204" s="7"/>
      <c r="AN1204" s="7"/>
      <c r="AO1204" s="7"/>
      <c r="AP1204" s="7"/>
    </row>
    <row r="1205" spans="1:42">
      <c r="A1205" s="4" t="s">
        <v>587</v>
      </c>
      <c r="B1205" s="305"/>
      <c r="C1205" s="61">
        <v>4223.9861357362897</v>
      </c>
      <c r="D1205" s="1080">
        <v>2.2400000000000002</v>
      </c>
      <c r="E1205" s="305"/>
      <c r="F1205" s="490">
        <f t="shared" ref="F1205:F1210" si="192">C1205*D1205</f>
        <v>9461.7289440492896</v>
      </c>
      <c r="G1205" s="448">
        <f>ROUND(Z1205*$G$1219/100,2)</f>
        <v>2.19</v>
      </c>
      <c r="H1205" s="305"/>
      <c r="I1205" s="490">
        <f t="shared" ref="I1205:I1210" si="193">G1205*C1205</f>
        <v>9250.5296372624744</v>
      </c>
      <c r="J1205" s="490"/>
      <c r="K1205" s="448" t="e">
        <f>#REF!</f>
        <v>#REF!</v>
      </c>
      <c r="L1205" s="305"/>
      <c r="M1205" s="490" t="e">
        <f>#REF!</f>
        <v>#REF!</v>
      </c>
      <c r="N1205" s="490"/>
      <c r="O1205" s="448" t="e">
        <f>#REF!</f>
        <v>#REF!</v>
      </c>
      <c r="P1205" s="305"/>
      <c r="Q1205" s="490" t="e">
        <f>#REF!</f>
        <v>#REF!</v>
      </c>
      <c r="R1205" s="490"/>
      <c r="S1205" s="448" t="e">
        <f>#REF!</f>
        <v>#REF!</v>
      </c>
      <c r="T1205" s="305"/>
      <c r="U1205" s="490" t="e">
        <f>#REF!</f>
        <v>#REF!</v>
      </c>
      <c r="V1205" s="7"/>
      <c r="Z1205" s="31">
        <v>31</v>
      </c>
      <c r="AA1205" s="755" t="s">
        <v>31</v>
      </c>
      <c r="AB1205" s="7"/>
      <c r="AC1205" s="7"/>
      <c r="AD1205" s="7" t="s">
        <v>31</v>
      </c>
      <c r="AE1205" s="7"/>
      <c r="AF1205" s="7"/>
      <c r="AG1205" s="7"/>
      <c r="AH1205" s="7"/>
      <c r="AI1205" s="7"/>
      <c r="AJ1205" s="7"/>
      <c r="AK1205" s="7"/>
      <c r="AL1205" s="7"/>
      <c r="AM1205" s="7"/>
      <c r="AN1205" s="7"/>
      <c r="AO1205" s="7"/>
      <c r="AP1205" s="7"/>
    </row>
    <row r="1206" spans="1:42">
      <c r="A1206" s="4" t="s">
        <v>588</v>
      </c>
      <c r="B1206" s="305"/>
      <c r="C1206" s="61">
        <v>7628.5652597308499</v>
      </c>
      <c r="D1206" s="1080">
        <v>3.17</v>
      </c>
      <c r="E1206" s="305"/>
      <c r="F1206" s="490">
        <f t="shared" si="192"/>
        <v>24182.551873346794</v>
      </c>
      <c r="G1206" s="448">
        <f t="shared" ref="G1206:G1210" si="194">ROUND(Z1206*$G$1219/100,2)</f>
        <v>3.1</v>
      </c>
      <c r="H1206" s="305"/>
      <c r="I1206" s="490">
        <f t="shared" si="193"/>
        <v>23648.552305165635</v>
      </c>
      <c r="J1206" s="490"/>
      <c r="K1206" s="448" t="e">
        <f>#REF!</f>
        <v>#REF!</v>
      </c>
      <c r="L1206" s="305"/>
      <c r="M1206" s="490" t="e">
        <f>#REF!</f>
        <v>#REF!</v>
      </c>
      <c r="N1206" s="490"/>
      <c r="O1206" s="448" t="e">
        <f>#REF!</f>
        <v>#REF!</v>
      </c>
      <c r="P1206" s="305"/>
      <c r="Q1206" s="490" t="e">
        <f>#REF!</f>
        <v>#REF!</v>
      </c>
      <c r="R1206" s="490"/>
      <c r="S1206" s="448" t="e">
        <f>#REF!</f>
        <v>#REF!</v>
      </c>
      <c r="T1206" s="305"/>
      <c r="U1206" s="490" t="e">
        <f>#REF!</f>
        <v>#REF!</v>
      </c>
      <c r="V1206" s="7"/>
      <c r="Z1206" s="31">
        <v>44</v>
      </c>
      <c r="AA1206" s="755" t="s">
        <v>31</v>
      </c>
      <c r="AB1206" s="7"/>
      <c r="AC1206" s="7"/>
      <c r="AD1206" s="7"/>
      <c r="AE1206" s="7"/>
      <c r="AF1206" s="7"/>
      <c r="AG1206" s="7"/>
      <c r="AH1206" s="7"/>
      <c r="AI1206" s="7"/>
      <c r="AJ1206" s="7"/>
      <c r="AK1206" s="7"/>
      <c r="AL1206" s="7"/>
      <c r="AM1206" s="7"/>
      <c r="AN1206" s="7"/>
      <c r="AO1206" s="7"/>
      <c r="AP1206" s="7"/>
    </row>
    <row r="1207" spans="1:42">
      <c r="A1207" s="4" t="s">
        <v>589</v>
      </c>
      <c r="B1207" s="305"/>
      <c r="C1207" s="61">
        <v>59.999381690000199</v>
      </c>
      <c r="D1207" s="1080">
        <v>4.62</v>
      </c>
      <c r="E1207" s="305"/>
      <c r="F1207" s="490">
        <f t="shared" si="192"/>
        <v>277.19714340780092</v>
      </c>
      <c r="G1207" s="448">
        <f t="shared" si="194"/>
        <v>4.51</v>
      </c>
      <c r="H1207" s="305"/>
      <c r="I1207" s="490">
        <f t="shared" si="193"/>
        <v>270.59721142190091</v>
      </c>
      <c r="J1207" s="490"/>
      <c r="K1207" s="448" t="e">
        <f>#REF!</f>
        <v>#REF!</v>
      </c>
      <c r="L1207" s="305"/>
      <c r="M1207" s="490" t="e">
        <f>#REF!</f>
        <v>#REF!</v>
      </c>
      <c r="N1207" s="490"/>
      <c r="O1207" s="448" t="e">
        <f>#REF!</f>
        <v>#REF!</v>
      </c>
      <c r="P1207" s="305"/>
      <c r="Q1207" s="490" t="e">
        <f>#REF!</f>
        <v>#REF!</v>
      </c>
      <c r="R1207" s="490"/>
      <c r="S1207" s="448" t="e">
        <f>#REF!</f>
        <v>#REF!</v>
      </c>
      <c r="T1207" s="305"/>
      <c r="U1207" s="490" t="e">
        <f>#REF!</f>
        <v>#REF!</v>
      </c>
      <c r="V1207" s="7"/>
      <c r="Z1207" s="31">
        <v>64</v>
      </c>
      <c r="AA1207" s="755" t="s">
        <v>31</v>
      </c>
      <c r="AB1207" s="7"/>
      <c r="AC1207" s="7"/>
      <c r="AD1207" s="7"/>
      <c r="AE1207" s="7"/>
      <c r="AF1207" s="7"/>
      <c r="AG1207" s="7"/>
      <c r="AH1207" s="7"/>
      <c r="AI1207" s="7"/>
      <c r="AJ1207" s="7"/>
      <c r="AK1207" s="7"/>
      <c r="AL1207" s="7"/>
      <c r="AM1207" s="7"/>
      <c r="AN1207" s="7"/>
      <c r="AO1207" s="7"/>
      <c r="AP1207" s="7"/>
    </row>
    <row r="1208" spans="1:42">
      <c r="A1208" s="4" t="s">
        <v>590</v>
      </c>
      <c r="B1208" s="305"/>
      <c r="C1208" s="61">
        <v>8113.6448538451205</v>
      </c>
      <c r="D1208" s="1080">
        <v>6.13</v>
      </c>
      <c r="E1208" s="305"/>
      <c r="F1208" s="490">
        <f t="shared" si="192"/>
        <v>49736.642954070587</v>
      </c>
      <c r="G1208" s="448">
        <f t="shared" si="194"/>
        <v>5.99</v>
      </c>
      <c r="H1208" s="305"/>
      <c r="I1208" s="490">
        <f t="shared" si="193"/>
        <v>48600.732674532272</v>
      </c>
      <c r="J1208" s="490"/>
      <c r="K1208" s="448" t="e">
        <f>#REF!</f>
        <v>#REF!</v>
      </c>
      <c r="L1208" s="305"/>
      <c r="M1208" s="490" t="e">
        <f>#REF!</f>
        <v>#REF!</v>
      </c>
      <c r="N1208" s="490"/>
      <c r="O1208" s="448" t="e">
        <f>#REF!</f>
        <v>#REF!</v>
      </c>
      <c r="P1208" s="305"/>
      <c r="Q1208" s="490" t="e">
        <f>#REF!</f>
        <v>#REF!</v>
      </c>
      <c r="R1208" s="490"/>
      <c r="S1208" s="448" t="e">
        <f>#REF!</f>
        <v>#REF!</v>
      </c>
      <c r="T1208" s="305"/>
      <c r="U1208" s="490" t="e">
        <f>#REF!</f>
        <v>#REF!</v>
      </c>
      <c r="V1208" s="7"/>
      <c r="Z1208" s="31">
        <v>85</v>
      </c>
      <c r="AA1208" s="755" t="s">
        <v>31</v>
      </c>
      <c r="AB1208" s="7"/>
      <c r="AC1208" s="7"/>
      <c r="AD1208" s="7"/>
      <c r="AE1208" s="7"/>
      <c r="AF1208" s="7"/>
      <c r="AG1208" s="7"/>
      <c r="AH1208" s="7"/>
      <c r="AI1208" s="7"/>
      <c r="AJ1208" s="7"/>
      <c r="AK1208" s="7"/>
      <c r="AL1208" s="7"/>
      <c r="AM1208" s="7"/>
      <c r="AN1208" s="7"/>
      <c r="AO1208" s="7"/>
      <c r="AP1208" s="7"/>
    </row>
    <row r="1209" spans="1:42">
      <c r="A1209" s="4" t="s">
        <v>591</v>
      </c>
      <c r="B1209" s="305"/>
      <c r="C1209" s="61">
        <v>3745.3407947097699</v>
      </c>
      <c r="D1209" s="1080">
        <v>8.3000000000000007</v>
      </c>
      <c r="E1209" s="305"/>
      <c r="F1209" s="490">
        <f t="shared" si="192"/>
        <v>31086.328596091091</v>
      </c>
      <c r="G1209" s="448">
        <f t="shared" si="194"/>
        <v>8.11</v>
      </c>
      <c r="H1209" s="305"/>
      <c r="I1209" s="490">
        <f t="shared" si="193"/>
        <v>30374.71384509623</v>
      </c>
      <c r="J1209" s="490"/>
      <c r="K1209" s="448" t="e">
        <f>#REF!</f>
        <v>#REF!</v>
      </c>
      <c r="L1209" s="305"/>
      <c r="M1209" s="490" t="e">
        <f>#REF!</f>
        <v>#REF!</v>
      </c>
      <c r="N1209" s="490"/>
      <c r="O1209" s="448" t="e">
        <f>#REF!</f>
        <v>#REF!</v>
      </c>
      <c r="P1209" s="305"/>
      <c r="Q1209" s="490" t="e">
        <f>#REF!</f>
        <v>#REF!</v>
      </c>
      <c r="R1209" s="490"/>
      <c r="S1209" s="448" t="e">
        <f>#REF!</f>
        <v>#REF!</v>
      </c>
      <c r="T1209" s="305"/>
      <c r="U1209" s="490" t="e">
        <f>#REF!</f>
        <v>#REF!</v>
      </c>
      <c r="V1209" s="7"/>
      <c r="Z1209" s="31">
        <v>115</v>
      </c>
      <c r="AA1209" s="755" t="s">
        <v>31</v>
      </c>
      <c r="AB1209" s="7"/>
      <c r="AC1209" s="7"/>
      <c r="AD1209" s="7"/>
      <c r="AE1209" s="7"/>
      <c r="AF1209" s="7"/>
      <c r="AG1209" s="7"/>
      <c r="AH1209" s="7"/>
      <c r="AI1209" s="7"/>
      <c r="AJ1209" s="7"/>
      <c r="AK1209" s="7"/>
      <c r="AL1209" s="7"/>
      <c r="AM1209" s="7"/>
      <c r="AN1209" s="7"/>
      <c r="AO1209" s="7"/>
      <c r="AP1209" s="7"/>
    </row>
    <row r="1210" spans="1:42">
      <c r="A1210" s="4" t="s">
        <v>592</v>
      </c>
      <c r="B1210" s="305"/>
      <c r="C1210" s="61">
        <v>1463.9966576126601</v>
      </c>
      <c r="D1210" s="1080">
        <v>12.7</v>
      </c>
      <c r="E1210" s="305"/>
      <c r="F1210" s="490">
        <f t="shared" si="192"/>
        <v>18592.757551680781</v>
      </c>
      <c r="G1210" s="448">
        <f t="shared" si="194"/>
        <v>12.41</v>
      </c>
      <c r="H1210" s="305"/>
      <c r="I1210" s="490">
        <f t="shared" si="193"/>
        <v>18168.198520973114</v>
      </c>
      <c r="J1210" s="490"/>
      <c r="K1210" s="448" t="e">
        <f>#REF!</f>
        <v>#REF!</v>
      </c>
      <c r="L1210" s="305"/>
      <c r="M1210" s="490" t="e">
        <f>#REF!</f>
        <v>#REF!</v>
      </c>
      <c r="N1210" s="490"/>
      <c r="O1210" s="448" t="e">
        <f>#REF!</f>
        <v>#REF!</v>
      </c>
      <c r="P1210" s="305"/>
      <c r="Q1210" s="490" t="e">
        <f>#REF!</f>
        <v>#REF!</v>
      </c>
      <c r="R1210" s="490"/>
      <c r="S1210" s="448" t="e">
        <f>#REF!</f>
        <v>#REF!</v>
      </c>
      <c r="T1210" s="305"/>
      <c r="U1210" s="490" t="e">
        <f>#REF!</f>
        <v>#REF!</v>
      </c>
      <c r="X1210" s="454" t="s">
        <v>31</v>
      </c>
      <c r="Y1210" s="453"/>
      <c r="Z1210" s="31">
        <v>176</v>
      </c>
      <c r="AA1210" s="755" t="s">
        <v>31</v>
      </c>
      <c r="AB1210" s="7"/>
      <c r="AC1210" s="7"/>
      <c r="AD1210" s="7"/>
      <c r="AE1210" s="7"/>
      <c r="AF1210" s="7"/>
      <c r="AG1210" s="7"/>
      <c r="AH1210" s="7"/>
      <c r="AI1210" s="7"/>
      <c r="AJ1210" s="7"/>
      <c r="AK1210" s="7"/>
      <c r="AL1210" s="7"/>
      <c r="AM1210" s="7"/>
      <c r="AN1210" s="7"/>
      <c r="AO1210" s="7"/>
      <c r="AP1210" s="7"/>
    </row>
    <row r="1211" spans="1:42">
      <c r="B1211" s="305"/>
      <c r="C1211" s="61"/>
      <c r="D1211" s="448"/>
      <c r="E1211" s="305"/>
      <c r="F1211" s="490"/>
      <c r="G1211" s="448"/>
      <c r="H1211" s="305"/>
      <c r="I1211" s="490"/>
      <c r="J1211" s="490"/>
      <c r="K1211" s="448"/>
      <c r="L1211" s="305"/>
      <c r="M1211" s="490"/>
      <c r="N1211" s="490"/>
      <c r="O1211" s="448"/>
      <c r="P1211" s="305"/>
      <c r="Q1211" s="490"/>
      <c r="R1211" s="490"/>
      <c r="S1211" s="448"/>
      <c r="T1211" s="305"/>
      <c r="U1211" s="490"/>
      <c r="V1211" s="7"/>
      <c r="W1211" s="85" t="s">
        <v>74</v>
      </c>
      <c r="Z1211" s="31"/>
      <c r="AA1211" s="31"/>
      <c r="AB1211" s="7"/>
      <c r="AC1211" s="7"/>
      <c r="AD1211" s="7"/>
      <c r="AE1211" s="7"/>
      <c r="AF1211" s="7"/>
      <c r="AG1211" s="7"/>
      <c r="AH1211" s="7"/>
      <c r="AI1211" s="7"/>
      <c r="AJ1211" s="7"/>
      <c r="AK1211" s="7"/>
      <c r="AL1211" s="7"/>
      <c r="AM1211" s="7"/>
      <c r="AN1211" s="7"/>
      <c r="AO1211" s="7"/>
      <c r="AP1211" s="7"/>
    </row>
    <row r="1212" spans="1:42">
      <c r="A1212" s="4" t="s">
        <v>575</v>
      </c>
      <c r="B1212" s="305"/>
      <c r="C1212" s="61"/>
      <c r="D1212" s="448"/>
      <c r="E1212" s="305"/>
      <c r="F1212" s="490"/>
      <c r="G1212" s="448" t="s">
        <v>31</v>
      </c>
      <c r="H1212" s="305"/>
      <c r="I1212" s="490"/>
      <c r="J1212" s="490"/>
      <c r="K1212" s="448" t="s">
        <v>31</v>
      </c>
      <c r="L1212" s="305"/>
      <c r="M1212" s="490"/>
      <c r="N1212" s="490"/>
      <c r="O1212" s="448" t="s">
        <v>31</v>
      </c>
      <c r="P1212" s="305"/>
      <c r="Q1212" s="490"/>
      <c r="R1212" s="490"/>
      <c r="S1212" s="448" t="s">
        <v>31</v>
      </c>
      <c r="T1212" s="305"/>
      <c r="U1212" s="490"/>
      <c r="V1212" s="7"/>
      <c r="AA1212" s="31"/>
      <c r="AB1212" s="7"/>
      <c r="AC1212" s="7"/>
      <c r="AD1212" s="7"/>
      <c r="AE1212" s="7"/>
      <c r="AF1212" s="7"/>
      <c r="AG1212" s="7"/>
      <c r="AH1212" s="7"/>
      <c r="AI1212" s="7"/>
      <c r="AJ1212" s="7"/>
      <c r="AK1212" s="7"/>
      <c r="AL1212" s="7"/>
      <c r="AM1212" s="7"/>
      <c r="AN1212" s="7"/>
      <c r="AO1212" s="7"/>
      <c r="AP1212" s="7"/>
    </row>
    <row r="1213" spans="1:42">
      <c r="A1213" s="4" t="s">
        <v>593</v>
      </c>
      <c r="B1213" s="305"/>
      <c r="C1213" s="61">
        <v>0</v>
      </c>
      <c r="D1213" s="1080">
        <v>2.81</v>
      </c>
      <c r="E1213" s="305"/>
      <c r="F1213" s="490">
        <f>C1213*D1213</f>
        <v>0</v>
      </c>
      <c r="G1213" s="448">
        <f t="shared" ref="G1213:G1217" si="195">ROUND(Z1213*$G$1219/100,2)</f>
        <v>2.75</v>
      </c>
      <c r="H1213" s="305"/>
      <c r="I1213" s="490">
        <f>G1213*C1213</f>
        <v>0</v>
      </c>
      <c r="J1213" s="490"/>
      <c r="K1213" s="448" t="e">
        <f>#REF!</f>
        <v>#REF!</v>
      </c>
      <c r="L1213" s="305"/>
      <c r="M1213" s="490" t="e">
        <f>#REF!</f>
        <v>#REF!</v>
      </c>
      <c r="N1213" s="490"/>
      <c r="O1213" s="448" t="e">
        <f>#REF!</f>
        <v>#REF!</v>
      </c>
      <c r="P1213" s="305"/>
      <c r="Q1213" s="490" t="e">
        <f>#REF!</f>
        <v>#REF!</v>
      </c>
      <c r="R1213" s="490"/>
      <c r="S1213" s="448" t="e">
        <f>#REF!</f>
        <v>#REF!</v>
      </c>
      <c r="T1213" s="305"/>
      <c r="U1213" s="490" t="e">
        <f>#REF!</f>
        <v>#REF!</v>
      </c>
      <c r="V1213" s="7"/>
      <c r="Z1213" s="31">
        <v>39</v>
      </c>
      <c r="AA1213" s="755" t="s">
        <v>31</v>
      </c>
      <c r="AB1213" s="7"/>
      <c r="AC1213" s="7"/>
      <c r="AD1213" s="7"/>
      <c r="AE1213" s="7"/>
      <c r="AF1213" s="7"/>
      <c r="AG1213" s="7"/>
      <c r="AH1213" s="7"/>
      <c r="AI1213" s="7"/>
      <c r="AJ1213" s="7"/>
      <c r="AK1213" s="7"/>
      <c r="AL1213" s="7"/>
      <c r="AM1213" s="7"/>
      <c r="AN1213" s="7"/>
      <c r="AO1213" s="7"/>
      <c r="AP1213" s="7"/>
    </row>
    <row r="1214" spans="1:42">
      <c r="A1214" s="4" t="s">
        <v>594</v>
      </c>
      <c r="B1214" s="305"/>
      <c r="C1214" s="61">
        <v>0</v>
      </c>
      <c r="D1214" s="1080">
        <v>4.91</v>
      </c>
      <c r="E1214" s="305"/>
      <c r="F1214" s="490">
        <f>C1214*D1214</f>
        <v>0</v>
      </c>
      <c r="G1214" s="448">
        <f t="shared" si="195"/>
        <v>4.8</v>
      </c>
      <c r="H1214" s="305"/>
      <c r="I1214" s="490">
        <f>G1214*C1214</f>
        <v>0</v>
      </c>
      <c r="J1214" s="490"/>
      <c r="K1214" s="448" t="e">
        <f>#REF!</f>
        <v>#REF!</v>
      </c>
      <c r="L1214" s="305"/>
      <c r="M1214" s="490" t="e">
        <f>#REF!</f>
        <v>#REF!</v>
      </c>
      <c r="N1214" s="490"/>
      <c r="O1214" s="448" t="e">
        <f>#REF!</f>
        <v>#REF!</v>
      </c>
      <c r="P1214" s="305"/>
      <c r="Q1214" s="490" t="e">
        <f>#REF!</f>
        <v>#REF!</v>
      </c>
      <c r="R1214" s="490"/>
      <c r="S1214" s="448" t="e">
        <f>#REF!</f>
        <v>#REF!</v>
      </c>
      <c r="T1214" s="305"/>
      <c r="U1214" s="490" t="e">
        <f>#REF!</f>
        <v>#REF!</v>
      </c>
      <c r="V1214" s="7"/>
      <c r="Z1214" s="31">
        <v>68</v>
      </c>
      <c r="AA1214" s="755" t="s">
        <v>31</v>
      </c>
      <c r="AB1214" s="7"/>
      <c r="AC1214" s="7"/>
      <c r="AD1214" s="7"/>
      <c r="AE1214" s="7"/>
      <c r="AF1214" s="7"/>
      <c r="AG1214" s="7"/>
      <c r="AH1214" s="7"/>
      <c r="AI1214" s="7"/>
      <c r="AJ1214" s="7"/>
      <c r="AK1214" s="7"/>
      <c r="AL1214" s="7"/>
      <c r="AM1214" s="7"/>
      <c r="AN1214" s="7"/>
      <c r="AO1214" s="7"/>
      <c r="AP1214" s="7"/>
    </row>
    <row r="1215" spans="1:42">
      <c r="A1215" s="4" t="s">
        <v>595</v>
      </c>
      <c r="B1215" s="305"/>
      <c r="C1215" s="61">
        <v>0</v>
      </c>
      <c r="D1215" s="1080">
        <v>6.78</v>
      </c>
      <c r="E1215" s="305"/>
      <c r="F1215" s="490">
        <f>C1215*D1215</f>
        <v>0</v>
      </c>
      <c r="G1215" s="448">
        <f t="shared" si="195"/>
        <v>6.63</v>
      </c>
      <c r="H1215" s="305"/>
      <c r="I1215" s="490">
        <f>G1215*C1215</f>
        <v>0</v>
      </c>
      <c r="J1215" s="490"/>
      <c r="K1215" s="448" t="e">
        <f>#REF!</f>
        <v>#REF!</v>
      </c>
      <c r="L1215" s="305"/>
      <c r="M1215" s="490" t="e">
        <f>#REF!</f>
        <v>#REF!</v>
      </c>
      <c r="N1215" s="490"/>
      <c r="O1215" s="448" t="e">
        <f>#REF!</f>
        <v>#REF!</v>
      </c>
      <c r="P1215" s="305"/>
      <c r="Q1215" s="490" t="e">
        <f>#REF!</f>
        <v>#REF!</v>
      </c>
      <c r="R1215" s="490"/>
      <c r="S1215" s="448" t="e">
        <f>#REF!</f>
        <v>#REF!</v>
      </c>
      <c r="T1215" s="305"/>
      <c r="U1215" s="490" t="e">
        <f>#REF!</f>
        <v>#REF!</v>
      </c>
      <c r="V1215" s="7" t="s">
        <v>31</v>
      </c>
      <c r="Z1215" s="31">
        <v>94</v>
      </c>
      <c r="AA1215" s="755" t="s">
        <v>31</v>
      </c>
      <c r="AB1215" s="7"/>
      <c r="AC1215" s="7"/>
      <c r="AD1215" s="7"/>
      <c r="AE1215" s="7"/>
      <c r="AF1215" s="7"/>
      <c r="AG1215" s="7"/>
      <c r="AH1215" s="7"/>
      <c r="AI1215" s="7"/>
      <c r="AJ1215" s="7"/>
      <c r="AK1215" s="7"/>
      <c r="AL1215" s="7"/>
      <c r="AM1215" s="7"/>
      <c r="AN1215" s="7"/>
      <c r="AO1215" s="7"/>
      <c r="AP1215" s="7"/>
    </row>
    <row r="1216" spans="1:42">
      <c r="A1216" s="4" t="s">
        <v>596</v>
      </c>
      <c r="B1216" s="305"/>
      <c r="C1216" s="61">
        <v>0</v>
      </c>
      <c r="D1216" s="1080">
        <v>10.75</v>
      </c>
      <c r="E1216" s="305"/>
      <c r="F1216" s="490">
        <f>C1216*D1216</f>
        <v>0</v>
      </c>
      <c r="G1216" s="448">
        <f t="shared" si="195"/>
        <v>10.51</v>
      </c>
      <c r="H1216" s="305"/>
      <c r="I1216" s="490">
        <f>G1216*C1216</f>
        <v>0</v>
      </c>
      <c r="J1216" s="490"/>
      <c r="K1216" s="448" t="e">
        <f>#REF!</f>
        <v>#REF!</v>
      </c>
      <c r="L1216" s="305"/>
      <c r="M1216" s="490" t="e">
        <f>#REF!</f>
        <v>#REF!</v>
      </c>
      <c r="N1216" s="490"/>
      <c r="O1216" s="448" t="e">
        <f>#REF!</f>
        <v>#REF!</v>
      </c>
      <c r="P1216" s="305"/>
      <c r="Q1216" s="490" t="e">
        <f>#REF!</f>
        <v>#REF!</v>
      </c>
      <c r="R1216" s="490"/>
      <c r="S1216" s="448" t="e">
        <f>#REF!</f>
        <v>#REF!</v>
      </c>
      <c r="T1216" s="305"/>
      <c r="U1216" s="490" t="e">
        <f>#REF!</f>
        <v>#REF!</v>
      </c>
      <c r="V1216" s="7"/>
      <c r="Z1216" s="31">
        <v>149</v>
      </c>
      <c r="AA1216" s="755" t="s">
        <v>31</v>
      </c>
      <c r="AB1216" s="7"/>
      <c r="AC1216" s="7"/>
      <c r="AD1216" s="7"/>
      <c r="AE1216" s="7"/>
      <c r="AF1216" s="7"/>
      <c r="AG1216" s="7"/>
      <c r="AH1216" s="7"/>
      <c r="AI1216" s="7"/>
      <c r="AJ1216" s="7"/>
      <c r="AK1216" s="7"/>
      <c r="AL1216" s="7"/>
      <c r="AM1216" s="7"/>
      <c r="AN1216" s="7"/>
      <c r="AO1216" s="7"/>
      <c r="AP1216" s="7"/>
    </row>
    <row r="1217" spans="1:44">
      <c r="A1217" s="4" t="s">
        <v>597</v>
      </c>
      <c r="B1217" s="305"/>
      <c r="C1217" s="61">
        <v>0</v>
      </c>
      <c r="D1217" s="1080">
        <v>25.54</v>
      </c>
      <c r="E1217" s="305"/>
      <c r="F1217" s="490">
        <f>C1217*D1217</f>
        <v>0</v>
      </c>
      <c r="G1217" s="448">
        <f t="shared" si="195"/>
        <v>24.96</v>
      </c>
      <c r="H1217" s="305"/>
      <c r="I1217" s="490">
        <f>G1217*C1217</f>
        <v>0</v>
      </c>
      <c r="J1217" s="490"/>
      <c r="K1217" s="448" t="e">
        <f>#REF!</f>
        <v>#REF!</v>
      </c>
      <c r="L1217" s="305"/>
      <c r="M1217" s="490" t="e">
        <f>#REF!</f>
        <v>#REF!</v>
      </c>
      <c r="N1217" s="490"/>
      <c r="O1217" s="448" t="e">
        <f>#REF!</f>
        <v>#REF!</v>
      </c>
      <c r="P1217" s="305"/>
      <c r="Q1217" s="490" t="e">
        <f>#REF!</f>
        <v>#REF!</v>
      </c>
      <c r="R1217" s="490"/>
      <c r="S1217" s="448" t="e">
        <f>#REF!</f>
        <v>#REF!</v>
      </c>
      <c r="T1217" s="305"/>
      <c r="U1217" s="490" t="e">
        <f>#REF!</f>
        <v>#REF!</v>
      </c>
      <c r="V1217" s="7"/>
      <c r="Z1217" s="31">
        <v>354</v>
      </c>
      <c r="AA1217" s="755" t="s">
        <v>31</v>
      </c>
      <c r="AB1217" s="7" t="s">
        <v>31</v>
      </c>
      <c r="AC1217" s="7"/>
      <c r="AD1217" s="7"/>
      <c r="AE1217" s="7"/>
      <c r="AF1217" s="7"/>
      <c r="AG1217" s="7"/>
      <c r="AH1217" s="7"/>
      <c r="AI1217" s="7"/>
      <c r="AJ1217" s="7"/>
      <c r="AK1217" s="7"/>
      <c r="AL1217" s="7"/>
      <c r="AM1217" s="7"/>
      <c r="AN1217" s="7"/>
      <c r="AO1217" s="7"/>
      <c r="AP1217" s="7"/>
    </row>
    <row r="1218" spans="1:44">
      <c r="A1218" s="305"/>
      <c r="B1218" s="305"/>
      <c r="C1218" s="61"/>
      <c r="D1218" s="448">
        <v>0</v>
      </c>
      <c r="E1218" s="305"/>
      <c r="F1218" s="490"/>
      <c r="G1218" s="448"/>
      <c r="H1218" s="305"/>
      <c r="I1218" s="490"/>
      <c r="J1218" s="490"/>
      <c r="K1218" s="448"/>
      <c r="L1218" s="305"/>
      <c r="M1218" s="490"/>
      <c r="N1218" s="490"/>
      <c r="O1218" s="448"/>
      <c r="P1218" s="305"/>
      <c r="Q1218" s="490"/>
      <c r="R1218" s="490"/>
      <c r="S1218" s="448"/>
      <c r="T1218" s="305"/>
      <c r="U1218" s="490"/>
      <c r="V1218" s="7"/>
      <c r="Z1218" s="31"/>
      <c r="AA1218" s="31"/>
      <c r="AB1218" s="7"/>
      <c r="AC1218" s="7"/>
      <c r="AD1218" s="7"/>
      <c r="AE1218" s="7"/>
      <c r="AF1218" s="7"/>
      <c r="AG1218" s="7"/>
      <c r="AH1218" s="7"/>
      <c r="AI1218" s="7"/>
      <c r="AJ1218" s="7"/>
      <c r="AK1218" s="7"/>
      <c r="AL1218" s="7"/>
      <c r="AM1218" s="7"/>
      <c r="AN1218" s="7"/>
      <c r="AO1218" s="7"/>
      <c r="AP1218" s="7"/>
    </row>
    <row r="1219" spans="1:44">
      <c r="A1219" s="305" t="s">
        <v>598</v>
      </c>
      <c r="B1219" s="305"/>
      <c r="C1219" s="419">
        <v>1109399.9175815417</v>
      </c>
      <c r="D1219" s="308">
        <v>7.2149999999999999</v>
      </c>
      <c r="E1219" s="305" t="s">
        <v>362</v>
      </c>
      <c r="F1219" s="1076">
        <f>ROUND(D1219*C1219/100,0)</f>
        <v>80043</v>
      </c>
      <c r="G1219" s="308">
        <v>7.0519999999999996</v>
      </c>
      <c r="H1219" s="305" t="s">
        <v>362</v>
      </c>
      <c r="I1219" s="490">
        <f>G1219*C1219/100</f>
        <v>78234.882187850322</v>
      </c>
      <c r="J1219" s="490"/>
      <c r="K1219" s="308" t="e">
        <f>#REF!</f>
        <v>#REF!</v>
      </c>
      <c r="L1219" s="305" t="s">
        <v>362</v>
      </c>
      <c r="M1219" s="490" t="e">
        <f>#REF!</f>
        <v>#REF!</v>
      </c>
      <c r="N1219" s="490"/>
      <c r="O1219" s="308" t="e">
        <f>#REF!</f>
        <v>#REF!</v>
      </c>
      <c r="P1219" s="305" t="s">
        <v>362</v>
      </c>
      <c r="Q1219" s="490" t="e">
        <f>#REF!</f>
        <v>#REF!</v>
      </c>
      <c r="R1219" s="490"/>
      <c r="S1219" s="308" t="e">
        <f>#REF!</f>
        <v>#REF!</v>
      </c>
      <c r="T1219" s="305" t="s">
        <v>362</v>
      </c>
      <c r="U1219" s="490" t="e">
        <f>#REF!</f>
        <v>#REF!</v>
      </c>
      <c r="V1219" s="7"/>
      <c r="W1219" s="496" t="s">
        <v>31</v>
      </c>
      <c r="X1219" s="85" t="s">
        <v>31</v>
      </c>
      <c r="Z1219" s="31"/>
      <c r="AA1219" s="31"/>
      <c r="AB1219" s="7"/>
      <c r="AC1219" s="7"/>
      <c r="AD1219" s="7"/>
      <c r="AE1219" s="7"/>
      <c r="AF1219" s="7"/>
      <c r="AG1219" s="7"/>
      <c r="AH1219" s="7"/>
      <c r="AI1219" s="7"/>
      <c r="AJ1219" s="7"/>
      <c r="AK1219" s="7"/>
      <c r="AL1219" s="7"/>
      <c r="AM1219" s="7"/>
      <c r="AN1219" s="7"/>
      <c r="AO1219" s="7"/>
      <c r="AP1219" s="7"/>
    </row>
    <row r="1220" spans="1:44">
      <c r="A1220" s="305" t="s">
        <v>599</v>
      </c>
      <c r="B1220" s="305"/>
      <c r="C1220" s="419">
        <v>1848477.8177724311</v>
      </c>
      <c r="D1220" s="305" t="s">
        <v>31</v>
      </c>
      <c r="E1220" s="305" t="s">
        <v>31</v>
      </c>
      <c r="F1220" s="1076" t="s">
        <v>31</v>
      </c>
      <c r="G1220" s="305" t="s">
        <v>31</v>
      </c>
      <c r="H1220" s="305" t="s">
        <v>31</v>
      </c>
      <c r="I1220" s="490" t="s">
        <v>31</v>
      </c>
      <c r="J1220" s="490"/>
      <c r="K1220" s="305">
        <v>0</v>
      </c>
      <c r="L1220" s="305" t="s">
        <v>362</v>
      </c>
      <c r="M1220" s="490" t="e">
        <f>#REF!</f>
        <v>#REF!</v>
      </c>
      <c r="N1220" s="490"/>
      <c r="O1220" s="305">
        <v>0</v>
      </c>
      <c r="P1220" s="305" t="s">
        <v>362</v>
      </c>
      <c r="Q1220" s="490" t="e">
        <f>#REF!</f>
        <v>#REF!</v>
      </c>
      <c r="R1220" s="490"/>
      <c r="S1220" s="305">
        <v>0</v>
      </c>
      <c r="T1220" s="305" t="s">
        <v>362</v>
      </c>
      <c r="U1220" s="490" t="e">
        <f>#REF!</f>
        <v>#REF!</v>
      </c>
      <c r="V1220" s="7"/>
      <c r="Z1220" s="31"/>
      <c r="AA1220" s="31" t="s">
        <v>31</v>
      </c>
      <c r="AB1220" s="490" t="s">
        <v>31</v>
      </c>
      <c r="AC1220" s="490"/>
      <c r="AD1220" s="7"/>
      <c r="AE1220" s="7"/>
      <c r="AF1220" s="7"/>
      <c r="AG1220" s="7"/>
      <c r="AH1220" s="7"/>
      <c r="AI1220" s="7"/>
      <c r="AJ1220" s="7"/>
      <c r="AK1220" s="7"/>
      <c r="AL1220" s="7"/>
      <c r="AM1220" s="7"/>
      <c r="AN1220" s="7"/>
      <c r="AO1220" s="7"/>
      <c r="AP1220" s="7"/>
    </row>
    <row r="1221" spans="1:44">
      <c r="A1221" s="305" t="s">
        <v>350</v>
      </c>
      <c r="B1221" s="305"/>
      <c r="C1221" s="419">
        <v>1443</v>
      </c>
      <c r="D1221" s="1077"/>
      <c r="E1221" s="305"/>
      <c r="F1221" s="490"/>
      <c r="G1221" s="1077"/>
      <c r="H1221" s="305"/>
      <c r="I1221" s="490"/>
      <c r="J1221" s="490"/>
      <c r="K1221" s="1077"/>
      <c r="L1221" s="305"/>
      <c r="M1221" s="490"/>
      <c r="N1221" s="490"/>
      <c r="O1221" s="1077"/>
      <c r="P1221" s="305"/>
      <c r="Q1221" s="490"/>
      <c r="R1221" s="490"/>
      <c r="S1221" s="1077"/>
      <c r="T1221" s="305"/>
      <c r="U1221" s="490"/>
      <c r="V1221" s="7"/>
      <c r="W1221" s="31"/>
      <c r="X1221" s="31"/>
      <c r="Y1221" s="31"/>
      <c r="Z1221" s="7"/>
      <c r="AA1221" s="7"/>
      <c r="AB1221" s="7"/>
      <c r="AC1221" s="7"/>
      <c r="AD1221" s="7"/>
      <c r="AE1221" s="7"/>
      <c r="AF1221" s="7"/>
      <c r="AG1221" s="7"/>
      <c r="AH1221" s="7"/>
      <c r="AI1221" s="7"/>
      <c r="AJ1221" s="7"/>
      <c r="AK1221" s="7"/>
      <c r="AL1221" s="7"/>
      <c r="AM1221" s="7"/>
      <c r="AN1221" s="7"/>
      <c r="AO1221" s="7"/>
      <c r="AP1221" s="7"/>
    </row>
    <row r="1222" spans="1:44" s="588" customFormat="1" hidden="1">
      <c r="A1222" s="588" t="s">
        <v>782</v>
      </c>
      <c r="C1222" s="631">
        <f>C1224</f>
        <v>2957877.7353539728</v>
      </c>
      <c r="D1222" s="987">
        <f>D1219</f>
        <v>7.2149999999999999</v>
      </c>
      <c r="E1222" s="305" t="s">
        <v>362</v>
      </c>
      <c r="F1222" s="616"/>
      <c r="G1222" s="987">
        <v>0</v>
      </c>
      <c r="H1222" s="592" t="s">
        <v>362</v>
      </c>
      <c r="I1222" s="616">
        <f>ROUND(G1222*$C1222/100,0)</f>
        <v>0</v>
      </c>
      <c r="J1222" s="616"/>
      <c r="K1222" s="987" t="e">
        <f>#REF!</f>
        <v>#REF!</v>
      </c>
      <c r="L1222" s="592" t="s">
        <v>362</v>
      </c>
      <c r="M1222" s="490" t="e">
        <f>#REF!</f>
        <v>#REF!</v>
      </c>
      <c r="N1222" s="616"/>
      <c r="O1222" s="987" t="e">
        <f>#REF!</f>
        <v>#REF!</v>
      </c>
      <c r="P1222" s="592" t="s">
        <v>362</v>
      </c>
      <c r="Q1222" s="490" t="e">
        <f>#REF!</f>
        <v>#REF!</v>
      </c>
      <c r="R1222" s="616"/>
      <c r="S1222" s="987" t="e">
        <f>#REF!</f>
        <v>#REF!</v>
      </c>
      <c r="T1222" s="592" t="s">
        <v>362</v>
      </c>
      <c r="U1222" s="490" t="e">
        <f>#REF!</f>
        <v>#REF!</v>
      </c>
      <c r="W1222" s="450"/>
      <c r="Z1222" s="989"/>
      <c r="AA1222" s="989"/>
      <c r="AF1222" s="635"/>
      <c r="AG1222" s="635"/>
      <c r="AH1222" s="635"/>
      <c r="AI1222" s="635"/>
      <c r="AJ1222" s="635"/>
      <c r="AK1222" s="635"/>
      <c r="AL1222" s="635"/>
      <c r="AM1222" s="635"/>
      <c r="AN1222" s="635"/>
      <c r="AO1222" s="635"/>
      <c r="AP1222" s="635"/>
      <c r="AR1222" s="988"/>
    </row>
    <row r="1223" spans="1:44" s="588" customFormat="1" hidden="1">
      <c r="A1223" s="588" t="s">
        <v>762</v>
      </c>
      <c r="C1223" s="631"/>
      <c r="D1223" s="1058">
        <f>D1219</f>
        <v>7.2149999999999999</v>
      </c>
      <c r="E1223" s="592" t="s">
        <v>362</v>
      </c>
      <c r="F1223" s="616"/>
      <c r="G1223" s="1058">
        <f>G1222</f>
        <v>0</v>
      </c>
      <c r="H1223" s="592" t="s">
        <v>362</v>
      </c>
      <c r="I1223" s="616"/>
      <c r="J1223" s="616"/>
      <c r="K1223" s="1058" t="e">
        <f>K1219+K1222</f>
        <v>#REF!</v>
      </c>
      <c r="L1223" s="592" t="s">
        <v>362</v>
      </c>
      <c r="M1223" s="616"/>
      <c r="N1223" s="616"/>
      <c r="O1223" s="1058" t="e">
        <f>O1219+O1222</f>
        <v>#REF!</v>
      </c>
      <c r="P1223" s="592" t="s">
        <v>362</v>
      </c>
      <c r="Q1223" s="616"/>
      <c r="R1223" s="616"/>
      <c r="S1223" s="1058" t="e">
        <f>S1219+S1222</f>
        <v>#REF!</v>
      </c>
      <c r="T1223" s="592" t="s">
        <v>362</v>
      </c>
      <c r="U1223" s="616"/>
      <c r="W1223" s="450"/>
      <c r="X1223" s="454" t="s">
        <v>31</v>
      </c>
      <c r="Z1223" s="989"/>
      <c r="AA1223" s="989"/>
      <c r="AF1223" s="635"/>
      <c r="AG1223" s="635"/>
      <c r="AH1223" s="635"/>
      <c r="AI1223" s="635"/>
      <c r="AJ1223" s="635"/>
      <c r="AK1223" s="635"/>
      <c r="AL1223" s="635"/>
      <c r="AM1223" s="635"/>
      <c r="AN1223" s="635"/>
      <c r="AO1223" s="635"/>
      <c r="AP1223" s="635"/>
      <c r="AR1223" s="988"/>
    </row>
    <row r="1224" spans="1:44">
      <c r="A1224" s="4" t="s">
        <v>479</v>
      </c>
      <c r="C1224" s="419">
        <f>C1219+C1220</f>
        <v>2957877.7353539728</v>
      </c>
      <c r="D1224" s="990"/>
      <c r="E1224" s="7"/>
      <c r="F1224" s="723">
        <f>SUM(F1203:F1220)</f>
        <v>215073.97317584246</v>
      </c>
      <c r="G1224" s="990"/>
      <c r="H1224" s="7"/>
      <c r="I1224" s="723">
        <f>SUM(I1203:I1223)</f>
        <v>210241.97249549808</v>
      </c>
      <c r="J1224" s="723"/>
      <c r="K1224" s="990"/>
      <c r="L1224" s="7"/>
      <c r="M1224" s="723" t="e">
        <f>SUM(M1203:M1222)</f>
        <v>#REF!</v>
      </c>
      <c r="N1224" s="723"/>
      <c r="O1224" s="990"/>
      <c r="P1224" s="7"/>
      <c r="Q1224" s="723" t="e">
        <f>SUM(Q1203:Q1223)</f>
        <v>#REF!</v>
      </c>
      <c r="R1224" s="723"/>
      <c r="S1224" s="990"/>
      <c r="T1224" s="7"/>
      <c r="U1224" s="723" t="e">
        <f>SUM(U1203:U1223)</f>
        <v>#REF!</v>
      </c>
      <c r="V1224" s="7"/>
      <c r="W1224" s="31"/>
      <c r="X1224" s="31"/>
      <c r="Y1224" s="31"/>
      <c r="Z1224" s="7"/>
      <c r="AA1224" s="7"/>
      <c r="AB1224" s="7"/>
      <c r="AC1224" s="7"/>
      <c r="AD1224" s="7"/>
      <c r="AE1224" s="7"/>
      <c r="AF1224" s="7"/>
      <c r="AG1224" s="7"/>
      <c r="AH1224" s="7"/>
      <c r="AI1224" s="7"/>
      <c r="AJ1224" s="7"/>
      <c r="AK1224" s="7"/>
      <c r="AL1224" s="7"/>
      <c r="AM1224" s="7"/>
      <c r="AN1224" s="7"/>
      <c r="AO1224" s="7"/>
      <c r="AP1224" s="7"/>
    </row>
    <row r="1225" spans="1:44">
      <c r="A1225" s="4" t="s">
        <v>480</v>
      </c>
      <c r="C1225" s="419">
        <f ca="1">'Table 2'!H127</f>
        <v>80210.080976111421</v>
      </c>
      <c r="D1225" s="990"/>
      <c r="E1225" s="7"/>
      <c r="F1225" s="723">
        <f>'Table 3'!E127</f>
        <v>3338.4372439764056</v>
      </c>
      <c r="G1225" s="990"/>
      <c r="H1225" s="7"/>
      <c r="I1225" s="723">
        <f>F1225</f>
        <v>3338.4372439764056</v>
      </c>
      <c r="J1225" s="723"/>
      <c r="K1225" s="990"/>
      <c r="L1225" s="7"/>
      <c r="M1225" s="723" t="e">
        <f>$I$1225*V1199/($V$1199+$W$1199+$X$1199)</f>
        <v>#DIV/0!</v>
      </c>
      <c r="N1225" s="723"/>
      <c r="O1225" s="305"/>
      <c r="P1225" s="305"/>
      <c r="Q1225" s="723" t="e">
        <f>$I$1225*W1199/($V$1199+$W$1199+$X$1199)</f>
        <v>#DIV/0!</v>
      </c>
      <c r="R1225" s="723"/>
      <c r="S1225" s="305"/>
      <c r="T1225" s="305"/>
      <c r="U1225" s="723" t="e">
        <f>$I$1225*X1199/($V$1199+$W$1199+$X$1199)</f>
        <v>#DIV/0!</v>
      </c>
      <c r="V1225" s="714"/>
      <c r="W1225" s="171"/>
      <c r="X1225" s="31"/>
      <c r="Y1225" s="31"/>
      <c r="Z1225" s="7"/>
      <c r="AA1225" s="7"/>
      <c r="AB1225" s="7"/>
      <c r="AC1225" s="7"/>
      <c r="AD1225" s="7"/>
      <c r="AE1225" s="7"/>
      <c r="AF1225" s="7"/>
      <c r="AG1225" s="7"/>
      <c r="AH1225" s="7"/>
      <c r="AI1225" s="7"/>
      <c r="AJ1225" s="7"/>
      <c r="AK1225" s="7"/>
      <c r="AL1225" s="7"/>
      <c r="AM1225" s="7"/>
      <c r="AN1225" s="7"/>
      <c r="AO1225" s="7"/>
      <c r="AP1225" s="7"/>
    </row>
    <row r="1226" spans="1:44" ht="16.5" thickBot="1">
      <c r="A1226" s="305" t="s">
        <v>9</v>
      </c>
      <c r="B1226" s="305"/>
      <c r="C1226" s="994">
        <f ca="1">C1224+C1225</f>
        <v>3038087.8163300841</v>
      </c>
      <c r="D1226" s="1078"/>
      <c r="E1226" s="1030"/>
      <c r="F1226" s="996">
        <f>F1224+F1225</f>
        <v>218412.41041981886</v>
      </c>
      <c r="G1226" s="1078"/>
      <c r="H1226" s="1030"/>
      <c r="I1226" s="996">
        <f>I1224+I1225</f>
        <v>213580.40973947447</v>
      </c>
      <c r="J1226" s="723"/>
      <c r="K1226" s="1078"/>
      <c r="L1226" s="1030"/>
      <c r="M1226" s="996" t="e">
        <f>M1224+M1225</f>
        <v>#REF!</v>
      </c>
      <c r="N1226" s="995"/>
      <c r="O1226" s="1078"/>
      <c r="P1226" s="1030"/>
      <c r="Q1226" s="996" t="e">
        <f>Q1224+Q1225</f>
        <v>#REF!</v>
      </c>
      <c r="R1226" s="995"/>
      <c r="S1226" s="1078"/>
      <c r="T1226" s="1030"/>
      <c r="U1226" s="996" t="e">
        <f>U1224+U1225</f>
        <v>#REF!</v>
      </c>
      <c r="V1226" s="295"/>
      <c r="W1226" s="354"/>
      <c r="X1226" s="31"/>
      <c r="Y1226" s="31"/>
      <c r="Z1226" s="7"/>
      <c r="AA1226" s="7"/>
      <c r="AB1226" s="7"/>
      <c r="AC1226" s="7"/>
      <c r="AD1226" s="7"/>
      <c r="AE1226" s="7"/>
      <c r="AF1226" s="7"/>
      <c r="AG1226" s="7"/>
      <c r="AH1226" s="7"/>
      <c r="AI1226" s="7"/>
      <c r="AJ1226" s="7"/>
      <c r="AK1226" s="7"/>
      <c r="AL1226" s="7"/>
      <c r="AM1226" s="7"/>
      <c r="AN1226" s="7"/>
      <c r="AO1226" s="7"/>
      <c r="AP1226" s="7"/>
    </row>
    <row r="1227" spans="1:44" ht="16.5" thickTop="1">
      <c r="A1227" s="1079" t="s">
        <v>781</v>
      </c>
      <c r="B1227" s="305"/>
      <c r="C1227" s="999"/>
      <c r="D1227" s="126"/>
      <c r="E1227" s="1033"/>
      <c r="F1227" s="723"/>
      <c r="G1227" s="126"/>
      <c r="H1227" s="1033"/>
      <c r="I1227" s="723"/>
      <c r="J1227" s="723"/>
      <c r="K1227" s="126"/>
      <c r="L1227" s="1033"/>
      <c r="M1227" s="723"/>
      <c r="N1227" s="723"/>
      <c r="O1227" s="126"/>
      <c r="P1227" s="1033"/>
      <c r="Q1227" s="723"/>
      <c r="R1227" s="723"/>
      <c r="S1227" s="126"/>
      <c r="T1227" s="1033"/>
      <c r="U1227" s="723"/>
      <c r="V1227" s="295"/>
      <c r="W1227" s="354"/>
      <c r="X1227" s="31"/>
      <c r="Y1227" s="31"/>
      <c r="Z1227" s="7"/>
      <c r="AA1227" s="7"/>
      <c r="AB1227" s="7"/>
      <c r="AC1227" s="7"/>
      <c r="AD1227" s="7"/>
      <c r="AE1227" s="7"/>
      <c r="AF1227" s="7"/>
      <c r="AG1227" s="7"/>
      <c r="AH1227" s="7"/>
      <c r="AI1227" s="7"/>
      <c r="AJ1227" s="7"/>
      <c r="AK1227" s="7"/>
      <c r="AL1227" s="7"/>
      <c r="AM1227" s="7"/>
      <c r="AN1227" s="7"/>
      <c r="AO1227" s="7"/>
      <c r="AP1227" s="7"/>
    </row>
    <row r="1228" spans="1:44">
      <c r="A1228" s="305"/>
      <c r="B1228" s="305"/>
      <c r="C1228" s="999"/>
      <c r="D1228" s="126" t="s">
        <v>31</v>
      </c>
      <c r="E1228" s="1033"/>
      <c r="F1228" s="723"/>
      <c r="G1228" s="126" t="s">
        <v>31</v>
      </c>
      <c r="H1228" s="1033"/>
      <c r="I1228" s="723" t="s">
        <v>31</v>
      </c>
      <c r="J1228" s="723"/>
      <c r="K1228" s="126" t="s">
        <v>31</v>
      </c>
      <c r="L1228" s="1033"/>
      <c r="M1228" s="723" t="s">
        <v>31</v>
      </c>
      <c r="N1228" s="723"/>
      <c r="O1228" s="126" t="s">
        <v>31</v>
      </c>
      <c r="P1228" s="1033"/>
      <c r="Q1228" s="723" t="s">
        <v>31</v>
      </c>
      <c r="R1228" s="723"/>
      <c r="S1228" s="126" t="s">
        <v>31</v>
      </c>
      <c r="T1228" s="1033"/>
      <c r="U1228" s="723" t="e">
        <f>M1226+Q1226+U1226</f>
        <v>#REF!</v>
      </c>
      <c r="V1228" s="540"/>
      <c r="W1228" s="540"/>
      <c r="X1228" s="540"/>
      <c r="Y1228" s="31"/>
      <c r="Z1228" s="7"/>
      <c r="AA1228" s="7"/>
      <c r="AB1228" s="7"/>
      <c r="AC1228" s="7"/>
      <c r="AD1228" s="7"/>
      <c r="AE1228" s="7"/>
      <c r="AF1228" s="7"/>
      <c r="AG1228" s="7"/>
      <c r="AH1228" s="7"/>
      <c r="AI1228" s="7"/>
      <c r="AJ1228" s="7"/>
      <c r="AK1228" s="7"/>
      <c r="AL1228" s="7"/>
      <c r="AM1228" s="7"/>
      <c r="AN1228" s="7"/>
      <c r="AO1228" s="7"/>
      <c r="AP1228" s="7"/>
    </row>
    <row r="1229" spans="1:44">
      <c r="A1229" s="305" t="s">
        <v>487</v>
      </c>
      <c r="B1229" s="305"/>
      <c r="C1229" s="305"/>
      <c r="D1229" s="305"/>
      <c r="E1229" s="305"/>
      <c r="F1229" s="305"/>
      <c r="G1229" s="305"/>
      <c r="H1229" s="305"/>
      <c r="I1229" s="305"/>
      <c r="J1229" s="305"/>
      <c r="K1229" s="305"/>
      <c r="L1229" s="305"/>
      <c r="M1229" s="305"/>
      <c r="N1229" s="305"/>
      <c r="O1229" s="305"/>
      <c r="P1229" s="305"/>
      <c r="Q1229" s="305"/>
      <c r="R1229" s="305"/>
      <c r="S1229" s="305"/>
      <c r="T1229" s="305"/>
      <c r="U1229" s="490" t="e">
        <f>U1228-I1226</f>
        <v>#REF!</v>
      </c>
      <c r="V1229" s="342"/>
      <c r="W1229" s="342"/>
      <c r="X1229" s="342"/>
      <c r="Y1229" s="31"/>
      <c r="Z1229" s="7"/>
      <c r="AA1229" s="7"/>
      <c r="AB1229" s="7"/>
      <c r="AC1229" s="7"/>
      <c r="AD1229" s="7"/>
      <c r="AE1229" s="7"/>
      <c r="AF1229" s="7"/>
      <c r="AG1229" s="7"/>
      <c r="AH1229" s="7"/>
      <c r="AI1229" s="7"/>
      <c r="AJ1229" s="7"/>
      <c r="AK1229" s="7"/>
      <c r="AL1229" s="7"/>
      <c r="AM1229" s="7"/>
      <c r="AN1229" s="7"/>
      <c r="AO1229" s="7"/>
      <c r="AP1229" s="7"/>
    </row>
    <row r="1230" spans="1:44">
      <c r="A1230" s="305" t="s">
        <v>488</v>
      </c>
      <c r="B1230" s="305"/>
      <c r="C1230" s="305"/>
      <c r="D1230" s="305"/>
      <c r="E1230" s="305"/>
      <c r="F1230" s="305"/>
      <c r="G1230" s="305"/>
      <c r="H1230" s="305"/>
      <c r="I1230" s="305"/>
      <c r="J1230" s="305"/>
      <c r="K1230" s="305"/>
      <c r="L1230" s="305"/>
      <c r="M1230" s="305"/>
      <c r="N1230" s="305"/>
      <c r="O1230" s="305"/>
      <c r="P1230" s="305"/>
      <c r="Q1230" s="305"/>
      <c r="R1230" s="305"/>
      <c r="S1230" s="305"/>
      <c r="T1230" s="305"/>
      <c r="U1230" s="305"/>
      <c r="V1230" s="7"/>
      <c r="W1230" s="31"/>
      <c r="X1230" s="31"/>
      <c r="Y1230" s="31"/>
      <c r="Z1230" s="7"/>
      <c r="AA1230" s="7"/>
      <c r="AB1230" s="7"/>
      <c r="AC1230" s="7"/>
      <c r="AD1230" s="7"/>
      <c r="AE1230" s="7"/>
      <c r="AF1230" s="7"/>
      <c r="AG1230" s="7"/>
      <c r="AH1230" s="7"/>
      <c r="AI1230" s="7"/>
      <c r="AJ1230" s="7"/>
      <c r="AK1230" s="7"/>
      <c r="AL1230" s="7"/>
      <c r="AM1230" s="7"/>
      <c r="AN1230" s="7"/>
      <c r="AO1230" s="7"/>
      <c r="AP1230" s="7"/>
    </row>
    <row r="1231" spans="1:44">
      <c r="A1231" s="305"/>
      <c r="B1231" s="305"/>
      <c r="C1231" s="305"/>
      <c r="D1231" s="1059"/>
      <c r="E1231" s="305"/>
      <c r="F1231" s="305"/>
      <c r="G1231" s="1059"/>
      <c r="H1231" s="305"/>
      <c r="I1231" s="305"/>
      <c r="J1231" s="305"/>
      <c r="K1231" s="1059"/>
      <c r="L1231" s="305"/>
      <c r="M1231" s="305"/>
      <c r="N1231" s="305"/>
      <c r="O1231" s="1059"/>
      <c r="P1231" s="305"/>
      <c r="Q1231" s="305"/>
      <c r="R1231" s="305"/>
      <c r="S1231" s="1059"/>
      <c r="T1231" s="305"/>
      <c r="U1231" s="305"/>
      <c r="V1231" s="7"/>
      <c r="W1231" s="31"/>
      <c r="X1231" s="31"/>
      <c r="Y1231" s="31"/>
      <c r="Z1231" s="7"/>
      <c r="AA1231" s="7"/>
      <c r="AB1231" s="7"/>
      <c r="AC1231" s="7"/>
      <c r="AD1231" s="7"/>
      <c r="AE1231" s="7"/>
      <c r="AF1231" s="7"/>
      <c r="AG1231" s="7"/>
      <c r="AH1231" s="7"/>
      <c r="AI1231" s="7"/>
      <c r="AJ1231" s="7"/>
      <c r="AK1231" s="7"/>
      <c r="AL1231" s="7"/>
      <c r="AM1231" s="7"/>
      <c r="AN1231" s="7"/>
      <c r="AO1231" s="7"/>
      <c r="AP1231" s="7"/>
    </row>
    <row r="1232" spans="1:44">
      <c r="A1232" s="305" t="s">
        <v>476</v>
      </c>
      <c r="B1232" s="305"/>
      <c r="C1232" s="61"/>
      <c r="D1232" s="448"/>
      <c r="E1232" s="305"/>
      <c r="F1232" s="490">
        <v>0</v>
      </c>
      <c r="G1232" s="448"/>
      <c r="H1232" s="305"/>
      <c r="I1232" s="490">
        <f>F1232</f>
        <v>0</v>
      </c>
      <c r="J1232" s="490"/>
      <c r="K1232" s="448"/>
      <c r="L1232" s="305"/>
      <c r="M1232" s="490" t="e">
        <f>#REF!</f>
        <v>#REF!</v>
      </c>
      <c r="N1232" s="490"/>
      <c r="O1232" s="448"/>
      <c r="P1232" s="305"/>
      <c r="Q1232" s="490" t="e">
        <f>#REF!</f>
        <v>#REF!</v>
      </c>
      <c r="R1232" s="490"/>
      <c r="S1232" s="448"/>
      <c r="T1232" s="305"/>
      <c r="U1232" s="490" t="e">
        <f>#REF!</f>
        <v>#REF!</v>
      </c>
      <c r="V1232" s="7"/>
      <c r="W1232" s="31"/>
      <c r="X1232" s="31"/>
      <c r="Y1232" s="31"/>
      <c r="Z1232" s="7"/>
      <c r="AA1232" s="7"/>
      <c r="AB1232" s="7"/>
      <c r="AC1232" s="7"/>
      <c r="AD1232" s="7"/>
      <c r="AE1232" s="7"/>
      <c r="AF1232" s="7"/>
      <c r="AG1232" s="7"/>
      <c r="AH1232" s="7"/>
      <c r="AI1232" s="7"/>
      <c r="AJ1232" s="7"/>
      <c r="AK1232" s="7"/>
      <c r="AL1232" s="7"/>
      <c r="AM1232" s="7"/>
      <c r="AN1232" s="7"/>
      <c r="AO1232" s="7"/>
      <c r="AP1232" s="7"/>
    </row>
    <row r="1233" spans="1:44">
      <c r="A1233" s="305" t="s">
        <v>483</v>
      </c>
      <c r="B1233" s="305"/>
      <c r="C1233" s="419">
        <v>0</v>
      </c>
      <c r="D1233" s="308">
        <f>D1219</f>
        <v>7.2149999999999999</v>
      </c>
      <c r="E1233" s="305" t="s">
        <v>362</v>
      </c>
      <c r="F1233" s="1076">
        <f>ROUND(D1233*C1233/100,0)</f>
        <v>0</v>
      </c>
      <c r="G1233" s="308" t="str">
        <f>G1220</f>
        <v xml:space="preserve"> </v>
      </c>
      <c r="H1233" s="305" t="s">
        <v>362</v>
      </c>
      <c r="I1233" s="490">
        <f>ROUND(C1233*G1233/100,0)</f>
        <v>0</v>
      </c>
      <c r="J1233" s="490"/>
      <c r="K1233" s="308" t="e">
        <f>#REF!</f>
        <v>#REF!</v>
      </c>
      <c r="L1233" s="305" t="s">
        <v>362</v>
      </c>
      <c r="M1233" s="490" t="e">
        <f>#REF!</f>
        <v>#REF!</v>
      </c>
      <c r="N1233" s="490"/>
      <c r="O1233" s="308" t="e">
        <f>#REF!</f>
        <v>#REF!</v>
      </c>
      <c r="P1233" s="305" t="s">
        <v>362</v>
      </c>
      <c r="Q1233" s="490" t="e">
        <f>#REF!</f>
        <v>#REF!</v>
      </c>
      <c r="R1233" s="490"/>
      <c r="S1233" s="308" t="e">
        <f>#REF!</f>
        <v>#REF!</v>
      </c>
      <c r="T1233" s="305" t="s">
        <v>362</v>
      </c>
      <c r="U1233" s="490" t="e">
        <f>#REF!</f>
        <v>#REF!</v>
      </c>
      <c r="V1233" s="7"/>
      <c r="W1233" s="31"/>
      <c r="X1233" s="31"/>
      <c r="Y1233" s="31"/>
      <c r="Z1233" s="7"/>
      <c r="AA1233" s="7"/>
      <c r="AB1233" s="7"/>
      <c r="AC1233" s="7"/>
      <c r="AD1233" s="7"/>
      <c r="AE1233" s="7"/>
      <c r="AF1233" s="7"/>
      <c r="AG1233" s="7"/>
      <c r="AH1233" s="7"/>
      <c r="AI1233" s="7"/>
      <c r="AJ1233" s="7"/>
      <c r="AK1233" s="7"/>
      <c r="AL1233" s="7"/>
      <c r="AM1233" s="7"/>
      <c r="AN1233" s="7"/>
      <c r="AO1233" s="7"/>
      <c r="AP1233" s="7"/>
    </row>
    <row r="1234" spans="1:44">
      <c r="A1234" s="305" t="s">
        <v>484</v>
      </c>
      <c r="B1234" s="305"/>
      <c r="C1234" s="419">
        <v>738019</v>
      </c>
      <c r="D1234" s="308">
        <f>D1233</f>
        <v>7.2149999999999999</v>
      </c>
      <c r="E1234" s="305" t="s">
        <v>362</v>
      </c>
      <c r="F1234" s="1076">
        <f>ROUND(D1234*C1234/100,0)</f>
        <v>53248</v>
      </c>
      <c r="G1234" s="308" t="str">
        <f>G1233</f>
        <v xml:space="preserve"> </v>
      </c>
      <c r="H1234" s="305" t="s">
        <v>362</v>
      </c>
      <c r="I1234" s="490">
        <f>ROUND(G1234*$C1234/100,0)</f>
        <v>0</v>
      </c>
      <c r="J1234" s="490"/>
      <c r="K1234" s="308" t="e">
        <f>K1233</f>
        <v>#REF!</v>
      </c>
      <c r="L1234" s="305" t="s">
        <v>362</v>
      </c>
      <c r="M1234" s="490" t="e">
        <f>#REF!</f>
        <v>#REF!</v>
      </c>
      <c r="N1234" s="490"/>
      <c r="O1234" s="308" t="e">
        <f>O1233</f>
        <v>#REF!</v>
      </c>
      <c r="P1234" s="305" t="s">
        <v>362</v>
      </c>
      <c r="Q1234" s="490" t="e">
        <f>#REF!</f>
        <v>#REF!</v>
      </c>
      <c r="R1234" s="490"/>
      <c r="S1234" s="308" t="e">
        <f>S1233</f>
        <v>#REF!</v>
      </c>
      <c r="T1234" s="305" t="s">
        <v>362</v>
      </c>
      <c r="U1234" s="490" t="e">
        <f>#REF!</f>
        <v>#REF!</v>
      </c>
      <c r="V1234" s="7"/>
      <c r="W1234" s="31"/>
      <c r="X1234" s="31"/>
      <c r="Y1234" s="31"/>
      <c r="Z1234" s="7"/>
      <c r="AA1234" s="7"/>
      <c r="AB1234" s="7"/>
      <c r="AC1234" s="7"/>
      <c r="AD1234" s="7"/>
      <c r="AE1234" s="7"/>
      <c r="AF1234" s="7"/>
      <c r="AG1234" s="7"/>
      <c r="AH1234" s="7"/>
      <c r="AI1234" s="7"/>
      <c r="AJ1234" s="7"/>
      <c r="AK1234" s="7"/>
      <c r="AL1234" s="7"/>
      <c r="AM1234" s="7"/>
      <c r="AN1234" s="7"/>
      <c r="AO1234" s="7"/>
      <c r="AP1234" s="7"/>
    </row>
    <row r="1235" spans="1:44">
      <c r="A1235" s="305" t="s">
        <v>350</v>
      </c>
      <c r="B1235" s="305"/>
      <c r="C1235" s="419">
        <v>1349</v>
      </c>
      <c r="D1235" s="1077"/>
      <c r="E1235" s="305"/>
      <c r="F1235" s="490"/>
      <c r="G1235" s="1077"/>
      <c r="H1235" s="305"/>
      <c r="I1235" s="490"/>
      <c r="J1235" s="490"/>
      <c r="K1235" s="1077"/>
      <c r="L1235" s="305"/>
      <c r="M1235" s="490"/>
      <c r="N1235" s="490"/>
      <c r="O1235" s="1077"/>
      <c r="P1235" s="305"/>
      <c r="Q1235" s="490"/>
      <c r="R1235" s="490"/>
      <c r="S1235" s="1077"/>
      <c r="T1235" s="305"/>
      <c r="U1235" s="490"/>
      <c r="V1235" s="7"/>
      <c r="W1235" s="31"/>
      <c r="X1235" s="31"/>
      <c r="Y1235" s="31"/>
      <c r="Z1235" s="7"/>
      <c r="AA1235" s="7"/>
      <c r="AB1235" s="7"/>
      <c r="AC1235" s="7"/>
      <c r="AD1235" s="7"/>
      <c r="AE1235" s="7"/>
      <c r="AF1235" s="7"/>
      <c r="AG1235" s="7"/>
      <c r="AH1235" s="7"/>
      <c r="AI1235" s="7"/>
      <c r="AJ1235" s="7"/>
      <c r="AK1235" s="7"/>
      <c r="AL1235" s="7"/>
      <c r="AM1235" s="7"/>
      <c r="AN1235" s="7"/>
      <c r="AO1235" s="7"/>
      <c r="AP1235" s="7"/>
    </row>
    <row r="1236" spans="1:44" s="588" customFormat="1" hidden="1">
      <c r="A1236" s="588" t="s">
        <v>782</v>
      </c>
      <c r="C1236" s="631">
        <f>C1237</f>
        <v>738019</v>
      </c>
      <c r="D1236" s="990">
        <v>0</v>
      </c>
      <c r="E1236" s="635"/>
      <c r="F1236" s="616"/>
      <c r="G1236" s="987">
        <f>G1194</f>
        <v>0</v>
      </c>
      <c r="H1236" s="592" t="s">
        <v>362</v>
      </c>
      <c r="I1236" s="616">
        <f>ROUND(G1236*$C1236/100,0)</f>
        <v>0</v>
      </c>
      <c r="J1236" s="616"/>
      <c r="K1236" s="987" t="e">
        <f>#REF!</f>
        <v>#REF!</v>
      </c>
      <c r="L1236" s="592" t="s">
        <v>31</v>
      </c>
      <c r="M1236" s="490" t="e">
        <f>#REF!</f>
        <v>#REF!</v>
      </c>
      <c r="N1236" s="616"/>
      <c r="O1236" s="987" t="e">
        <f>#REF!</f>
        <v>#REF!</v>
      </c>
      <c r="P1236" s="592" t="s">
        <v>31</v>
      </c>
      <c r="Q1236" s="490" t="e">
        <f>#REF!</f>
        <v>#REF!</v>
      </c>
      <c r="R1236" s="616"/>
      <c r="S1236" s="987" t="e">
        <f>#REF!</f>
        <v>#REF!</v>
      </c>
      <c r="T1236" s="592" t="s">
        <v>362</v>
      </c>
      <c r="U1236" s="616" t="e">
        <f>ROUND(S1236*$C1236/100,0)</f>
        <v>#REF!</v>
      </c>
      <c r="W1236" s="450"/>
      <c r="Z1236" s="989"/>
      <c r="AA1236" s="989"/>
      <c r="AF1236" s="635"/>
      <c r="AG1236" s="635"/>
      <c r="AH1236" s="635"/>
      <c r="AI1236" s="635"/>
      <c r="AJ1236" s="635"/>
      <c r="AK1236" s="635"/>
      <c r="AL1236" s="635"/>
      <c r="AM1236" s="635"/>
      <c r="AN1236" s="635"/>
      <c r="AO1236" s="635"/>
      <c r="AP1236" s="635"/>
      <c r="AR1236" s="988"/>
    </row>
    <row r="1237" spans="1:44">
      <c r="A1237" s="4" t="s">
        <v>479</v>
      </c>
      <c r="C1237" s="419">
        <f>C1233+C1234</f>
        <v>738019</v>
      </c>
      <c r="D1237" s="990"/>
      <c r="E1237" s="7"/>
      <c r="F1237" s="723">
        <f>SUM(F1232:F1234)</f>
        <v>53248</v>
      </c>
      <c r="G1237" s="990"/>
      <c r="H1237" s="7"/>
      <c r="I1237" s="723">
        <f>SUM(I1232:I1236)</f>
        <v>0</v>
      </c>
      <c r="J1237" s="723"/>
      <c r="K1237" s="990"/>
      <c r="L1237" s="7"/>
      <c r="M1237" s="723" t="e">
        <f>SUM(M1232:M1236)</f>
        <v>#REF!</v>
      </c>
      <c r="N1237" s="723"/>
      <c r="O1237" s="990"/>
      <c r="P1237" s="7"/>
      <c r="Q1237" s="723" t="e">
        <f>SUM(Q1232:Q1236)</f>
        <v>#REF!</v>
      </c>
      <c r="R1237" s="723"/>
      <c r="S1237" s="990"/>
      <c r="T1237" s="7"/>
      <c r="U1237" s="723" t="e">
        <f>SUM(U1232:U1236)</f>
        <v>#REF!</v>
      </c>
      <c r="V1237" s="7"/>
      <c r="W1237" s="31"/>
      <c r="X1237" s="31"/>
      <c r="Y1237" s="31"/>
      <c r="Z1237" s="7"/>
      <c r="AA1237" s="7"/>
      <c r="AB1237" s="7"/>
      <c r="AC1237" s="7"/>
      <c r="AD1237" s="7"/>
      <c r="AE1237" s="7"/>
      <c r="AF1237" s="7"/>
      <c r="AG1237" s="7"/>
      <c r="AH1237" s="7"/>
      <c r="AI1237" s="7"/>
      <c r="AJ1237" s="7"/>
      <c r="AK1237" s="7"/>
      <c r="AL1237" s="7"/>
      <c r="AM1237" s="7"/>
      <c r="AN1237" s="7"/>
      <c r="AO1237" s="7"/>
      <c r="AP1237" s="7"/>
    </row>
    <row r="1238" spans="1:44">
      <c r="A1238" s="4" t="s">
        <v>480</v>
      </c>
      <c r="C1238" s="419">
        <f ca="1">'Table 2'!H128</f>
        <v>20027.90683960207</v>
      </c>
      <c r="D1238" s="990"/>
      <c r="E1238" s="7"/>
      <c r="F1238" s="723">
        <f>'Table 3'!E128</f>
        <v>828.80071067542849</v>
      </c>
      <c r="G1238" s="990"/>
      <c r="H1238" s="7"/>
      <c r="I1238" s="723">
        <f>F1238</f>
        <v>828.80071067542849</v>
      </c>
      <c r="J1238" s="723"/>
      <c r="K1238" s="990"/>
      <c r="L1238" s="7"/>
      <c r="M1238" s="723" t="e">
        <f>$I$1238*V1199/($V$1199+$W$1199+$X$1199)</f>
        <v>#DIV/0!</v>
      </c>
      <c r="N1238" s="723"/>
      <c r="O1238" s="305"/>
      <c r="P1238" s="305"/>
      <c r="Q1238" s="723" t="e">
        <f>$I$1238*W1199/($V$1199+$W$1199+$X$1199)</f>
        <v>#DIV/0!</v>
      </c>
      <c r="R1238" s="723"/>
      <c r="S1238" s="305"/>
      <c r="T1238" s="305"/>
      <c r="U1238" s="723" t="e">
        <f>$I$1238*X1199/($V$1199+$W$1199+$X$1199)</f>
        <v>#DIV/0!</v>
      </c>
      <c r="V1238" s="714"/>
      <c r="W1238" s="171"/>
      <c r="X1238" s="31"/>
      <c r="Y1238" s="31"/>
      <c r="Z1238" s="7"/>
      <c r="AA1238" s="7"/>
      <c r="AB1238" s="7"/>
      <c r="AC1238" s="7"/>
      <c r="AD1238" s="7"/>
      <c r="AE1238" s="7"/>
      <c r="AF1238" s="7"/>
      <c r="AG1238" s="7"/>
      <c r="AH1238" s="7"/>
      <c r="AI1238" s="7"/>
      <c r="AJ1238" s="7"/>
      <c r="AK1238" s="7"/>
      <c r="AL1238" s="7"/>
      <c r="AM1238" s="7"/>
      <c r="AN1238" s="7"/>
      <c r="AO1238" s="7"/>
      <c r="AP1238" s="7"/>
    </row>
    <row r="1239" spans="1:44" ht="16.5" thickBot="1">
      <c r="A1239" s="305" t="s">
        <v>9</v>
      </c>
      <c r="B1239" s="305"/>
      <c r="C1239" s="994">
        <f ca="1">C1237+C1238</f>
        <v>758046.90683960204</v>
      </c>
      <c r="D1239" s="1078"/>
      <c r="E1239" s="1030"/>
      <c r="F1239" s="996">
        <f>F1237+F1238</f>
        <v>54076.80071067543</v>
      </c>
      <c r="G1239" s="1078"/>
      <c r="H1239" s="1030"/>
      <c r="I1239" s="996">
        <f>I1237+I1238</f>
        <v>828.80071067542849</v>
      </c>
      <c r="J1239" s="723"/>
      <c r="K1239" s="1078"/>
      <c r="L1239" s="1030"/>
      <c r="M1239" s="996" t="e">
        <f>M1237+M1238</f>
        <v>#REF!</v>
      </c>
      <c r="N1239" s="995"/>
      <c r="O1239" s="1078"/>
      <c r="P1239" s="1030"/>
      <c r="Q1239" s="996" t="e">
        <f>Q1237+Q1238</f>
        <v>#REF!</v>
      </c>
      <c r="R1239" s="995"/>
      <c r="S1239" s="1078"/>
      <c r="T1239" s="1030"/>
      <c r="U1239" s="996" t="e">
        <f>U1237+U1238</f>
        <v>#REF!</v>
      </c>
      <c r="V1239" s="295"/>
      <c r="W1239" s="354"/>
      <c r="X1239" s="31"/>
      <c r="Y1239" s="31"/>
      <c r="Z1239" s="7"/>
      <c r="AA1239" s="7"/>
      <c r="AB1239" s="7"/>
      <c r="AC1239" s="7"/>
      <c r="AD1239" s="7"/>
      <c r="AE1239" s="7"/>
      <c r="AF1239" s="7"/>
      <c r="AG1239" s="7"/>
      <c r="AH1239" s="7"/>
      <c r="AI1239" s="7"/>
      <c r="AJ1239" s="7"/>
      <c r="AK1239" s="7"/>
      <c r="AL1239" s="7"/>
      <c r="AM1239" s="7"/>
      <c r="AN1239" s="7"/>
      <c r="AO1239" s="7"/>
      <c r="AP1239" s="7"/>
    </row>
    <row r="1240" spans="1:44" ht="16.5" thickTop="1">
      <c r="A1240" s="1079" t="s">
        <v>781</v>
      </c>
      <c r="B1240" s="305"/>
      <c r="C1240" s="999"/>
      <c r="D1240" s="126"/>
      <c r="E1240" s="1033"/>
      <c r="F1240" s="723"/>
      <c r="G1240" s="126"/>
      <c r="H1240" s="1033"/>
      <c r="I1240" s="723"/>
      <c r="J1240" s="723"/>
      <c r="K1240" s="126"/>
      <c r="L1240" s="1033"/>
      <c r="M1240" s="723"/>
      <c r="N1240" s="723"/>
      <c r="O1240" s="126"/>
      <c r="P1240" s="1033"/>
      <c r="Q1240" s="723"/>
      <c r="R1240" s="723"/>
      <c r="S1240" s="126"/>
      <c r="T1240" s="1033"/>
      <c r="U1240" s="723"/>
      <c r="V1240" s="295"/>
      <c r="W1240" s="354"/>
      <c r="X1240" s="31"/>
      <c r="Y1240" s="31"/>
      <c r="Z1240" s="7"/>
      <c r="AA1240" s="7"/>
      <c r="AB1240" s="7"/>
      <c r="AC1240" s="7"/>
      <c r="AD1240" s="7"/>
      <c r="AE1240" s="7"/>
      <c r="AF1240" s="7"/>
      <c r="AG1240" s="7"/>
      <c r="AH1240" s="7"/>
      <c r="AI1240" s="7"/>
      <c r="AJ1240" s="7"/>
      <c r="AK1240" s="7"/>
      <c r="AL1240" s="7"/>
      <c r="AM1240" s="7"/>
      <c r="AN1240" s="7"/>
      <c r="AO1240" s="7"/>
      <c r="AP1240" s="7"/>
    </row>
    <row r="1241" spans="1:44">
      <c r="A1241" s="305"/>
      <c r="B1241" s="305"/>
      <c r="C1241" s="999"/>
      <c r="D1241" s="126"/>
      <c r="E1241" s="1033"/>
      <c r="F1241" s="723"/>
      <c r="G1241" s="126"/>
      <c r="H1241" s="1033"/>
      <c r="I1241" s="723"/>
      <c r="J1241" s="723"/>
      <c r="K1241" s="126"/>
      <c r="L1241" s="1033"/>
      <c r="M1241" s="723"/>
      <c r="N1241" s="723"/>
      <c r="O1241" s="126"/>
      <c r="P1241" s="1033"/>
      <c r="Q1241" s="723"/>
      <c r="R1241" s="723"/>
      <c r="S1241" s="126"/>
      <c r="T1241" s="1033"/>
      <c r="U1241" s="723"/>
      <c r="V1241" s="540"/>
      <c r="W1241" s="540"/>
      <c r="X1241" s="540"/>
      <c r="Y1241" s="31"/>
      <c r="Z1241" s="7"/>
      <c r="AA1241" s="7"/>
      <c r="AB1241" s="7"/>
      <c r="AC1241" s="7"/>
      <c r="AD1241" s="7"/>
      <c r="AE1241" s="7"/>
      <c r="AF1241" s="7"/>
      <c r="AG1241" s="7"/>
      <c r="AH1241" s="7"/>
      <c r="AI1241" s="7"/>
      <c r="AJ1241" s="7"/>
      <c r="AK1241" s="7"/>
      <c r="AL1241" s="7"/>
      <c r="AM1241" s="7"/>
      <c r="AN1241" s="7"/>
      <c r="AO1241" s="7"/>
      <c r="AP1241" s="7"/>
    </row>
    <row r="1242" spans="1:44">
      <c r="A1242" s="305"/>
      <c r="B1242" s="305"/>
      <c r="C1242" s="999"/>
      <c r="D1242" s="126"/>
      <c r="E1242" s="1033"/>
      <c r="F1242" s="723"/>
      <c r="G1242" s="126"/>
      <c r="H1242" s="1033"/>
      <c r="I1242" s="723"/>
      <c r="J1242" s="723"/>
      <c r="K1242" s="126"/>
      <c r="L1242" s="1033"/>
      <c r="M1242" s="723"/>
      <c r="N1242" s="723"/>
      <c r="O1242" s="126"/>
      <c r="P1242" s="1033"/>
      <c r="Q1242" s="723"/>
      <c r="R1242" s="723"/>
      <c r="S1242" s="126"/>
      <c r="T1242" s="1033"/>
      <c r="U1242" s="723"/>
      <c r="V1242" s="342"/>
      <c r="W1242" s="342"/>
      <c r="X1242" s="342"/>
      <c r="Y1242" s="31"/>
      <c r="Z1242" s="7"/>
      <c r="AA1242" s="7"/>
      <c r="AB1242" s="7"/>
      <c r="AC1242" s="7"/>
      <c r="AD1242" s="7"/>
      <c r="AE1242" s="7"/>
      <c r="AF1242" s="7"/>
      <c r="AG1242" s="7"/>
      <c r="AH1242" s="7"/>
      <c r="AI1242" s="7"/>
      <c r="AJ1242" s="7"/>
      <c r="AK1242" s="7"/>
      <c r="AL1242" s="7"/>
      <c r="AM1242" s="7"/>
      <c r="AN1242" s="7"/>
      <c r="AO1242" s="7"/>
      <c r="AP1242" s="7"/>
    </row>
    <row r="1243" spans="1:44">
      <c r="A1243" s="305"/>
      <c r="B1243" s="305"/>
      <c r="C1243" s="999"/>
      <c r="D1243" s="126" t="s">
        <v>31</v>
      </c>
      <c r="E1243" s="1033"/>
      <c r="F1243" s="723"/>
      <c r="G1243" s="126" t="s">
        <v>31</v>
      </c>
      <c r="H1243" s="1033"/>
      <c r="I1243" s="723" t="s">
        <v>31</v>
      </c>
      <c r="J1243" s="723"/>
      <c r="K1243" s="126" t="s">
        <v>31</v>
      </c>
      <c r="L1243" s="1033"/>
      <c r="M1243" s="723" t="s">
        <v>31</v>
      </c>
      <c r="N1243" s="723"/>
      <c r="O1243" s="126" t="s">
        <v>31</v>
      </c>
      <c r="P1243" s="1033"/>
      <c r="Q1243" s="723" t="s">
        <v>31</v>
      </c>
      <c r="R1243" s="723"/>
      <c r="S1243" s="126" t="s">
        <v>31</v>
      </c>
      <c r="T1243" s="1033"/>
      <c r="U1243" s="723" t="s">
        <v>31</v>
      </c>
      <c r="V1243" s="7"/>
      <c r="W1243" s="31"/>
      <c r="X1243" s="31"/>
      <c r="Y1243" s="31"/>
      <c r="Z1243" s="7"/>
      <c r="AA1243" s="7"/>
      <c r="AB1243" s="7"/>
      <c r="AC1243" s="7"/>
      <c r="AD1243" s="7"/>
      <c r="AE1243" s="7"/>
      <c r="AF1243" s="7"/>
      <c r="AG1243" s="7"/>
      <c r="AH1243" s="7"/>
      <c r="AI1243" s="7"/>
      <c r="AJ1243" s="7"/>
      <c r="AK1243" s="7"/>
      <c r="AL1243" s="7"/>
      <c r="AM1243" s="7"/>
      <c r="AN1243" s="7"/>
      <c r="AO1243" s="7"/>
      <c r="AP1243" s="7"/>
    </row>
    <row r="1244" spans="1:44">
      <c r="A1244" s="305" t="s">
        <v>489</v>
      </c>
      <c r="B1244" s="305"/>
      <c r="C1244" s="305"/>
      <c r="D1244" s="305"/>
      <c r="E1244" s="305"/>
      <c r="F1244" s="305"/>
      <c r="G1244" s="305"/>
      <c r="H1244" s="305"/>
      <c r="I1244" s="305" t="s">
        <v>31</v>
      </c>
      <c r="J1244" s="305"/>
      <c r="K1244" s="305"/>
      <c r="L1244" s="305"/>
      <c r="M1244" s="305" t="s">
        <v>31</v>
      </c>
      <c r="N1244" s="305"/>
      <c r="O1244" s="305"/>
      <c r="P1244" s="305"/>
      <c r="Q1244" s="305" t="s">
        <v>31</v>
      </c>
      <c r="R1244" s="305"/>
      <c r="S1244" s="305"/>
      <c r="T1244" s="305"/>
      <c r="U1244" s="305" t="s">
        <v>31</v>
      </c>
      <c r="V1244" s="7"/>
      <c r="W1244" s="31"/>
      <c r="X1244" s="31"/>
      <c r="Y1244" s="31"/>
      <c r="Z1244" s="7"/>
      <c r="AA1244" s="7"/>
      <c r="AB1244" s="7"/>
      <c r="AC1244" s="7"/>
      <c r="AD1244" s="7"/>
      <c r="AE1244" s="7"/>
      <c r="AF1244" s="7"/>
      <c r="AG1244" s="7"/>
      <c r="AH1244" s="7"/>
      <c r="AI1244" s="7"/>
      <c r="AJ1244" s="7"/>
      <c r="AK1244" s="7"/>
      <c r="AL1244" s="7"/>
      <c r="AM1244" s="7"/>
      <c r="AN1244" s="7"/>
      <c r="AO1244" s="7"/>
      <c r="AP1244" s="7"/>
    </row>
    <row r="1245" spans="1:44">
      <c r="A1245" s="305" t="s">
        <v>185</v>
      </c>
      <c r="B1245" s="305"/>
      <c r="C1245" s="305"/>
      <c r="D1245" s="305"/>
      <c r="E1245" s="305"/>
      <c r="F1245" s="305"/>
      <c r="G1245" s="305"/>
      <c r="H1245" s="305"/>
      <c r="I1245" s="305"/>
      <c r="J1245" s="305"/>
      <c r="K1245" s="305"/>
      <c r="L1245" s="305"/>
      <c r="M1245" s="305"/>
      <c r="N1245" s="305"/>
      <c r="O1245" s="305"/>
      <c r="P1245" s="305"/>
      <c r="Q1245" s="305"/>
      <c r="R1245" s="305"/>
      <c r="S1245" s="305"/>
      <c r="T1245" s="305"/>
      <c r="U1245" s="305"/>
      <c r="V1245" s="7"/>
      <c r="W1245" s="31"/>
      <c r="X1245" s="31"/>
      <c r="Y1245" s="31"/>
      <c r="Z1245" s="7"/>
      <c r="AA1245" s="7"/>
      <c r="AB1245" s="7"/>
      <c r="AC1245" s="7"/>
      <c r="AD1245" s="7"/>
      <c r="AE1245" s="7"/>
      <c r="AF1245" s="7"/>
      <c r="AG1245" s="7"/>
      <c r="AH1245" s="7"/>
      <c r="AI1245" s="7"/>
      <c r="AJ1245" s="7"/>
      <c r="AK1245" s="7"/>
      <c r="AL1245" s="7"/>
      <c r="AM1245" s="7"/>
      <c r="AN1245" s="7"/>
      <c r="AO1245" s="7"/>
      <c r="AP1245" s="7"/>
    </row>
    <row r="1246" spans="1:44">
      <c r="A1246" s="305"/>
      <c r="B1246" s="305"/>
      <c r="C1246" s="305"/>
      <c r="D1246" s="305"/>
      <c r="E1246" s="305"/>
      <c r="F1246" s="305"/>
      <c r="G1246" s="305"/>
      <c r="H1246" s="305"/>
      <c r="I1246" s="305"/>
      <c r="J1246" s="305"/>
      <c r="K1246" s="305"/>
      <c r="L1246" s="305"/>
      <c r="M1246" s="305"/>
      <c r="N1246" s="305"/>
      <c r="O1246" s="305"/>
      <c r="P1246" s="305"/>
      <c r="Q1246" s="305"/>
      <c r="R1246" s="305"/>
      <c r="S1246" s="305"/>
      <c r="T1246" s="305"/>
      <c r="U1246" s="305"/>
      <c r="V1246" s="7"/>
      <c r="W1246" s="31"/>
      <c r="X1246" s="31"/>
      <c r="Y1246" s="31"/>
      <c r="Z1246" s="7"/>
      <c r="AA1246" s="7"/>
      <c r="AB1246" s="7"/>
      <c r="AC1246" s="7"/>
      <c r="AD1246" s="7"/>
      <c r="AE1246" s="7"/>
      <c r="AF1246" s="7"/>
      <c r="AG1246" s="7"/>
      <c r="AH1246" s="7"/>
      <c r="AI1246" s="7"/>
      <c r="AJ1246" s="7"/>
      <c r="AK1246" s="7"/>
      <c r="AL1246" s="7"/>
      <c r="AM1246" s="7"/>
      <c r="AN1246" s="7"/>
      <c r="AO1246" s="7"/>
      <c r="AP1246" s="7"/>
    </row>
    <row r="1247" spans="1:44">
      <c r="A1247" s="305" t="s">
        <v>490</v>
      </c>
      <c r="B1247" s="305"/>
      <c r="C1247" s="61">
        <v>144</v>
      </c>
      <c r="D1247" s="448">
        <v>3.9</v>
      </c>
      <c r="E1247" s="305"/>
      <c r="F1247" s="490">
        <f>ROUND(C1247*D1247,0)</f>
        <v>562</v>
      </c>
      <c r="G1247" s="448">
        <v>3.8</v>
      </c>
      <c r="H1247" s="305"/>
      <c r="I1247" s="490">
        <f>ROUND(G1247*$C1247,0)</f>
        <v>547</v>
      </c>
      <c r="J1247" s="490"/>
      <c r="K1247" s="448" t="e">
        <f>#REF!</f>
        <v>#REF!</v>
      </c>
      <c r="L1247" s="305"/>
      <c r="M1247" s="490" t="e">
        <f>#REF!</f>
        <v>#REF!</v>
      </c>
      <c r="N1247" s="490"/>
      <c r="O1247" s="448" t="e">
        <f>#REF!</f>
        <v>#REF!</v>
      </c>
      <c r="P1247" s="305"/>
      <c r="Q1247" s="490" t="e">
        <f>#REF!</f>
        <v>#REF!</v>
      </c>
      <c r="R1247" s="490"/>
      <c r="S1247" s="448" t="e">
        <f>#REF!</f>
        <v>#REF!</v>
      </c>
      <c r="T1247" s="305"/>
      <c r="U1247" s="490" t="e">
        <f>#REF!</f>
        <v>#REF!</v>
      </c>
      <c r="V1247" s="7"/>
      <c r="W1247" s="1081"/>
      <c r="X1247" s="1081"/>
      <c r="Y1247" s="1081"/>
      <c r="Z1247" s="7"/>
      <c r="AA1247" s="7"/>
      <c r="AB1247" s="7"/>
      <c r="AC1247" s="7"/>
      <c r="AD1247" s="7"/>
      <c r="AE1247" s="7"/>
      <c r="AF1247" s="7"/>
      <c r="AG1247" s="7"/>
      <c r="AH1247" s="7"/>
      <c r="AI1247" s="7"/>
      <c r="AJ1247" s="7"/>
      <c r="AK1247" s="7"/>
      <c r="AL1247" s="7"/>
      <c r="AM1247" s="7"/>
      <c r="AN1247" s="7"/>
      <c r="AO1247" s="7"/>
      <c r="AP1247" s="7"/>
    </row>
    <row r="1248" spans="1:44">
      <c r="A1248" s="305" t="s">
        <v>491</v>
      </c>
      <c r="B1248" s="305"/>
      <c r="C1248" s="61">
        <v>180</v>
      </c>
      <c r="D1248" s="448">
        <v>7</v>
      </c>
      <c r="E1248" s="305"/>
      <c r="F1248" s="490">
        <f>ROUND(C1248*D1248,0)</f>
        <v>1260</v>
      </c>
      <c r="G1248" s="448">
        <v>6.85</v>
      </c>
      <c r="H1248" s="305"/>
      <c r="I1248" s="490">
        <f>ROUND(G1248*$C1248,0)</f>
        <v>1233</v>
      </c>
      <c r="J1248" s="490"/>
      <c r="K1248" s="448" t="e">
        <f>#REF!</f>
        <v>#REF!</v>
      </c>
      <c r="L1248" s="305"/>
      <c r="M1248" s="490" t="e">
        <f>#REF!</f>
        <v>#REF!</v>
      </c>
      <c r="N1248" s="490"/>
      <c r="O1248" s="448" t="e">
        <f>#REF!</f>
        <v>#REF!</v>
      </c>
      <c r="P1248" s="305"/>
      <c r="Q1248" s="490" t="e">
        <f>#REF!</f>
        <v>#REF!</v>
      </c>
      <c r="R1248" s="490"/>
      <c r="S1248" s="448" t="e">
        <f>#REF!</f>
        <v>#REF!</v>
      </c>
      <c r="T1248" s="305"/>
      <c r="U1248" s="490" t="e">
        <f>#REF!</f>
        <v>#REF!</v>
      </c>
      <c r="V1248" s="7"/>
      <c r="W1248" s="1081"/>
      <c r="X1248" s="1081"/>
      <c r="Y1248" s="1081"/>
      <c r="Z1248" s="7"/>
      <c r="AA1248" s="7"/>
      <c r="AB1248" s="7"/>
      <c r="AC1248" s="7"/>
      <c r="AD1248" s="7"/>
      <c r="AE1248" s="7"/>
      <c r="AF1248" s="7"/>
      <c r="AG1248" s="7"/>
      <c r="AH1248" s="7"/>
      <c r="AI1248" s="7"/>
      <c r="AJ1248" s="7"/>
      <c r="AK1248" s="7"/>
      <c r="AL1248" s="7"/>
      <c r="AM1248" s="7"/>
      <c r="AN1248" s="7"/>
      <c r="AO1248" s="7"/>
      <c r="AP1248" s="7"/>
    </row>
    <row r="1249" spans="1:44">
      <c r="A1249" s="305" t="s">
        <v>492</v>
      </c>
      <c r="B1249" s="305"/>
      <c r="C1249" s="61">
        <f>SUM(C1247:C1248)</f>
        <v>324</v>
      </c>
      <c r="D1249" s="1006"/>
      <c r="E1249" s="305"/>
      <c r="F1249" s="1076"/>
      <c r="G1249" s="1006"/>
      <c r="H1249" s="305"/>
      <c r="I1249" s="490"/>
      <c r="J1249" s="490"/>
      <c r="K1249" s="1006"/>
      <c r="L1249" s="305"/>
      <c r="M1249" s="490"/>
      <c r="N1249" s="490"/>
      <c r="O1249" s="1006"/>
      <c r="P1249" s="305"/>
      <c r="Q1249" s="490"/>
      <c r="R1249" s="490"/>
      <c r="S1249" s="1006"/>
      <c r="T1249" s="305"/>
      <c r="U1249" s="490"/>
      <c r="V1249" s="7"/>
      <c r="W1249" s="1081"/>
      <c r="X1249" s="1081"/>
      <c r="Y1249" s="1081"/>
      <c r="Z1249" s="7"/>
      <c r="AA1249" s="7"/>
      <c r="AB1249" s="7"/>
      <c r="AC1249" s="7"/>
      <c r="AD1249" s="7"/>
      <c r="AE1249" s="7"/>
      <c r="AF1249" s="7"/>
      <c r="AG1249" s="7"/>
      <c r="AH1249" s="7"/>
      <c r="AI1249" s="7"/>
      <c r="AJ1249" s="7"/>
      <c r="AK1249" s="7"/>
      <c r="AL1249" s="7"/>
      <c r="AM1249" s="7"/>
      <c r="AN1249" s="7"/>
      <c r="AO1249" s="7"/>
      <c r="AP1249" s="7"/>
    </row>
    <row r="1250" spans="1:44">
      <c r="A1250" s="305" t="s">
        <v>452</v>
      </c>
      <c r="B1250" s="305"/>
      <c r="C1250" s="61">
        <v>282712</v>
      </c>
      <c r="D1250" s="1042">
        <v>8.5820000000000007</v>
      </c>
      <c r="E1250" s="490" t="s">
        <v>362</v>
      </c>
      <c r="F1250" s="1076">
        <f>ROUND(D1250*C1250/100,0)</f>
        <v>24262</v>
      </c>
      <c r="G1250" s="1042">
        <v>8.391</v>
      </c>
      <c r="H1250" s="490" t="s">
        <v>362</v>
      </c>
      <c r="I1250" s="490">
        <f>ROUND(G1250*$C1250/100,0)</f>
        <v>23722</v>
      </c>
      <c r="J1250" s="490"/>
      <c r="K1250" s="1042" t="e">
        <f>#REF!</f>
        <v>#REF!</v>
      </c>
      <c r="L1250" s="490" t="s">
        <v>362</v>
      </c>
      <c r="M1250" s="490" t="e">
        <f>#REF!</f>
        <v>#REF!</v>
      </c>
      <c r="N1250" s="490"/>
      <c r="O1250" s="1042" t="e">
        <f>#REF!</f>
        <v>#REF!</v>
      </c>
      <c r="P1250" s="490" t="s">
        <v>362</v>
      </c>
      <c r="Q1250" s="490" t="e">
        <f>#REF!</f>
        <v>#REF!</v>
      </c>
      <c r="R1250" s="490"/>
      <c r="S1250" s="1042" t="e">
        <f>#REF!</f>
        <v>#REF!</v>
      </c>
      <c r="T1250" s="490" t="s">
        <v>362</v>
      </c>
      <c r="U1250" s="490" t="e">
        <f>#REF!</f>
        <v>#REF!</v>
      </c>
      <c r="V1250" s="7"/>
      <c r="W1250" s="1081"/>
      <c r="X1250" s="1081"/>
      <c r="Y1250" s="1081"/>
      <c r="Z1250" s="7"/>
      <c r="AA1250" s="7"/>
      <c r="AB1250" s="7"/>
      <c r="AC1250" s="7"/>
      <c r="AD1250" s="7"/>
      <c r="AE1250" s="7"/>
      <c r="AF1250" s="7"/>
      <c r="AG1250" s="7"/>
      <c r="AH1250" s="7"/>
      <c r="AI1250" s="7"/>
      <c r="AJ1250" s="7"/>
      <c r="AK1250" s="7"/>
      <c r="AL1250" s="7"/>
      <c r="AM1250" s="7"/>
      <c r="AN1250" s="7"/>
      <c r="AO1250" s="7"/>
      <c r="AP1250" s="7"/>
    </row>
    <row r="1251" spans="1:44" s="588" customFormat="1" hidden="1">
      <c r="A1251" s="588" t="s">
        <v>774</v>
      </c>
      <c r="C1251" s="631">
        <f>C1253</f>
        <v>282712</v>
      </c>
      <c r="D1251" s="987">
        <v>0</v>
      </c>
      <c r="E1251" s="490" t="s">
        <v>362</v>
      </c>
      <c r="F1251" s="616"/>
      <c r="G1251" s="987">
        <v>0</v>
      </c>
      <c r="H1251" s="616" t="s">
        <v>362</v>
      </c>
      <c r="I1251" s="616">
        <f>ROUND(G1251*$C1251/100,0)</f>
        <v>0</v>
      </c>
      <c r="J1251" s="616"/>
      <c r="K1251" s="987" t="e">
        <f>#REF!</f>
        <v>#REF!</v>
      </c>
      <c r="L1251" s="592" t="s">
        <v>31</v>
      </c>
      <c r="M1251" s="490" t="e">
        <f>#REF!</f>
        <v>#REF!</v>
      </c>
      <c r="N1251" s="616"/>
      <c r="O1251" s="987" t="e">
        <f>#REF!</f>
        <v>#REF!</v>
      </c>
      <c r="P1251" s="592" t="s">
        <v>31</v>
      </c>
      <c r="Q1251" s="490" t="e">
        <f>#REF!</f>
        <v>#REF!</v>
      </c>
      <c r="R1251" s="616"/>
      <c r="S1251" s="987" t="e">
        <f>#REF!</f>
        <v>#REF!</v>
      </c>
      <c r="T1251" s="592" t="s">
        <v>362</v>
      </c>
      <c r="U1251" s="490" t="e">
        <f>#REF!</f>
        <v>#REF!</v>
      </c>
      <c r="V1251" s="988" t="e">
        <f>#REF!</f>
        <v>#REF!</v>
      </c>
      <c r="W1251" s="450" t="s">
        <v>752</v>
      </c>
      <c r="Z1251" s="989"/>
      <c r="AA1251" s="989"/>
      <c r="AF1251" s="635"/>
      <c r="AG1251" s="635"/>
      <c r="AH1251" s="635"/>
      <c r="AI1251" s="635"/>
      <c r="AJ1251" s="635"/>
      <c r="AK1251" s="635"/>
      <c r="AL1251" s="635"/>
      <c r="AM1251" s="635"/>
      <c r="AN1251" s="635"/>
      <c r="AO1251" s="635"/>
      <c r="AP1251" s="635"/>
      <c r="AR1251" s="988"/>
    </row>
    <row r="1252" spans="1:44" s="588" customFormat="1" hidden="1">
      <c r="A1252" s="588" t="s">
        <v>761</v>
      </c>
      <c r="C1252" s="631"/>
      <c r="D1252" s="1042">
        <f>D1250</f>
        <v>8.5820000000000007</v>
      </c>
      <c r="E1252" s="616" t="s">
        <v>362</v>
      </c>
      <c r="F1252" s="616"/>
      <c r="G1252" s="1042">
        <f>D1252</f>
        <v>8.5820000000000007</v>
      </c>
      <c r="H1252" s="616" t="s">
        <v>362</v>
      </c>
      <c r="I1252" s="616"/>
      <c r="J1252" s="616"/>
      <c r="K1252" s="1042" t="e">
        <f>K1250+K1251</f>
        <v>#REF!</v>
      </c>
      <c r="L1252" s="616" t="s">
        <v>362</v>
      </c>
      <c r="M1252" s="616"/>
      <c r="N1252" s="616"/>
      <c r="O1252" s="1042" t="e">
        <f>O1250+O1251</f>
        <v>#REF!</v>
      </c>
      <c r="P1252" s="616" t="s">
        <v>362</v>
      </c>
      <c r="Q1252" s="616"/>
      <c r="R1252" s="616"/>
      <c r="S1252" s="1042" t="e">
        <f>S1250+S1251</f>
        <v>#REF!</v>
      </c>
      <c r="T1252" s="616" t="s">
        <v>362</v>
      </c>
      <c r="U1252" s="616"/>
      <c r="V1252" s="988"/>
      <c r="W1252" s="450"/>
      <c r="X1252" s="1049"/>
      <c r="Z1252" s="989"/>
      <c r="AA1252" s="989"/>
      <c r="AF1252" s="635"/>
      <c r="AG1252" s="635"/>
      <c r="AH1252" s="635"/>
      <c r="AI1252" s="635"/>
      <c r="AJ1252" s="635"/>
      <c r="AK1252" s="635"/>
      <c r="AL1252" s="635"/>
      <c r="AM1252" s="635"/>
      <c r="AN1252" s="635"/>
      <c r="AO1252" s="635"/>
      <c r="AP1252" s="635"/>
      <c r="AR1252" s="988"/>
    </row>
    <row r="1253" spans="1:44">
      <c r="A1253" s="305" t="s">
        <v>369</v>
      </c>
      <c r="B1253" s="305"/>
      <c r="C1253" s="61">
        <f>SUM(C1250)</f>
        <v>282712</v>
      </c>
      <c r="D1253" s="61"/>
      <c r="E1253" s="490"/>
      <c r="F1253" s="1076">
        <f>SUM(F1247:F1250)</f>
        <v>26084</v>
      </c>
      <c r="G1253" s="61"/>
      <c r="H1253" s="490"/>
      <c r="I1253" s="1076">
        <f>SUM(I1247:I1252)</f>
        <v>25502</v>
      </c>
      <c r="J1253" s="1076"/>
      <c r="K1253" s="61"/>
      <c r="L1253" s="490"/>
      <c r="M1253" s="1076" t="e">
        <f>SUM(M1247:M1252)</f>
        <v>#REF!</v>
      </c>
      <c r="N1253" s="1076"/>
      <c r="O1253" s="61"/>
      <c r="P1253" s="490"/>
      <c r="Q1253" s="1076" t="e">
        <f>SUM(Q1247:Q1252)</f>
        <v>#REF!</v>
      </c>
      <c r="R1253" s="1076"/>
      <c r="S1253" s="61"/>
      <c r="T1253" s="490"/>
      <c r="U1253" s="1076" t="e">
        <f>SUM(U1247:U1252)</f>
        <v>#REF!</v>
      </c>
      <c r="V1253" s="7"/>
      <c r="W1253" s="31"/>
      <c r="X1253" s="31"/>
      <c r="Y1253" s="31"/>
      <c r="Z1253" s="7"/>
      <c r="AA1253" s="7"/>
      <c r="AB1253" s="7"/>
      <c r="AC1253" s="7"/>
      <c r="AD1253" s="7"/>
      <c r="AE1253" s="7"/>
      <c r="AF1253" s="7"/>
      <c r="AG1253" s="7"/>
      <c r="AH1253" s="7"/>
      <c r="AI1253" s="7"/>
      <c r="AJ1253" s="7"/>
      <c r="AK1253" s="7"/>
      <c r="AL1253" s="7"/>
      <c r="AM1253" s="7"/>
      <c r="AN1253" s="7"/>
      <c r="AO1253" s="7"/>
      <c r="AP1253" s="7"/>
    </row>
    <row r="1254" spans="1:44">
      <c r="A1254" s="305" t="s">
        <v>351</v>
      </c>
      <c r="B1254" s="305"/>
      <c r="C1254" s="1017">
        <f>'Table 2'!H53</f>
        <v>2569.407589389054</v>
      </c>
      <c r="D1254" s="1033"/>
      <c r="E1254" s="1033"/>
      <c r="F1254" s="1082">
        <f>'Table 3'!E53</f>
        <v>344.89560655615463</v>
      </c>
      <c r="G1254" s="1033"/>
      <c r="H1254" s="1033"/>
      <c r="I1254" s="1082">
        <f>F1254</f>
        <v>344.89560655615463</v>
      </c>
      <c r="J1254" s="1083"/>
      <c r="K1254" s="1033"/>
      <c r="L1254" s="1033"/>
      <c r="M1254" s="1082" t="e">
        <f>$I$1254*V1258/($V$1258+$W$1258+$X$1258)</f>
        <v>#DIV/0!</v>
      </c>
      <c r="N1254" s="723"/>
      <c r="O1254" s="305"/>
      <c r="P1254" s="305"/>
      <c r="Q1254" s="1082" t="e">
        <f>$I$1254*W1258/($V$1258+$W$1258+$X$1258)</f>
        <v>#DIV/0!</v>
      </c>
      <c r="R1254" s="723"/>
      <c r="S1254" s="305"/>
      <c r="T1254" s="305"/>
      <c r="U1254" s="1082" t="e">
        <f>$I$1254*X1258/($V$1258+$W$1258+$X$1258)</f>
        <v>#DIV/0!</v>
      </c>
      <c r="V1254" s="1044"/>
      <c r="W1254" s="174"/>
      <c r="X1254" s="31"/>
      <c r="Y1254" s="31"/>
      <c r="Z1254" s="7"/>
      <c r="AA1254" s="7"/>
      <c r="AB1254" s="7"/>
      <c r="AC1254" s="7"/>
      <c r="AD1254" s="7"/>
      <c r="AE1254" s="7"/>
      <c r="AF1254" s="7"/>
      <c r="AG1254" s="7"/>
      <c r="AH1254" s="7"/>
      <c r="AI1254" s="7"/>
      <c r="AJ1254" s="7"/>
      <c r="AK1254" s="7"/>
      <c r="AL1254" s="7"/>
      <c r="AM1254" s="7"/>
      <c r="AN1254" s="7"/>
      <c r="AO1254" s="7"/>
      <c r="AP1254" s="7"/>
    </row>
    <row r="1255" spans="1:44" ht="16.5" thickBot="1">
      <c r="A1255" s="305" t="s">
        <v>370</v>
      </c>
      <c r="B1255" s="305"/>
      <c r="C1255" s="1012">
        <f>C1253+C1254</f>
        <v>285281.40758938907</v>
      </c>
      <c r="D1255" s="1030"/>
      <c r="E1255" s="1030"/>
      <c r="F1255" s="995">
        <f>F1253+F1254</f>
        <v>26428.895606556154</v>
      </c>
      <c r="G1255" s="1030"/>
      <c r="H1255" s="1030"/>
      <c r="I1255" s="995">
        <f>I1253+I1254</f>
        <v>25846.895606556154</v>
      </c>
      <c r="J1255" s="995"/>
      <c r="K1255" s="1030"/>
      <c r="L1255" s="1030"/>
      <c r="M1255" s="995" t="e">
        <f>M1253+M1254</f>
        <v>#REF!</v>
      </c>
      <c r="N1255" s="995"/>
      <c r="O1255" s="1030"/>
      <c r="P1255" s="1030"/>
      <c r="Q1255" s="995" t="e">
        <f>Q1253+Q1254</f>
        <v>#REF!</v>
      </c>
      <c r="R1255" s="995"/>
      <c r="S1255" s="1030"/>
      <c r="T1255" s="1030"/>
      <c r="U1255" s="995" t="e">
        <f>U1253+U1254</f>
        <v>#REF!</v>
      </c>
      <c r="V1255" s="440" t="s">
        <v>397</v>
      </c>
      <c r="W1255" s="997">
        <f ca="1">'Rate Spread targets'!Q31*1000</f>
        <v>26879.228085598075</v>
      </c>
      <c r="X1255" s="998">
        <f>(I1255-F1255)/F1255</f>
        <v>-2.202135150345157E-2</v>
      </c>
      <c r="Y1255" s="31"/>
      <c r="Z1255" s="7"/>
      <c r="AA1255" s="7"/>
      <c r="AB1255" s="7"/>
      <c r="AC1255" s="7"/>
      <c r="AD1255" s="7"/>
      <c r="AE1255" s="7"/>
      <c r="AF1255" s="7"/>
      <c r="AG1255" s="7"/>
      <c r="AH1255" s="7"/>
      <c r="AI1255" s="7"/>
      <c r="AJ1255" s="7"/>
      <c r="AK1255" s="7"/>
      <c r="AL1255" s="7"/>
      <c r="AM1255" s="7"/>
      <c r="AN1255" s="7"/>
      <c r="AO1255" s="7"/>
      <c r="AP1255" s="7"/>
    </row>
    <row r="1256" spans="1:44" ht="16.5" thickTop="1">
      <c r="A1256" s="305"/>
      <c r="B1256" s="1016"/>
      <c r="C1256" s="305"/>
      <c r="D1256" s="305" t="s">
        <v>31</v>
      </c>
      <c r="E1256" s="305"/>
      <c r="F1256" s="305"/>
      <c r="G1256" s="305" t="s">
        <v>31</v>
      </c>
      <c r="H1256" s="305"/>
      <c r="I1256" s="490" t="s">
        <v>31</v>
      </c>
      <c r="J1256" s="490"/>
      <c r="K1256" s="305" t="s">
        <v>31</v>
      </c>
      <c r="L1256" s="305"/>
      <c r="M1256" s="490" t="s">
        <v>31</v>
      </c>
      <c r="N1256" s="490"/>
      <c r="O1256" s="305" t="s">
        <v>31</v>
      </c>
      <c r="P1256" s="305"/>
      <c r="Q1256" s="490" t="s">
        <v>31</v>
      </c>
      <c r="R1256" s="490"/>
      <c r="S1256" s="305" t="s">
        <v>31</v>
      </c>
      <c r="T1256" s="305"/>
      <c r="U1256" s="490" t="s">
        <v>31</v>
      </c>
      <c r="V1256" s="441" t="s">
        <v>256</v>
      </c>
      <c r="W1256" s="1001">
        <f ca="1">W1255-I1255</f>
        <v>1032.332479041921</v>
      </c>
      <c r="X1256" s="1045" t="s">
        <v>31</v>
      </c>
      <c r="Y1256" s="1003"/>
      <c r="Z1256" s="7"/>
      <c r="AA1256" s="7"/>
      <c r="AB1256" s="7"/>
      <c r="AC1256" s="7"/>
      <c r="AD1256" s="7"/>
      <c r="AE1256" s="7"/>
      <c r="AF1256" s="7"/>
      <c r="AG1256" s="7"/>
      <c r="AH1256" s="7"/>
      <c r="AI1256" s="7"/>
      <c r="AJ1256" s="7"/>
      <c r="AK1256" s="7"/>
      <c r="AL1256" s="7"/>
      <c r="AM1256" s="7"/>
      <c r="AN1256" s="7"/>
      <c r="AO1256" s="7"/>
      <c r="AP1256" s="7"/>
    </row>
    <row r="1257" spans="1:44">
      <c r="A1257" s="305"/>
      <c r="B1257" s="1016"/>
      <c r="C1257" s="305"/>
      <c r="D1257" s="305"/>
      <c r="E1257" s="305"/>
      <c r="F1257" s="305"/>
      <c r="G1257" s="305"/>
      <c r="H1257" s="305"/>
      <c r="I1257" s="490"/>
      <c r="J1257" s="490"/>
      <c r="K1257" s="305"/>
      <c r="L1257" s="305"/>
      <c r="M1257" s="490"/>
      <c r="N1257" s="490"/>
      <c r="O1257" s="305"/>
      <c r="P1257" s="305"/>
      <c r="Q1257" s="490"/>
      <c r="R1257" s="490"/>
      <c r="S1257" s="305"/>
      <c r="T1257" s="305"/>
      <c r="U1257" s="490"/>
      <c r="V1257" s="540"/>
      <c r="W1257" s="540"/>
      <c r="X1257" s="540"/>
      <c r="Y1257" s="1003"/>
      <c r="Z1257" s="7"/>
      <c r="AA1257" s="7"/>
      <c r="AB1257" s="7"/>
      <c r="AC1257" s="7"/>
      <c r="AD1257" s="7"/>
      <c r="AE1257" s="7"/>
      <c r="AF1257" s="7"/>
      <c r="AG1257" s="7"/>
      <c r="AH1257" s="7"/>
      <c r="AI1257" s="7"/>
      <c r="AJ1257" s="7"/>
      <c r="AK1257" s="7"/>
      <c r="AL1257" s="7"/>
      <c r="AM1257" s="7"/>
      <c r="AN1257" s="7"/>
      <c r="AO1257" s="7"/>
      <c r="AP1257" s="7"/>
    </row>
    <row r="1258" spans="1:44">
      <c r="A1258" s="305"/>
      <c r="B1258" s="1016"/>
      <c r="C1258" s="305"/>
      <c r="D1258" s="305"/>
      <c r="E1258" s="305"/>
      <c r="F1258" s="305"/>
      <c r="G1258" s="305"/>
      <c r="H1258" s="305"/>
      <c r="I1258" s="490"/>
      <c r="J1258" s="490"/>
      <c r="K1258" s="305"/>
      <c r="L1258" s="305"/>
      <c r="M1258" s="490"/>
      <c r="N1258" s="490"/>
      <c r="O1258" s="305"/>
      <c r="P1258" s="305"/>
      <c r="Q1258" s="490"/>
      <c r="R1258" s="490"/>
      <c r="S1258" s="305"/>
      <c r="T1258" s="305"/>
      <c r="U1258" s="490"/>
      <c r="V1258" s="342"/>
      <c r="W1258" s="342"/>
      <c r="X1258" s="342"/>
      <c r="Y1258" s="1003"/>
      <c r="Z1258" s="7"/>
      <c r="AA1258" s="7"/>
      <c r="AB1258" s="7"/>
      <c r="AC1258" s="7"/>
      <c r="AD1258" s="7"/>
      <c r="AE1258" s="7"/>
      <c r="AF1258" s="7"/>
      <c r="AG1258" s="7"/>
      <c r="AH1258" s="7"/>
      <c r="AI1258" s="7"/>
      <c r="AJ1258" s="7"/>
      <c r="AK1258" s="7"/>
      <c r="AL1258" s="7"/>
      <c r="AM1258" s="7"/>
      <c r="AN1258" s="7"/>
      <c r="AO1258" s="7"/>
      <c r="AP1258" s="7"/>
    </row>
    <row r="1259" spans="1:44">
      <c r="A1259" s="4" t="s">
        <v>493</v>
      </c>
      <c r="V1259" s="7"/>
      <c r="W1259" s="31"/>
      <c r="X1259" s="31"/>
      <c r="Y1259" s="31"/>
      <c r="Z1259" s="7"/>
      <c r="AA1259" s="7"/>
      <c r="AB1259" s="7"/>
      <c r="AC1259" s="7"/>
      <c r="AD1259" s="7"/>
      <c r="AE1259" s="7"/>
      <c r="AF1259" s="7"/>
      <c r="AG1259" s="7"/>
      <c r="AH1259" s="7"/>
      <c r="AI1259" s="7"/>
      <c r="AJ1259" s="7"/>
      <c r="AK1259" s="7"/>
      <c r="AL1259" s="7"/>
      <c r="AM1259" s="7"/>
      <c r="AN1259" s="7"/>
      <c r="AO1259" s="7"/>
      <c r="AP1259" s="7"/>
    </row>
    <row r="1260" spans="1:44">
      <c r="A1260" s="4" t="s">
        <v>494</v>
      </c>
      <c r="V1260" s="162"/>
      <c r="W1260" s="162"/>
      <c r="X1260" s="162"/>
      <c r="Y1260" s="162"/>
      <c r="Z1260" s="162"/>
      <c r="AA1260" s="162"/>
      <c r="AB1260" s="162"/>
      <c r="AC1260" s="162"/>
      <c r="AD1260" s="162"/>
      <c r="AE1260" s="162"/>
      <c r="AF1260" s="162"/>
      <c r="AG1260" s="162"/>
      <c r="AH1260" s="162"/>
      <c r="AI1260" s="162"/>
      <c r="AJ1260" s="162"/>
      <c r="AK1260" s="162"/>
      <c r="AL1260" s="7"/>
      <c r="AM1260" s="7"/>
      <c r="AN1260" s="7"/>
      <c r="AO1260" s="7"/>
      <c r="AP1260" s="7"/>
    </row>
    <row r="1261" spans="1:44">
      <c r="A1261" s="5" t="s">
        <v>495</v>
      </c>
      <c r="V1261" s="162"/>
      <c r="W1261" s="162"/>
      <c r="X1261" s="162"/>
      <c r="Y1261" s="162"/>
      <c r="Z1261" s="162"/>
      <c r="AA1261" s="162"/>
      <c r="AB1261" s="162"/>
      <c r="AC1261" s="162"/>
      <c r="AD1261" s="162"/>
      <c r="AE1261" s="162"/>
      <c r="AF1261" s="162"/>
      <c r="AG1261" s="162"/>
      <c r="AH1261" s="162"/>
      <c r="AI1261" s="162"/>
      <c r="AJ1261" s="162"/>
      <c r="AK1261" s="162"/>
      <c r="AL1261" s="7"/>
      <c r="AM1261" s="7"/>
      <c r="AN1261" s="7"/>
      <c r="AO1261" s="7"/>
      <c r="AP1261" s="7"/>
    </row>
    <row r="1262" spans="1:44">
      <c r="A1262" s="4" t="s">
        <v>496</v>
      </c>
      <c r="F1262" s="490"/>
      <c r="V1262" s="162"/>
      <c r="W1262" s="162"/>
      <c r="X1262" s="31"/>
      <c r="Y1262" s="31"/>
      <c r="Z1262" s="163"/>
      <c r="AA1262" s="163"/>
      <c r="AB1262" s="164"/>
      <c r="AC1262" s="164"/>
      <c r="AD1262" s="164"/>
      <c r="AE1262" s="164"/>
      <c r="AF1262" s="315"/>
      <c r="AG1262" s="166"/>
      <c r="AH1262" s="162"/>
      <c r="AI1262" s="162"/>
      <c r="AJ1262" s="162"/>
      <c r="AK1262" s="162"/>
      <c r="AL1262" s="7"/>
      <c r="AM1262" s="7"/>
      <c r="AN1262" s="7"/>
      <c r="AO1262" s="7"/>
      <c r="AP1262" s="7"/>
    </row>
    <row r="1263" spans="1:44">
      <c r="A1263" s="4" t="s">
        <v>342</v>
      </c>
      <c r="C1263" s="419">
        <v>11337.526455606199</v>
      </c>
      <c r="D1263" s="1074">
        <v>10.29</v>
      </c>
      <c r="F1263" s="490">
        <f>ROUND(C1263*D1263,0)</f>
        <v>116663</v>
      </c>
      <c r="G1263" s="983">
        <f>ROUND(D1263+(D1263*$X$1267),2)</f>
        <v>10.29</v>
      </c>
      <c r="I1263" s="490">
        <f>ROUND(G1263*$C1263,0)</f>
        <v>116663</v>
      </c>
      <c r="J1263" s="490"/>
      <c r="K1263" s="983" t="e">
        <f>#REF!</f>
        <v>#REF!</v>
      </c>
      <c r="M1263" s="490" t="e">
        <f>#REF!</f>
        <v>#REF!</v>
      </c>
      <c r="N1263" s="490"/>
      <c r="O1263" s="983" t="e">
        <f>#REF!</f>
        <v>#REF!</v>
      </c>
      <c r="Q1263" s="490" t="e">
        <f>#REF!</f>
        <v>#REF!</v>
      </c>
      <c r="R1263" s="490"/>
      <c r="S1263" s="983" t="e">
        <f>#REF!</f>
        <v>#REF!</v>
      </c>
      <c r="U1263" s="490" t="e">
        <f>#REF!</f>
        <v>#REF!</v>
      </c>
      <c r="V1263" s="7"/>
      <c r="W1263" s="165"/>
      <c r="X1263" s="31"/>
      <c r="Y1263" s="31"/>
      <c r="Z1263" s="287"/>
      <c r="AA1263" s="287"/>
      <c r="AB1263" s="167"/>
      <c r="AC1263" s="167"/>
      <c r="AD1263" s="167"/>
      <c r="AE1263" s="167"/>
      <c r="AF1263" s="168"/>
      <c r="AG1263" s="162"/>
      <c r="AH1263" s="165"/>
      <c r="AI1263" s="165"/>
      <c r="AJ1263" s="7"/>
      <c r="AK1263" s="165"/>
      <c r="AL1263" s="7"/>
      <c r="AM1263" s="7"/>
      <c r="AN1263" s="7"/>
      <c r="AO1263" s="7"/>
      <c r="AP1263" s="7"/>
    </row>
    <row r="1264" spans="1:44">
      <c r="A1264" s="4" t="s">
        <v>343</v>
      </c>
      <c r="C1264" s="419">
        <v>922.24583777958799</v>
      </c>
      <c r="D1264" s="1074">
        <v>18.829999999999998</v>
      </c>
      <c r="F1264" s="490">
        <f>ROUND(C1264*D1264,0)</f>
        <v>17366</v>
      </c>
      <c r="G1264" s="983">
        <f t="shared" ref="G1264:G1268" si="196">ROUND(D1264+(D1264*$X$1267),2)</f>
        <v>18.829999999999998</v>
      </c>
      <c r="I1264" s="490">
        <f>ROUND(G1264*$C1264,0)</f>
        <v>17366</v>
      </c>
      <c r="J1264" s="490"/>
      <c r="K1264" s="983" t="e">
        <f>#REF!</f>
        <v>#REF!</v>
      </c>
      <c r="M1264" s="490" t="e">
        <f>#REF!</f>
        <v>#REF!</v>
      </c>
      <c r="N1264" s="490"/>
      <c r="O1264" s="983" t="e">
        <f>#REF!</f>
        <v>#REF!</v>
      </c>
      <c r="Q1264" s="490" t="e">
        <f>#REF!</f>
        <v>#REF!</v>
      </c>
      <c r="R1264" s="490"/>
      <c r="S1264" s="983" t="e">
        <f>#REF!</f>
        <v>#REF!</v>
      </c>
      <c r="U1264" s="490" t="e">
        <f>#REF!</f>
        <v>#REF!</v>
      </c>
      <c r="V1264" s="7"/>
      <c r="W1264" s="165"/>
      <c r="X1264" s="31"/>
      <c r="Y1264" s="31"/>
      <c r="Z1264" s="287"/>
      <c r="AA1264" s="287"/>
      <c r="AB1264" s="167"/>
      <c r="AC1264" s="167"/>
      <c r="AD1264" s="167"/>
      <c r="AE1264" s="167"/>
      <c r="AF1264" s="162"/>
      <c r="AG1264" s="162"/>
      <c r="AH1264" s="165"/>
      <c r="AI1264" s="165"/>
      <c r="AJ1264" s="7"/>
      <c r="AK1264" s="165"/>
      <c r="AL1264" s="7"/>
      <c r="AM1264" s="7"/>
      <c r="AN1264" s="7"/>
      <c r="AO1264" s="7"/>
      <c r="AP1264" s="7"/>
    </row>
    <row r="1265" spans="1:42">
      <c r="A1265" s="4" t="s">
        <v>344</v>
      </c>
      <c r="C1265" s="419">
        <v>0</v>
      </c>
      <c r="D1265" s="1074">
        <v>38.08</v>
      </c>
      <c r="F1265" s="490">
        <f>ROUND(C1265*D1265,0)</f>
        <v>0</v>
      </c>
      <c r="G1265" s="983">
        <f t="shared" si="196"/>
        <v>38.08</v>
      </c>
      <c r="I1265" s="490">
        <f>ROUND(G1265*$C1265,0)</f>
        <v>0</v>
      </c>
      <c r="J1265" s="490"/>
      <c r="K1265" s="983" t="e">
        <f>#REF!</f>
        <v>#REF!</v>
      </c>
      <c r="M1265" s="490" t="e">
        <f>#REF!</f>
        <v>#REF!</v>
      </c>
      <c r="N1265" s="490"/>
      <c r="O1265" s="983" t="e">
        <f>#REF!</f>
        <v>#REF!</v>
      </c>
      <c r="Q1265" s="490" t="e">
        <f>#REF!</f>
        <v>#REF!</v>
      </c>
      <c r="R1265" s="490"/>
      <c r="S1265" s="983" t="e">
        <f>#REF!</f>
        <v>#REF!</v>
      </c>
      <c r="U1265" s="490" t="e">
        <f>#REF!</f>
        <v>#REF!</v>
      </c>
      <c r="V1265" s="7"/>
      <c r="W1265" s="165"/>
      <c r="X1265" s="31"/>
      <c r="Y1265" s="31"/>
      <c r="Z1265" s="287"/>
      <c r="AA1265" s="287"/>
      <c r="AB1265" s="167"/>
      <c r="AC1265" s="167"/>
      <c r="AD1265" s="167"/>
      <c r="AE1265" s="167"/>
      <c r="AF1265" s="162"/>
      <c r="AG1265" s="162"/>
      <c r="AH1265" s="165"/>
      <c r="AI1265" s="165"/>
      <c r="AJ1265" s="7"/>
      <c r="AK1265" s="165"/>
      <c r="AL1265" s="7"/>
      <c r="AM1265" s="7"/>
      <c r="AN1265" s="7"/>
      <c r="AO1265" s="7"/>
      <c r="AP1265" s="7"/>
    </row>
    <row r="1266" spans="1:42">
      <c r="A1266" s="4" t="s">
        <v>497</v>
      </c>
      <c r="C1266" s="419"/>
      <c r="F1266" s="490"/>
      <c r="V1266" s="7"/>
      <c r="W1266" s="165"/>
      <c r="X1266" s="31"/>
      <c r="Y1266" s="31"/>
      <c r="Z1266" s="7"/>
      <c r="AA1266" s="7"/>
      <c r="AB1266" s="171"/>
      <c r="AC1266" s="171"/>
      <c r="AD1266" s="171"/>
      <c r="AE1266" s="171"/>
      <c r="AF1266" s="162"/>
      <c r="AG1266" s="162"/>
      <c r="AH1266" s="165"/>
      <c r="AI1266" s="165"/>
      <c r="AJ1266" s="7"/>
      <c r="AK1266" s="165"/>
      <c r="AL1266" s="7"/>
      <c r="AM1266" s="7"/>
      <c r="AN1266" s="7"/>
      <c r="AO1266" s="7"/>
      <c r="AP1266" s="7"/>
    </row>
    <row r="1267" spans="1:42">
      <c r="A1267" s="4" t="s">
        <v>342</v>
      </c>
      <c r="C1267" s="419">
        <v>3195.22491672157</v>
      </c>
      <c r="D1267" s="983">
        <v>9.65</v>
      </c>
      <c r="F1267" s="490">
        <f>ROUND(C1267*D1267,0)</f>
        <v>30834</v>
      </c>
      <c r="G1267" s="983">
        <f t="shared" si="196"/>
        <v>9.65</v>
      </c>
      <c r="I1267" s="490">
        <f>ROUND(G1267*$C1267,0)</f>
        <v>30834</v>
      </c>
      <c r="J1267" s="490"/>
      <c r="K1267" s="983" t="e">
        <f>#REF!</f>
        <v>#REF!</v>
      </c>
      <c r="M1267" s="490" t="e">
        <f>#REF!</f>
        <v>#REF!</v>
      </c>
      <c r="N1267" s="490"/>
      <c r="O1267" s="983" t="e">
        <f>#REF!</f>
        <v>#REF!</v>
      </c>
      <c r="Q1267" s="490" t="e">
        <f>#REF!</f>
        <v>#REF!</v>
      </c>
      <c r="R1267" s="490"/>
      <c r="S1267" s="983" t="e">
        <f>#REF!</f>
        <v>#REF!</v>
      </c>
      <c r="U1267" s="490" t="e">
        <f>#REF!</f>
        <v>#REF!</v>
      </c>
      <c r="V1267" s="7"/>
      <c r="W1267" s="165"/>
      <c r="X1267" s="31"/>
      <c r="Y1267" s="31"/>
      <c r="Z1267" s="287"/>
      <c r="AA1267" s="287"/>
      <c r="AB1267" s="167"/>
      <c r="AC1267" s="167"/>
      <c r="AD1267" s="167"/>
      <c r="AE1267" s="167"/>
      <c r="AF1267" s="7"/>
      <c r="AG1267" s="7"/>
      <c r="AH1267" s="165"/>
      <c r="AI1267" s="165"/>
      <c r="AJ1267" s="7"/>
      <c r="AK1267" s="165"/>
      <c r="AL1267" s="7"/>
      <c r="AM1267" s="7"/>
      <c r="AN1267" s="7"/>
      <c r="AO1267" s="7"/>
      <c r="AP1267" s="7"/>
    </row>
    <row r="1268" spans="1:42">
      <c r="A1268" s="4" t="s">
        <v>343</v>
      </c>
      <c r="C1268" s="419">
        <v>0</v>
      </c>
      <c r="D1268" s="983">
        <v>17.57</v>
      </c>
      <c r="F1268" s="490">
        <f>ROUND(C1268*D1268,0)</f>
        <v>0</v>
      </c>
      <c r="G1268" s="983">
        <f t="shared" si="196"/>
        <v>17.57</v>
      </c>
      <c r="I1268" s="490">
        <f>ROUND(G1268*$C1268,0)</f>
        <v>0</v>
      </c>
      <c r="J1268" s="490"/>
      <c r="K1268" s="983" t="e">
        <f>#REF!</f>
        <v>#REF!</v>
      </c>
      <c r="M1268" s="490" t="e">
        <f>#REF!</f>
        <v>#REF!</v>
      </c>
      <c r="N1268" s="490"/>
      <c r="O1268" s="983" t="e">
        <f>#REF!</f>
        <v>#REF!</v>
      </c>
      <c r="Q1268" s="490" t="e">
        <f>#REF!</f>
        <v>#REF!</v>
      </c>
      <c r="R1268" s="490"/>
      <c r="S1268" s="983" t="e">
        <f>#REF!</f>
        <v>#REF!</v>
      </c>
      <c r="U1268" s="490" t="e">
        <f>#REF!</f>
        <v>#REF!</v>
      </c>
      <c r="V1268" s="7"/>
      <c r="W1268" s="165"/>
      <c r="X1268" s="31"/>
      <c r="Y1268" s="31"/>
      <c r="Z1268" s="287"/>
      <c r="AA1268" s="287"/>
      <c r="AB1268" s="167"/>
      <c r="AC1268" s="167"/>
      <c r="AD1268" s="167"/>
      <c r="AE1268" s="167"/>
      <c r="AF1268" s="7"/>
      <c r="AG1268" s="7"/>
      <c r="AH1268" s="165"/>
      <c r="AI1268" s="165"/>
      <c r="AJ1268" s="7"/>
      <c r="AK1268" s="165"/>
      <c r="AL1268" s="7"/>
      <c r="AM1268" s="7"/>
      <c r="AN1268" s="7"/>
      <c r="AO1268" s="7"/>
      <c r="AP1268" s="7"/>
    </row>
    <row r="1269" spans="1:42">
      <c r="A1269" s="5" t="s">
        <v>498</v>
      </c>
      <c r="C1269" s="419"/>
      <c r="D1269" s="983"/>
      <c r="F1269" s="490"/>
      <c r="G1269" s="983"/>
      <c r="I1269" s="490"/>
      <c r="J1269" s="490"/>
      <c r="K1269" s="983"/>
      <c r="M1269" s="490"/>
      <c r="N1269" s="490"/>
      <c r="O1269" s="983"/>
      <c r="Q1269" s="490"/>
      <c r="R1269" s="490"/>
      <c r="S1269" s="983"/>
      <c r="U1269" s="490"/>
      <c r="V1269" s="7"/>
      <c r="W1269" s="165"/>
      <c r="X1269" s="31"/>
      <c r="Y1269" s="31"/>
      <c r="Z1269" s="7"/>
      <c r="AA1269" s="7"/>
      <c r="AB1269" s="7"/>
      <c r="AC1269" s="7"/>
      <c r="AD1269" s="7"/>
      <c r="AE1269" s="7"/>
      <c r="AF1269" s="7"/>
      <c r="AG1269" s="7"/>
      <c r="AH1269" s="7"/>
      <c r="AI1269" s="7"/>
      <c r="AJ1269" s="7"/>
      <c r="AK1269" s="7"/>
      <c r="AL1269" s="7"/>
      <c r="AM1269" s="7"/>
      <c r="AN1269" s="7"/>
      <c r="AO1269" s="7"/>
      <c r="AP1269" s="7"/>
    </row>
    <row r="1270" spans="1:42">
      <c r="A1270" s="4" t="s">
        <v>496</v>
      </c>
      <c r="C1270" s="419"/>
      <c r="F1270" s="490"/>
      <c r="V1270" s="7"/>
      <c r="W1270" s="31"/>
      <c r="X1270" s="31"/>
      <c r="Y1270" s="31"/>
      <c r="Z1270" s="7"/>
      <c r="AA1270" s="7"/>
      <c r="AB1270" s="7"/>
      <c r="AC1270" s="7"/>
      <c r="AD1270" s="7"/>
      <c r="AE1270" s="7"/>
      <c r="AF1270" s="7"/>
      <c r="AG1270" s="7"/>
      <c r="AH1270" s="7"/>
      <c r="AI1270" s="7"/>
      <c r="AJ1270" s="7"/>
      <c r="AK1270" s="7"/>
      <c r="AL1270" s="7"/>
      <c r="AM1270" s="7"/>
      <c r="AN1270" s="7"/>
      <c r="AO1270" s="7"/>
      <c r="AP1270" s="7"/>
    </row>
    <row r="1271" spans="1:42">
      <c r="A1271" s="4" t="s">
        <v>342</v>
      </c>
      <c r="C1271" s="419">
        <v>409.000689070249</v>
      </c>
      <c r="D1271" s="983">
        <v>13.44</v>
      </c>
      <c r="F1271" s="490">
        <f>ROUND(C1271*D1271,0)</f>
        <v>5497</v>
      </c>
      <c r="G1271" s="983">
        <f t="shared" ref="G1271:G1273" si="197">ROUND(D1271+(D1271*$X$1267),2)</f>
        <v>13.44</v>
      </c>
      <c r="I1271" s="490">
        <f>ROUND(G1271*$C1271,0)</f>
        <v>5497</v>
      </c>
      <c r="J1271" s="490"/>
      <c r="K1271" s="983" t="e">
        <f>#REF!</f>
        <v>#REF!</v>
      </c>
      <c r="M1271" s="490" t="e">
        <f>#REF!</f>
        <v>#REF!</v>
      </c>
      <c r="N1271" s="490"/>
      <c r="O1271" s="983" t="e">
        <f>#REF!</f>
        <v>#REF!</v>
      </c>
      <c r="Q1271" s="490" t="e">
        <f>#REF!</f>
        <v>#REF!</v>
      </c>
      <c r="R1271" s="490"/>
      <c r="S1271" s="983" t="e">
        <f>#REF!</f>
        <v>#REF!</v>
      </c>
      <c r="U1271" s="490" t="e">
        <f>#REF!</f>
        <v>#REF!</v>
      </c>
      <c r="V1271" s="7"/>
      <c r="W1271" s="165"/>
      <c r="X1271" s="31"/>
      <c r="Y1271" s="31"/>
      <c r="Z1271" s="287"/>
      <c r="AA1271" s="287"/>
      <c r="AB1271" s="167"/>
      <c r="AC1271" s="167"/>
      <c r="AD1271" s="167"/>
      <c r="AE1271" s="167"/>
      <c r="AF1271" s="7"/>
      <c r="AG1271" s="7"/>
      <c r="AH1271" s="165"/>
      <c r="AI1271" s="165"/>
      <c r="AJ1271" s="7"/>
      <c r="AK1271" s="165"/>
      <c r="AL1271" s="7"/>
      <c r="AM1271" s="7"/>
      <c r="AN1271" s="7"/>
      <c r="AO1271" s="7"/>
      <c r="AP1271" s="7"/>
    </row>
    <row r="1272" spans="1:42">
      <c r="A1272" s="4" t="s">
        <v>343</v>
      </c>
      <c r="C1272" s="419">
        <v>359.23481992392999</v>
      </c>
      <c r="D1272" s="983">
        <v>22.57</v>
      </c>
      <c r="F1272" s="490">
        <f>ROUND(C1272*D1272,0)</f>
        <v>8108</v>
      </c>
      <c r="G1272" s="983">
        <f t="shared" si="197"/>
        <v>22.57</v>
      </c>
      <c r="I1272" s="490">
        <f>ROUND(G1272*$C1272,0)</f>
        <v>8108</v>
      </c>
      <c r="J1272" s="490"/>
      <c r="K1272" s="983" t="e">
        <f>#REF!</f>
        <v>#REF!</v>
      </c>
      <c r="M1272" s="490" t="e">
        <f>#REF!</f>
        <v>#REF!</v>
      </c>
      <c r="N1272" s="490"/>
      <c r="O1272" s="983" t="e">
        <f>#REF!</f>
        <v>#REF!</v>
      </c>
      <c r="Q1272" s="490" t="e">
        <f>#REF!</f>
        <v>#REF!</v>
      </c>
      <c r="R1272" s="490"/>
      <c r="S1272" s="983" t="e">
        <f>#REF!</f>
        <v>#REF!</v>
      </c>
      <c r="U1272" s="490" t="e">
        <f>#REF!</f>
        <v>#REF!</v>
      </c>
      <c r="V1272" s="7"/>
      <c r="W1272" s="165"/>
      <c r="X1272" s="31"/>
      <c r="Y1272" s="31"/>
      <c r="Z1272" s="287"/>
      <c r="AA1272" s="287"/>
      <c r="AB1272" s="167"/>
      <c r="AC1272" s="167"/>
      <c r="AD1272" s="167"/>
      <c r="AE1272" s="167"/>
      <c r="AF1272" s="1084"/>
      <c r="AG1272" s="1084"/>
      <c r="AH1272" s="165"/>
      <c r="AI1272" s="165"/>
      <c r="AJ1272" s="7"/>
      <c r="AK1272" s="165"/>
      <c r="AL1272" s="7"/>
      <c r="AM1272" s="7"/>
      <c r="AN1272" s="7"/>
      <c r="AO1272" s="7"/>
      <c r="AP1272" s="7"/>
    </row>
    <row r="1273" spans="1:42">
      <c r="A1273" s="4" t="s">
        <v>344</v>
      </c>
      <c r="C1273" s="419">
        <v>0</v>
      </c>
      <c r="D1273" s="983">
        <v>41.85</v>
      </c>
      <c r="F1273" s="490">
        <f>ROUND(C1273*D1273,0)</f>
        <v>0</v>
      </c>
      <c r="G1273" s="983">
        <f t="shared" si="197"/>
        <v>41.85</v>
      </c>
      <c r="I1273" s="490">
        <f>ROUND(G1273*$C1273,0)</f>
        <v>0</v>
      </c>
      <c r="J1273" s="490"/>
      <c r="K1273" s="983" t="e">
        <f>#REF!</f>
        <v>#REF!</v>
      </c>
      <c r="M1273" s="490" t="e">
        <f>#REF!</f>
        <v>#REF!</v>
      </c>
      <c r="N1273" s="490"/>
      <c r="O1273" s="983" t="e">
        <f>#REF!</f>
        <v>#REF!</v>
      </c>
      <c r="Q1273" s="490" t="e">
        <f>#REF!</f>
        <v>#REF!</v>
      </c>
      <c r="R1273" s="490"/>
      <c r="S1273" s="983" t="e">
        <f>#REF!</f>
        <v>#REF!</v>
      </c>
      <c r="U1273" s="490" t="e">
        <f>#REF!</f>
        <v>#REF!</v>
      </c>
      <c r="V1273" s="7"/>
      <c r="W1273" s="165"/>
      <c r="X1273" s="31"/>
      <c r="Y1273" s="31"/>
      <c r="Z1273" s="287"/>
      <c r="AA1273" s="287"/>
      <c r="AB1273" s="167"/>
      <c r="AC1273" s="167"/>
      <c r="AD1273" s="167"/>
      <c r="AE1273" s="167"/>
      <c r="AF1273" s="1084"/>
      <c r="AG1273" s="1084"/>
      <c r="AH1273" s="165"/>
      <c r="AI1273" s="165"/>
      <c r="AJ1273" s="7"/>
      <c r="AK1273" s="165"/>
      <c r="AL1273" s="7"/>
      <c r="AM1273" s="7"/>
      <c r="AN1273" s="7"/>
      <c r="AO1273" s="7"/>
      <c r="AP1273" s="7"/>
    </row>
    <row r="1274" spans="1:42">
      <c r="A1274" s="4" t="s">
        <v>497</v>
      </c>
      <c r="C1274" s="419"/>
      <c r="F1274" s="490"/>
      <c r="V1274" s="7"/>
      <c r="W1274" s="7"/>
      <c r="X1274" s="868"/>
      <c r="Y1274" s="868"/>
      <c r="Z1274" s="868"/>
      <c r="AA1274" s="868"/>
      <c r="AB1274" s="1084"/>
      <c r="AC1274" s="1084"/>
      <c r="AD1274" s="1084"/>
      <c r="AE1274" s="1084"/>
      <c r="AF1274" s="1084"/>
      <c r="AG1274" s="1084"/>
      <c r="AH1274" s="453"/>
      <c r="AI1274" s="7"/>
      <c r="AJ1274" s="7"/>
      <c r="AK1274" s="7"/>
      <c r="AL1274" s="7"/>
      <c r="AM1274" s="7"/>
      <c r="AN1274" s="7"/>
      <c r="AO1274" s="7"/>
      <c r="AP1274" s="7"/>
    </row>
    <row r="1275" spans="1:42">
      <c r="A1275" s="4" t="s">
        <v>342</v>
      </c>
      <c r="C1275" s="419">
        <v>0</v>
      </c>
      <c r="D1275" s="983">
        <v>12.72</v>
      </c>
      <c r="F1275" s="490">
        <f>ROUND(C1275*D1275,0)</f>
        <v>0</v>
      </c>
      <c r="G1275" s="983">
        <f t="shared" ref="G1275:G1276" si="198">ROUND(D1275+(D1275*$X$1267),2)</f>
        <v>12.72</v>
      </c>
      <c r="I1275" s="490">
        <f>ROUND(G1275*$C1275,0)</f>
        <v>0</v>
      </c>
      <c r="J1275" s="490"/>
      <c r="K1275" s="983" t="e">
        <f>#REF!</f>
        <v>#REF!</v>
      </c>
      <c r="M1275" s="490" t="e">
        <f>#REF!</f>
        <v>#REF!</v>
      </c>
      <c r="N1275" s="490"/>
      <c r="O1275" s="983" t="e">
        <f>#REF!</f>
        <v>#REF!</v>
      </c>
      <c r="Q1275" s="490" t="e">
        <f>#REF!</f>
        <v>#REF!</v>
      </c>
      <c r="R1275" s="490"/>
      <c r="S1275" s="983" t="e">
        <f>#REF!</f>
        <v>#REF!</v>
      </c>
      <c r="U1275" s="490" t="e">
        <f>#REF!</f>
        <v>#REF!</v>
      </c>
      <c r="V1275" s="7"/>
      <c r="W1275" s="165"/>
      <c r="X1275" s="31"/>
      <c r="Y1275" s="31"/>
      <c r="Z1275" s="287"/>
      <c r="AA1275" s="287"/>
      <c r="AB1275" s="167"/>
      <c r="AC1275" s="167"/>
      <c r="AD1275" s="167"/>
      <c r="AE1275" s="167"/>
      <c r="AF1275" s="1084"/>
      <c r="AG1275" s="1084"/>
      <c r="AH1275" s="165"/>
      <c r="AI1275" s="165"/>
      <c r="AJ1275" s="7"/>
      <c r="AK1275" s="165"/>
      <c r="AL1275" s="7"/>
      <c r="AM1275" s="7"/>
      <c r="AN1275" s="7"/>
      <c r="AO1275" s="7"/>
      <c r="AP1275" s="7"/>
    </row>
    <row r="1276" spans="1:42">
      <c r="A1276" s="4" t="s">
        <v>343</v>
      </c>
      <c r="C1276" s="419">
        <v>0</v>
      </c>
      <c r="D1276" s="983">
        <v>21.34</v>
      </c>
      <c r="F1276" s="490">
        <f>ROUND(C1276*D1276,0)</f>
        <v>0</v>
      </c>
      <c r="G1276" s="983">
        <f t="shared" si="198"/>
        <v>21.34</v>
      </c>
      <c r="I1276" s="490">
        <f>ROUND(G1276*$C1276,0)</f>
        <v>0</v>
      </c>
      <c r="J1276" s="490"/>
      <c r="K1276" s="983" t="e">
        <f>#REF!</f>
        <v>#REF!</v>
      </c>
      <c r="M1276" s="490" t="e">
        <f>#REF!</f>
        <v>#REF!</v>
      </c>
      <c r="N1276" s="490"/>
      <c r="O1276" s="983" t="e">
        <f>#REF!</f>
        <v>#REF!</v>
      </c>
      <c r="Q1276" s="490" t="e">
        <f>#REF!</f>
        <v>#REF!</v>
      </c>
      <c r="R1276" s="490"/>
      <c r="S1276" s="983" t="e">
        <f>#REF!</f>
        <v>#REF!</v>
      </c>
      <c r="U1276" s="490" t="e">
        <f>#REF!</f>
        <v>#REF!</v>
      </c>
      <c r="V1276" s="7"/>
      <c r="W1276" s="165"/>
      <c r="X1276" s="31"/>
      <c r="Y1276" s="31"/>
      <c r="Z1276" s="287"/>
      <c r="AA1276" s="287"/>
      <c r="AB1276" s="167"/>
      <c r="AC1276" s="167"/>
      <c r="AD1276" s="167"/>
      <c r="AE1276" s="167"/>
      <c r="AF1276" s="1084"/>
      <c r="AG1276" s="1084"/>
      <c r="AH1276" s="165"/>
      <c r="AI1276" s="165"/>
      <c r="AJ1276" s="7"/>
      <c r="AK1276" s="165"/>
      <c r="AL1276" s="7"/>
      <c r="AM1276" s="7"/>
      <c r="AN1276" s="7"/>
      <c r="AO1276" s="7"/>
      <c r="AP1276" s="7"/>
    </row>
    <row r="1277" spans="1:42">
      <c r="A1277" s="5" t="s">
        <v>499</v>
      </c>
      <c r="C1277" s="419"/>
      <c r="V1277" s="7"/>
      <c r="W1277" s="7"/>
      <c r="X1277" s="868"/>
      <c r="Y1277" s="868"/>
      <c r="Z1277" s="868"/>
      <c r="AA1277" s="868"/>
      <c r="AB1277" s="1084"/>
      <c r="AC1277" s="1084"/>
      <c r="AD1277" s="1084"/>
      <c r="AE1277" s="1084"/>
      <c r="AF1277" s="1084"/>
      <c r="AG1277" s="1084"/>
      <c r="AH1277" s="453"/>
      <c r="AI1277" s="7"/>
      <c r="AJ1277" s="7"/>
      <c r="AK1277" s="7"/>
      <c r="AL1277" s="7"/>
      <c r="AM1277" s="7"/>
      <c r="AN1277" s="7"/>
      <c r="AO1277" s="7"/>
      <c r="AP1277" s="7"/>
    </row>
    <row r="1278" spans="1:42">
      <c r="A1278" s="4" t="s">
        <v>496</v>
      </c>
      <c r="C1278" s="419"/>
      <c r="F1278" s="490"/>
      <c r="V1278" s="7"/>
      <c r="W1278" s="7"/>
      <c r="X1278" s="868"/>
      <c r="Y1278" s="868"/>
      <c r="Z1278" s="868"/>
      <c r="AA1278" s="868"/>
      <c r="AB1278" s="1084"/>
      <c r="AC1278" s="1084"/>
      <c r="AD1278" s="1084"/>
      <c r="AE1278" s="1084"/>
      <c r="AF1278" s="1084"/>
      <c r="AG1278" s="1084"/>
      <c r="AH1278" s="453"/>
      <c r="AI1278" s="7"/>
      <c r="AJ1278" s="7"/>
      <c r="AK1278" s="7"/>
      <c r="AL1278" s="7"/>
      <c r="AM1278" s="7"/>
      <c r="AN1278" s="7"/>
      <c r="AO1278" s="7"/>
      <c r="AP1278" s="7"/>
    </row>
    <row r="1279" spans="1:42">
      <c r="A1279" s="4" t="s">
        <v>342</v>
      </c>
      <c r="C1279" s="419">
        <v>0</v>
      </c>
      <c r="D1279" s="983">
        <v>13.43</v>
      </c>
      <c r="F1279" s="490">
        <f>ROUND(C1279*D1279,0)</f>
        <v>0</v>
      </c>
      <c r="G1279" s="983">
        <f t="shared" ref="G1279:G1281" si="199">ROUND(D1279+(D1279*$X$1267),2)</f>
        <v>13.43</v>
      </c>
      <c r="I1279" s="490">
        <f>ROUND(G1279*$C1279,0)</f>
        <v>0</v>
      </c>
      <c r="J1279" s="490"/>
      <c r="K1279" s="983" t="e">
        <f>#REF!</f>
        <v>#REF!</v>
      </c>
      <c r="M1279" s="490" t="e">
        <f>#REF!</f>
        <v>#REF!</v>
      </c>
      <c r="N1279" s="490"/>
      <c r="O1279" s="983" t="e">
        <f>#REF!</f>
        <v>#REF!</v>
      </c>
      <c r="Q1279" s="490" t="e">
        <f>#REF!</f>
        <v>#REF!</v>
      </c>
      <c r="R1279" s="490"/>
      <c r="S1279" s="983" t="e">
        <f>#REF!</f>
        <v>#REF!</v>
      </c>
      <c r="U1279" s="490" t="e">
        <f>#REF!</f>
        <v>#REF!</v>
      </c>
      <c r="V1279" s="7"/>
      <c r="W1279" s="165"/>
      <c r="X1279" s="31"/>
      <c r="Y1279" s="31"/>
      <c r="Z1279" s="287"/>
      <c r="AA1279" s="287"/>
      <c r="AB1279" s="167"/>
      <c r="AC1279" s="167"/>
      <c r="AD1279" s="167"/>
      <c r="AE1279" s="167"/>
      <c r="AF1279" s="1084"/>
      <c r="AG1279" s="1084"/>
      <c r="AH1279" s="165"/>
      <c r="AI1279" s="165"/>
      <c r="AJ1279" s="7"/>
      <c r="AK1279" s="165"/>
      <c r="AL1279" s="7"/>
      <c r="AM1279" s="7"/>
      <c r="AN1279" s="7"/>
      <c r="AO1279" s="7"/>
      <c r="AP1279" s="7"/>
    </row>
    <row r="1280" spans="1:42">
      <c r="A1280" s="4" t="s">
        <v>343</v>
      </c>
      <c r="C1280" s="419">
        <v>0</v>
      </c>
      <c r="D1280" s="983">
        <v>21.83</v>
      </c>
      <c r="F1280" s="490">
        <f>ROUND(C1280*D1280,0)</f>
        <v>0</v>
      </c>
      <c r="G1280" s="983">
        <f t="shared" si="199"/>
        <v>21.83</v>
      </c>
      <c r="I1280" s="490">
        <f>ROUND(G1280*$C1280,0)</f>
        <v>0</v>
      </c>
      <c r="J1280" s="490"/>
      <c r="K1280" s="983" t="e">
        <f>#REF!</f>
        <v>#REF!</v>
      </c>
      <c r="M1280" s="490" t="e">
        <f>#REF!</f>
        <v>#REF!</v>
      </c>
      <c r="N1280" s="490"/>
      <c r="O1280" s="983" t="e">
        <f>#REF!</f>
        <v>#REF!</v>
      </c>
      <c r="Q1280" s="490" t="e">
        <f>#REF!</f>
        <v>#REF!</v>
      </c>
      <c r="R1280" s="490"/>
      <c r="S1280" s="983" t="e">
        <f>#REF!</f>
        <v>#REF!</v>
      </c>
      <c r="U1280" s="490" t="e">
        <f>#REF!</f>
        <v>#REF!</v>
      </c>
      <c r="V1280" s="7"/>
      <c r="W1280" s="165"/>
      <c r="X1280" s="31"/>
      <c r="Y1280" s="31"/>
      <c r="Z1280" s="287"/>
      <c r="AA1280" s="287"/>
      <c r="AB1280" s="167"/>
      <c r="AC1280" s="167"/>
      <c r="AD1280" s="167"/>
      <c r="AE1280" s="167"/>
      <c r="AF1280" s="1084"/>
      <c r="AG1280" s="1084"/>
      <c r="AH1280" s="165"/>
      <c r="AI1280" s="165"/>
      <c r="AJ1280" s="7"/>
      <c r="AK1280" s="165"/>
      <c r="AL1280" s="7"/>
      <c r="AM1280" s="7"/>
      <c r="AN1280" s="7"/>
      <c r="AO1280" s="7"/>
      <c r="AP1280" s="7"/>
    </row>
    <row r="1281" spans="1:44">
      <c r="A1281" s="4" t="s">
        <v>344</v>
      </c>
      <c r="C1281" s="419">
        <v>0</v>
      </c>
      <c r="D1281" s="983">
        <v>41.13</v>
      </c>
      <c r="F1281" s="490">
        <f>ROUND(C1281*D1281,0)</f>
        <v>0</v>
      </c>
      <c r="G1281" s="983">
        <f t="shared" si="199"/>
        <v>41.13</v>
      </c>
      <c r="I1281" s="490">
        <f>ROUND(G1281*$C1281,0)</f>
        <v>0</v>
      </c>
      <c r="J1281" s="490"/>
      <c r="K1281" s="983" t="e">
        <f>#REF!</f>
        <v>#REF!</v>
      </c>
      <c r="M1281" s="490" t="e">
        <f>#REF!</f>
        <v>#REF!</v>
      </c>
      <c r="N1281" s="490"/>
      <c r="O1281" s="983" t="e">
        <f>#REF!</f>
        <v>#REF!</v>
      </c>
      <c r="Q1281" s="490" t="e">
        <f>#REF!</f>
        <v>#REF!</v>
      </c>
      <c r="R1281" s="490"/>
      <c r="S1281" s="983" t="e">
        <f>#REF!</f>
        <v>#REF!</v>
      </c>
      <c r="U1281" s="490" t="e">
        <f>#REF!</f>
        <v>#REF!</v>
      </c>
      <c r="V1281" s="7"/>
      <c r="W1281" s="165"/>
      <c r="X1281" s="31"/>
      <c r="Y1281" s="31"/>
      <c r="Z1281" s="287"/>
      <c r="AA1281" s="287"/>
      <c r="AB1281" s="167"/>
      <c r="AC1281" s="167"/>
      <c r="AD1281" s="167"/>
      <c r="AE1281" s="167"/>
      <c r="AF1281" s="1084"/>
      <c r="AG1281" s="1084"/>
      <c r="AH1281" s="165"/>
      <c r="AI1281" s="165"/>
      <c r="AJ1281" s="7"/>
      <c r="AK1281" s="165"/>
      <c r="AL1281" s="7"/>
      <c r="AM1281" s="7"/>
      <c r="AN1281" s="7"/>
      <c r="AO1281" s="7"/>
      <c r="AP1281" s="7"/>
    </row>
    <row r="1282" spans="1:44">
      <c r="A1282" s="4" t="s">
        <v>497</v>
      </c>
      <c r="C1282" s="419"/>
      <c r="F1282" s="490"/>
      <c r="V1282" s="7"/>
      <c r="W1282" s="7"/>
      <c r="X1282" s="868"/>
      <c r="Y1282" s="868"/>
      <c r="Z1282" s="868"/>
      <c r="AA1282" s="868"/>
      <c r="AB1282" s="1084"/>
      <c r="AC1282" s="1084"/>
      <c r="AD1282" s="1084"/>
      <c r="AE1282" s="1084"/>
      <c r="AF1282" s="1084"/>
      <c r="AG1282" s="1084"/>
      <c r="AH1282" s="453"/>
      <c r="AI1282" s="7"/>
      <c r="AJ1282" s="7"/>
      <c r="AK1282" s="7"/>
      <c r="AL1282" s="7"/>
      <c r="AM1282" s="7"/>
      <c r="AN1282" s="7"/>
      <c r="AO1282" s="7"/>
      <c r="AP1282" s="7"/>
    </row>
    <row r="1283" spans="1:44">
      <c r="A1283" s="4" t="s">
        <v>342</v>
      </c>
      <c r="C1283" s="419">
        <v>0</v>
      </c>
      <c r="D1283" s="983">
        <v>12.72</v>
      </c>
      <c r="F1283" s="490">
        <f>ROUND(C1283*D1283,0)</f>
        <v>0</v>
      </c>
      <c r="G1283" s="983">
        <f t="shared" ref="G1283:G1284" si="200">ROUND(D1283+(D1283*$X$1267),2)</f>
        <v>12.72</v>
      </c>
      <c r="I1283" s="490">
        <f>ROUND(G1283*$C1283,0)</f>
        <v>0</v>
      </c>
      <c r="J1283" s="490"/>
      <c r="K1283" s="983" t="e">
        <f>#REF!</f>
        <v>#REF!</v>
      </c>
      <c r="M1283" s="490" t="e">
        <f>#REF!</f>
        <v>#REF!</v>
      </c>
      <c r="N1283" s="490"/>
      <c r="O1283" s="983" t="e">
        <f>#REF!</f>
        <v>#REF!</v>
      </c>
      <c r="Q1283" s="490" t="e">
        <f>#REF!</f>
        <v>#REF!</v>
      </c>
      <c r="R1283" s="490"/>
      <c r="S1283" s="983" t="e">
        <f>#REF!</f>
        <v>#REF!</v>
      </c>
      <c r="U1283" s="490" t="e">
        <f>#REF!</f>
        <v>#REF!</v>
      </c>
      <c r="V1283" s="7"/>
      <c r="W1283" s="165"/>
      <c r="X1283" s="31"/>
      <c r="Y1283" s="31"/>
      <c r="Z1283" s="287"/>
      <c r="AA1283" s="287"/>
      <c r="AB1283" s="167"/>
      <c r="AC1283" s="167"/>
      <c r="AD1283" s="167"/>
      <c r="AE1283" s="167"/>
      <c r="AF1283" s="1084"/>
      <c r="AG1283" s="1084"/>
      <c r="AH1283" s="165"/>
      <c r="AI1283" s="165"/>
      <c r="AJ1283" s="7"/>
      <c r="AK1283" s="165"/>
      <c r="AL1283" s="7"/>
      <c r="AM1283" s="7"/>
      <c r="AN1283" s="7"/>
      <c r="AO1283" s="7"/>
      <c r="AP1283" s="7"/>
    </row>
    <row r="1284" spans="1:44">
      <c r="A1284" s="4" t="s">
        <v>343</v>
      </c>
      <c r="C1284" s="419">
        <v>0</v>
      </c>
      <c r="D1284" s="983">
        <v>20.6</v>
      </c>
      <c r="F1284" s="490">
        <f>ROUND(C1284*D1284,0)</f>
        <v>0</v>
      </c>
      <c r="G1284" s="983">
        <f t="shared" si="200"/>
        <v>20.6</v>
      </c>
      <c r="I1284" s="490">
        <f>ROUND(G1284*$C1284,0)</f>
        <v>0</v>
      </c>
      <c r="J1284" s="490"/>
      <c r="K1284" s="983" t="e">
        <f>#REF!</f>
        <v>#REF!</v>
      </c>
      <c r="M1284" s="490" t="e">
        <f>#REF!</f>
        <v>#REF!</v>
      </c>
      <c r="N1284" s="490"/>
      <c r="O1284" s="983" t="e">
        <f>#REF!</f>
        <v>#REF!</v>
      </c>
      <c r="Q1284" s="490" t="e">
        <f>#REF!</f>
        <v>#REF!</v>
      </c>
      <c r="R1284" s="490"/>
      <c r="S1284" s="983" t="e">
        <f>#REF!</f>
        <v>#REF!</v>
      </c>
      <c r="U1284" s="490" t="e">
        <f>#REF!</f>
        <v>#REF!</v>
      </c>
      <c r="V1284" s="7"/>
      <c r="W1284" s="165"/>
      <c r="X1284" s="31"/>
      <c r="Y1284" s="31"/>
      <c r="Z1284" s="287"/>
      <c r="AA1284" s="287"/>
      <c r="AB1284" s="167"/>
      <c r="AC1284" s="167"/>
      <c r="AD1284" s="167"/>
      <c r="AE1284" s="167"/>
      <c r="AF1284" s="1084"/>
      <c r="AG1284" s="1084"/>
      <c r="AH1284" s="165"/>
      <c r="AI1284" s="165"/>
      <c r="AJ1284" s="7"/>
      <c r="AK1284" s="165"/>
      <c r="AL1284" s="7"/>
      <c r="AM1284" s="7"/>
      <c r="AN1284" s="7"/>
      <c r="AO1284" s="7"/>
      <c r="AP1284" s="7"/>
    </row>
    <row r="1285" spans="1:44">
      <c r="A1285" s="5" t="s">
        <v>500</v>
      </c>
      <c r="C1285" s="419"/>
      <c r="V1285" s="7"/>
      <c r="W1285" s="7"/>
      <c r="X1285" s="868"/>
      <c r="Y1285" s="868"/>
      <c r="Z1285" s="868"/>
      <c r="AA1285" s="868"/>
      <c r="AB1285" s="1084"/>
      <c r="AC1285" s="1084"/>
      <c r="AD1285" s="1084"/>
      <c r="AE1285" s="1084"/>
      <c r="AF1285" s="1084"/>
      <c r="AG1285" s="1084"/>
      <c r="AH1285" s="453"/>
      <c r="AI1285" s="7"/>
      <c r="AJ1285" s="7"/>
      <c r="AK1285" s="7"/>
      <c r="AL1285" s="7"/>
      <c r="AM1285" s="7"/>
      <c r="AN1285" s="7"/>
      <c r="AO1285" s="7"/>
      <c r="AP1285" s="7"/>
    </row>
    <row r="1286" spans="1:44">
      <c r="A1286" s="4" t="s">
        <v>342</v>
      </c>
      <c r="C1286" s="419">
        <v>180.16648550994401</v>
      </c>
      <c r="D1286" s="1074">
        <v>10.75</v>
      </c>
      <c r="F1286" s="490">
        <f>ROUND(C1286*D1286,0)</f>
        <v>1937</v>
      </c>
      <c r="G1286" s="983">
        <f t="shared" ref="G1286:G1288" si="201">ROUND(D1286+(D1286*$X$1267),2)</f>
        <v>10.75</v>
      </c>
      <c r="I1286" s="490">
        <f>ROUND(G1286*$C1286,0)</f>
        <v>1937</v>
      </c>
      <c r="J1286" s="490"/>
      <c r="K1286" s="983" t="e">
        <f>#REF!</f>
        <v>#REF!</v>
      </c>
      <c r="M1286" s="490" t="e">
        <f>#REF!</f>
        <v>#REF!</v>
      </c>
      <c r="N1286" s="490"/>
      <c r="O1286" s="983" t="e">
        <f>#REF!</f>
        <v>#REF!</v>
      </c>
      <c r="Q1286" s="490" t="e">
        <f>#REF!</f>
        <v>#REF!</v>
      </c>
      <c r="R1286" s="490"/>
      <c r="S1286" s="983" t="e">
        <f>#REF!</f>
        <v>#REF!</v>
      </c>
      <c r="U1286" s="490" t="e">
        <f>#REF!</f>
        <v>#REF!</v>
      </c>
      <c r="V1286" s="7"/>
      <c r="W1286" s="165"/>
      <c r="X1286" s="31"/>
      <c r="Y1286" s="31"/>
      <c r="Z1286" s="287"/>
      <c r="AA1286" s="287"/>
      <c r="AB1286" s="167"/>
      <c r="AC1286" s="167"/>
      <c r="AD1286" s="167"/>
      <c r="AE1286" s="167"/>
      <c r="AF1286" s="1084"/>
      <c r="AG1286" s="1084"/>
      <c r="AH1286" s="165"/>
      <c r="AI1286" s="165"/>
      <c r="AJ1286" s="7"/>
      <c r="AK1286" s="165"/>
      <c r="AL1286" s="7"/>
      <c r="AM1286" s="7"/>
      <c r="AN1286" s="7"/>
      <c r="AO1286" s="7"/>
      <c r="AP1286" s="7"/>
    </row>
    <row r="1287" spans="1:44">
      <c r="A1287" s="4" t="s">
        <v>343</v>
      </c>
      <c r="C1287" s="419">
        <v>581.53297028850704</v>
      </c>
      <c r="D1287" s="1074">
        <v>18.82</v>
      </c>
      <c r="F1287" s="490">
        <f>ROUND(C1287*D1287,0)</f>
        <v>10944</v>
      </c>
      <c r="G1287" s="983">
        <f t="shared" si="201"/>
        <v>18.82</v>
      </c>
      <c r="I1287" s="490">
        <f>ROUND(G1287*$C1287,0)</f>
        <v>10944</v>
      </c>
      <c r="J1287" s="490"/>
      <c r="K1287" s="983" t="e">
        <f>#REF!</f>
        <v>#REF!</v>
      </c>
      <c r="M1287" s="490" t="e">
        <f>#REF!</f>
        <v>#REF!</v>
      </c>
      <c r="N1287" s="490"/>
      <c r="O1287" s="983" t="e">
        <f>#REF!</f>
        <v>#REF!</v>
      </c>
      <c r="Q1287" s="490" t="e">
        <f>#REF!</f>
        <v>#REF!</v>
      </c>
      <c r="R1287" s="490"/>
      <c r="S1287" s="983" t="e">
        <f>#REF!</f>
        <v>#REF!</v>
      </c>
      <c r="U1287" s="490" t="e">
        <f>#REF!</f>
        <v>#REF!</v>
      </c>
      <c r="V1287" s="7"/>
      <c r="W1287" s="165"/>
      <c r="X1287" s="31"/>
      <c r="Y1287" s="31"/>
      <c r="Z1287" s="287"/>
      <c r="AA1287" s="287"/>
      <c r="AB1287" s="167"/>
      <c r="AC1287" s="167"/>
      <c r="AD1287" s="167"/>
      <c r="AE1287" s="167"/>
      <c r="AF1287" s="1084"/>
      <c r="AG1287" s="1084"/>
      <c r="AH1287" s="165"/>
      <c r="AI1287" s="165"/>
      <c r="AJ1287" s="7"/>
      <c r="AK1287" s="165"/>
      <c r="AL1287" s="7"/>
      <c r="AM1287" s="7"/>
      <c r="AN1287" s="7"/>
      <c r="AO1287" s="7"/>
      <c r="AP1287" s="7"/>
    </row>
    <row r="1288" spans="1:44">
      <c r="A1288" s="4" t="s">
        <v>344</v>
      </c>
      <c r="C1288" s="419">
        <v>0</v>
      </c>
      <c r="D1288" s="1074">
        <v>40.200000000000003</v>
      </c>
      <c r="F1288" s="490">
        <f>ROUND(C1288*D1288,0)</f>
        <v>0</v>
      </c>
      <c r="G1288" s="983">
        <f t="shared" si="201"/>
        <v>40.200000000000003</v>
      </c>
      <c r="I1288" s="490">
        <f>ROUND(G1288*$C1288,0)</f>
        <v>0</v>
      </c>
      <c r="J1288" s="490"/>
      <c r="K1288" s="983" t="e">
        <f>#REF!</f>
        <v>#REF!</v>
      </c>
      <c r="M1288" s="490" t="e">
        <f>#REF!</f>
        <v>#REF!</v>
      </c>
      <c r="N1288" s="490"/>
      <c r="O1288" s="983" t="e">
        <f>#REF!</f>
        <v>#REF!</v>
      </c>
      <c r="Q1288" s="490" t="e">
        <f>#REF!</f>
        <v>#REF!</v>
      </c>
      <c r="R1288" s="490"/>
      <c r="S1288" s="983" t="e">
        <f>#REF!</f>
        <v>#REF!</v>
      </c>
      <c r="U1288" s="490" t="e">
        <f>#REF!</f>
        <v>#REF!</v>
      </c>
      <c r="V1288" s="7"/>
      <c r="W1288" s="165"/>
      <c r="X1288" s="31"/>
      <c r="Y1288" s="31"/>
      <c r="Z1288" s="287"/>
      <c r="AA1288" s="287"/>
      <c r="AB1288" s="167"/>
      <c r="AC1288" s="167"/>
      <c r="AD1288" s="167"/>
      <c r="AE1288" s="167"/>
      <c r="AF1288" s="1084"/>
      <c r="AG1288" s="1084"/>
      <c r="AH1288" s="165"/>
      <c r="AI1288" s="165"/>
      <c r="AJ1288" s="7"/>
      <c r="AK1288" s="165"/>
      <c r="AL1288" s="7"/>
      <c r="AM1288" s="7"/>
      <c r="AN1288" s="7"/>
      <c r="AO1288" s="7"/>
      <c r="AP1288" s="7"/>
    </row>
    <row r="1289" spans="1:44">
      <c r="A1289" s="5" t="s">
        <v>501</v>
      </c>
      <c r="C1289" s="419"/>
      <c r="D1289" s="983"/>
      <c r="F1289" s="490"/>
      <c r="G1289" s="983"/>
      <c r="I1289" s="490"/>
      <c r="J1289" s="490"/>
      <c r="K1289" s="983"/>
      <c r="M1289" s="490"/>
      <c r="N1289" s="490"/>
      <c r="O1289" s="983"/>
      <c r="Q1289" s="490"/>
      <c r="R1289" s="490"/>
      <c r="S1289" s="983"/>
      <c r="U1289" s="490"/>
      <c r="V1289" s="7"/>
      <c r="W1289" s="7"/>
      <c r="X1289" s="868"/>
      <c r="Y1289" s="868"/>
      <c r="Z1289" s="868"/>
      <c r="AA1289" s="868"/>
      <c r="AB1289" s="342"/>
      <c r="AC1289" s="342"/>
      <c r="AD1289" s="342"/>
      <c r="AE1289" s="342"/>
      <c r="AF1289" s="1084"/>
      <c r="AG1289" s="1084"/>
      <c r="AH1289" s="453"/>
      <c r="AI1289" s="7"/>
      <c r="AJ1289" s="7"/>
      <c r="AK1289" s="7"/>
      <c r="AL1289" s="7"/>
      <c r="AM1289" s="7"/>
      <c r="AN1289" s="7"/>
      <c r="AO1289" s="7"/>
      <c r="AP1289" s="7"/>
    </row>
    <row r="1290" spans="1:44">
      <c r="A1290" s="4" t="s">
        <v>502</v>
      </c>
      <c r="C1290" s="419">
        <v>0</v>
      </c>
      <c r="D1290" s="983">
        <v>38.58</v>
      </c>
      <c r="F1290" s="490">
        <f>ROUND(C1290*D1290,0)</f>
        <v>0</v>
      </c>
      <c r="G1290" s="983">
        <f t="shared" ref="G1290" si="202">ROUND(D1290+(D1290*$X$1267),2)</f>
        <v>38.58</v>
      </c>
      <c r="I1290" s="490">
        <f>ROUND(G1290*$C1290,0)</f>
        <v>0</v>
      </c>
      <c r="J1290" s="490"/>
      <c r="K1290" s="983" t="e">
        <f>#REF!</f>
        <v>#REF!</v>
      </c>
      <c r="M1290" s="490" t="e">
        <f>#REF!</f>
        <v>#REF!</v>
      </c>
      <c r="N1290" s="490"/>
      <c r="O1290" s="983" t="e">
        <f>#REF!</f>
        <v>#REF!</v>
      </c>
      <c r="Q1290" s="490" t="e">
        <f>#REF!</f>
        <v>#REF!</v>
      </c>
      <c r="R1290" s="490"/>
      <c r="S1290" s="983" t="e">
        <f>#REF!</f>
        <v>#REF!</v>
      </c>
      <c r="U1290" s="490" t="e">
        <f>#REF!</f>
        <v>#REF!</v>
      </c>
      <c r="V1290" s="7"/>
      <c r="W1290" s="165"/>
      <c r="X1290" s="31"/>
      <c r="Y1290" s="31"/>
      <c r="Z1290" s="287"/>
      <c r="AA1290" s="287"/>
      <c r="AB1290" s="167"/>
      <c r="AC1290" s="167"/>
      <c r="AD1290" s="167"/>
      <c r="AE1290" s="167"/>
      <c r="AF1290" s="1084"/>
      <c r="AG1290" s="1084"/>
      <c r="AH1290" s="165"/>
      <c r="AI1290" s="165"/>
      <c r="AJ1290" s="7"/>
      <c r="AK1290" s="165"/>
      <c r="AL1290" s="7"/>
      <c r="AM1290" s="7"/>
      <c r="AN1290" s="7"/>
      <c r="AO1290" s="7"/>
      <c r="AP1290" s="7"/>
    </row>
    <row r="1291" spans="1:44">
      <c r="A1291" s="4" t="s">
        <v>350</v>
      </c>
      <c r="C1291" s="419">
        <v>386</v>
      </c>
      <c r="D1291" s="983"/>
      <c r="F1291" s="490"/>
      <c r="G1291" s="983"/>
      <c r="I1291" s="490"/>
      <c r="J1291" s="490"/>
      <c r="K1291" s="983"/>
      <c r="M1291" s="490"/>
      <c r="N1291" s="490"/>
      <c r="O1291" s="983"/>
      <c r="Q1291" s="490"/>
      <c r="R1291" s="490"/>
      <c r="S1291" s="983"/>
      <c r="U1291" s="490"/>
      <c r="V1291" s="7"/>
      <c r="W1291" s="165"/>
      <c r="X1291" s="1085"/>
      <c r="Y1291" s="1085"/>
      <c r="Z1291" s="7"/>
      <c r="AA1291" s="7"/>
      <c r="AB1291" s="171"/>
      <c r="AC1291" s="171"/>
      <c r="AD1291" s="171"/>
      <c r="AE1291" s="171"/>
      <c r="AF1291" s="162"/>
      <c r="AG1291" s="162"/>
      <c r="AH1291" s="165"/>
      <c r="AI1291" s="165"/>
      <c r="AJ1291" s="165"/>
      <c r="AK1291" s="165"/>
      <c r="AL1291" s="7"/>
      <c r="AM1291" s="7"/>
      <c r="AN1291" s="7"/>
      <c r="AO1291" s="7"/>
      <c r="AP1291" s="7"/>
    </row>
    <row r="1292" spans="1:44" s="588" customFormat="1" hidden="1">
      <c r="A1292" s="588" t="s">
        <v>782</v>
      </c>
      <c r="C1292" s="631">
        <f>C1293</f>
        <v>1469704.1535796304</v>
      </c>
      <c r="D1292" s="987">
        <v>0</v>
      </c>
      <c r="E1292" s="616" t="s">
        <v>362</v>
      </c>
      <c r="F1292" s="616"/>
      <c r="G1292" s="987">
        <v>0</v>
      </c>
      <c r="H1292" s="616" t="s">
        <v>362</v>
      </c>
      <c r="I1292" s="616">
        <f>ROUND(G1292*$C1292/100,0)</f>
        <v>0</v>
      </c>
      <c r="J1292" s="616"/>
      <c r="K1292" s="987" t="e">
        <f>#REF!</f>
        <v>#REF!</v>
      </c>
      <c r="L1292" s="592" t="s">
        <v>31</v>
      </c>
      <c r="M1292" s="490" t="e">
        <f>#REF!</f>
        <v>#REF!</v>
      </c>
      <c r="N1292" s="616"/>
      <c r="O1292" s="987" t="e">
        <f>#REF!</f>
        <v>#REF!</v>
      </c>
      <c r="P1292" s="592" t="s">
        <v>31</v>
      </c>
      <c r="Q1292" s="490" t="e">
        <f>#REF!</f>
        <v>#REF!</v>
      </c>
      <c r="R1292" s="616"/>
      <c r="S1292" s="987" t="e">
        <f>#REF!</f>
        <v>#REF!</v>
      </c>
      <c r="T1292" s="592" t="s">
        <v>362</v>
      </c>
      <c r="U1292" s="490" t="e">
        <f>#REF!</f>
        <v>#REF!</v>
      </c>
      <c r="V1292" s="988" t="e">
        <f>#REF!</f>
        <v>#REF!</v>
      </c>
      <c r="W1292" s="450" t="s">
        <v>752</v>
      </c>
      <c r="Z1292" s="989"/>
      <c r="AA1292" s="989"/>
      <c r="AF1292" s="635"/>
      <c r="AG1292" s="635"/>
      <c r="AH1292" s="635"/>
      <c r="AI1292" s="635"/>
      <c r="AJ1292" s="635"/>
      <c r="AK1292" s="635"/>
      <c r="AL1292" s="635"/>
      <c r="AM1292" s="635"/>
      <c r="AN1292" s="635"/>
      <c r="AO1292" s="635"/>
      <c r="AP1292" s="635"/>
      <c r="AR1292" s="988"/>
    </row>
    <row r="1293" spans="1:44">
      <c r="A1293" s="4" t="s">
        <v>369</v>
      </c>
      <c r="C1293" s="419">
        <v>1469704.1535796304</v>
      </c>
      <c r="D1293" s="990"/>
      <c r="E1293" s="7"/>
      <c r="F1293" s="723">
        <f>SUM(F1263:F1290)</f>
        <v>191349</v>
      </c>
      <c r="G1293" s="990"/>
      <c r="H1293" s="7"/>
      <c r="I1293" s="723">
        <f>SUM(I1263:I1292)</f>
        <v>191349</v>
      </c>
      <c r="J1293" s="723"/>
      <c r="K1293" s="990"/>
      <c r="L1293" s="7"/>
      <c r="M1293" s="723" t="e">
        <f>SUM(M1263:M1292)</f>
        <v>#REF!</v>
      </c>
      <c r="N1293" s="723"/>
      <c r="O1293" s="990"/>
      <c r="P1293" s="7"/>
      <c r="Q1293" s="723" t="e">
        <f>SUM(Q1263:Q1292)</f>
        <v>#REF!</v>
      </c>
      <c r="R1293" s="723"/>
      <c r="S1293" s="990"/>
      <c r="T1293" s="7"/>
      <c r="U1293" s="723" t="e">
        <f>SUM(U1263:U1292)</f>
        <v>#REF!</v>
      </c>
      <c r="V1293" s="7"/>
      <c r="W1293" s="165"/>
      <c r="X1293" s="1086"/>
      <c r="Y1293" s="1086"/>
      <c r="Z1293" s="7"/>
      <c r="AA1293" s="7"/>
      <c r="AB1293" s="171"/>
      <c r="AC1293" s="171"/>
      <c r="AD1293" s="171"/>
      <c r="AE1293" s="171"/>
      <c r="AF1293" s="162"/>
      <c r="AG1293" s="162"/>
      <c r="AH1293" s="172"/>
      <c r="AI1293" s="162"/>
      <c r="AJ1293" s="162"/>
      <c r="AK1293" s="162"/>
      <c r="AL1293" s="7"/>
      <c r="AM1293" s="7"/>
      <c r="AN1293" s="7"/>
      <c r="AO1293" s="7"/>
      <c r="AP1293" s="7"/>
    </row>
    <row r="1294" spans="1:44">
      <c r="A1294" s="4" t="s">
        <v>351</v>
      </c>
      <c r="C1294" s="419">
        <f ca="1">'Table 2'!H130</f>
        <v>39593.244409251849</v>
      </c>
      <c r="D1294" s="990"/>
      <c r="E1294" s="7"/>
      <c r="F1294" s="723">
        <f>'Table 3'!E130</f>
        <v>2970.6738695347722</v>
      </c>
      <c r="G1294" s="990"/>
      <c r="H1294" s="7"/>
      <c r="I1294" s="723">
        <f>F1294</f>
        <v>2970.6738695347722</v>
      </c>
      <c r="J1294" s="723"/>
      <c r="K1294" s="990"/>
      <c r="L1294" s="7"/>
      <c r="M1294" s="723" t="e">
        <f>$I$1294*V1298/($V$1298+$W$1298+$X$1298)</f>
        <v>#DIV/0!</v>
      </c>
      <c r="N1294" s="723"/>
      <c r="O1294" s="305"/>
      <c r="P1294" s="305"/>
      <c r="Q1294" s="723" t="e">
        <f>$I$1294*W1298/($V$1298+$W$1298+$X$1298)</f>
        <v>#DIV/0!</v>
      </c>
      <c r="R1294" s="723"/>
      <c r="S1294" s="305"/>
      <c r="T1294" s="305"/>
      <c r="U1294" s="723" t="e">
        <f>$I$1294*X1298/($V$1298+$W$1298+$X$1298)</f>
        <v>#DIV/0!</v>
      </c>
      <c r="V1294" s="714"/>
      <c r="W1294" s="171"/>
      <c r="X1294" s="162"/>
      <c r="Y1294" s="162"/>
      <c r="Z1294" s="162"/>
      <c r="AA1294" s="162"/>
      <c r="AB1294" s="167"/>
      <c r="AC1294" s="167"/>
      <c r="AD1294" s="167"/>
      <c r="AE1294" s="167"/>
      <c r="AF1294" s="165"/>
      <c r="AG1294" s="162"/>
      <c r="AH1294" s="7"/>
      <c r="AI1294" s="7"/>
      <c r="AJ1294" s="7"/>
      <c r="AK1294" s="7"/>
      <c r="AL1294" s="7"/>
      <c r="AM1294" s="7"/>
      <c r="AN1294" s="7"/>
      <c r="AO1294" s="7"/>
      <c r="AP1294" s="7"/>
    </row>
    <row r="1295" spans="1:44" ht="16.5" thickBot="1">
      <c r="A1295" s="4" t="s">
        <v>9</v>
      </c>
      <c r="C1295" s="994">
        <f ca="1">C1293+C1294</f>
        <v>1509297.3979888824</v>
      </c>
      <c r="D1295" s="995"/>
      <c r="E1295" s="995"/>
      <c r="F1295" s="996">
        <f>F1293+F1294</f>
        <v>194319.67386953477</v>
      </c>
      <c r="G1295" s="995"/>
      <c r="H1295" s="995"/>
      <c r="I1295" s="996">
        <f>I1293+I1294</f>
        <v>194319.67386953477</v>
      </c>
      <c r="J1295" s="995"/>
      <c r="K1295" s="995"/>
      <c r="L1295" s="995"/>
      <c r="M1295" s="996" t="e">
        <f>M1293+M1294</f>
        <v>#REF!</v>
      </c>
      <c r="N1295" s="995"/>
      <c r="O1295" s="995"/>
      <c r="P1295" s="995"/>
      <c r="Q1295" s="996" t="e">
        <f>Q1293+Q1294</f>
        <v>#REF!</v>
      </c>
      <c r="R1295" s="995"/>
      <c r="S1295" s="995"/>
      <c r="T1295" s="995"/>
      <c r="U1295" s="996" t="e">
        <f>U1293+U1294</f>
        <v>#REF!</v>
      </c>
      <c r="V1295" s="440" t="s">
        <v>397</v>
      </c>
      <c r="W1295" s="997">
        <f ca="1">'Rate Spread targets'!Q41*1000</f>
        <v>197630.76419139362</v>
      </c>
      <c r="X1295" s="998">
        <f>(I1295-F1295)/F1295</f>
        <v>0</v>
      </c>
      <c r="Y1295" s="54"/>
      <c r="Z1295" s="162"/>
      <c r="AA1295" s="162"/>
      <c r="AB1295" s="162"/>
      <c r="AC1295" s="162"/>
      <c r="AD1295" s="162"/>
      <c r="AE1295" s="162"/>
      <c r="AF1295" s="162"/>
      <c r="AG1295" s="162"/>
      <c r="AH1295" s="7"/>
      <c r="AI1295" s="7"/>
      <c r="AJ1295" s="7"/>
      <c r="AK1295" s="7"/>
      <c r="AL1295" s="7"/>
      <c r="AM1295" s="7"/>
      <c r="AN1295" s="7"/>
      <c r="AO1295" s="7"/>
      <c r="AP1295" s="7"/>
    </row>
    <row r="1296" spans="1:44" ht="16.5" thickTop="1">
      <c r="A1296" s="728" t="s">
        <v>781</v>
      </c>
      <c r="C1296" s="1087" t="s">
        <v>31</v>
      </c>
      <c r="D1296" s="61" t="s">
        <v>31</v>
      </c>
      <c r="E1296" s="61"/>
      <c r="F1296" s="490"/>
      <c r="G1296" s="61" t="s">
        <v>31</v>
      </c>
      <c r="H1296" s="61"/>
      <c r="I1296" s="490" t="s">
        <v>31</v>
      </c>
      <c r="J1296" s="490"/>
      <c r="K1296" s="61" t="s">
        <v>31</v>
      </c>
      <c r="L1296" s="61"/>
      <c r="M1296" s="490" t="s">
        <v>31</v>
      </c>
      <c r="N1296" s="490"/>
      <c r="O1296" s="61" t="s">
        <v>31</v>
      </c>
      <c r="P1296" s="61"/>
      <c r="Q1296" s="490" t="s">
        <v>31</v>
      </c>
      <c r="R1296" s="490"/>
      <c r="S1296" s="61" t="s">
        <v>31</v>
      </c>
      <c r="T1296" s="61"/>
      <c r="U1296" s="490" t="s">
        <v>31</v>
      </c>
      <c r="V1296" s="441" t="s">
        <v>256</v>
      </c>
      <c r="W1296" s="1001">
        <f ca="1">W1295-I1295</f>
        <v>3311.0903218588501</v>
      </c>
      <c r="X1296" s="451">
        <v>-0.14423</v>
      </c>
      <c r="Y1296" s="1028"/>
      <c r="Z1296" s="162"/>
      <c r="AA1296" s="162"/>
      <c r="AB1296" s="162"/>
      <c r="AC1296" s="162"/>
      <c r="AD1296" s="162"/>
      <c r="AE1296" s="162"/>
      <c r="AF1296" s="162"/>
      <c r="AG1296" s="162"/>
      <c r="AH1296" s="7"/>
      <c r="AI1296" s="7"/>
      <c r="AJ1296" s="7"/>
      <c r="AK1296" s="7"/>
      <c r="AL1296" s="7"/>
      <c r="AM1296" s="7"/>
      <c r="AN1296" s="7"/>
      <c r="AO1296" s="7"/>
      <c r="AP1296" s="7"/>
    </row>
    <row r="1297" spans="1:42">
      <c r="C1297" s="999"/>
      <c r="D1297" s="61"/>
      <c r="E1297" s="61"/>
      <c r="F1297" s="490"/>
      <c r="G1297" s="61"/>
      <c r="H1297" s="61"/>
      <c r="I1297" s="490"/>
      <c r="J1297" s="490"/>
      <c r="K1297" s="61"/>
      <c r="L1297" s="61"/>
      <c r="M1297" s="490"/>
      <c r="N1297" s="490"/>
      <c r="O1297" s="61"/>
      <c r="P1297" s="61"/>
      <c r="Q1297" s="490"/>
      <c r="R1297" s="490"/>
      <c r="S1297" s="61"/>
      <c r="T1297" s="61"/>
      <c r="U1297" s="490"/>
      <c r="V1297" s="540"/>
      <c r="W1297" s="540"/>
      <c r="X1297" s="540"/>
      <c r="Y1297" s="1028"/>
      <c r="Z1297" s="162"/>
      <c r="AA1297" s="162"/>
      <c r="AB1297" s="162"/>
      <c r="AC1297" s="162"/>
      <c r="AD1297" s="162"/>
      <c r="AE1297" s="162"/>
      <c r="AF1297" s="162"/>
      <c r="AG1297" s="162"/>
      <c r="AH1297" s="7"/>
      <c r="AI1297" s="7"/>
      <c r="AJ1297" s="7"/>
      <c r="AK1297" s="7"/>
      <c r="AL1297" s="7"/>
      <c r="AM1297" s="7"/>
      <c r="AN1297" s="7"/>
      <c r="AO1297" s="7"/>
      <c r="AP1297" s="7"/>
    </row>
    <row r="1298" spans="1:42">
      <c r="C1298" s="999"/>
      <c r="D1298" s="61"/>
      <c r="E1298" s="61"/>
      <c r="F1298" s="490"/>
      <c r="G1298" s="61"/>
      <c r="H1298" s="61"/>
      <c r="I1298" s="490"/>
      <c r="J1298" s="490"/>
      <c r="K1298" s="61"/>
      <c r="L1298" s="61"/>
      <c r="M1298" s="490"/>
      <c r="N1298" s="490"/>
      <c r="O1298" s="61"/>
      <c r="P1298" s="61"/>
      <c r="Q1298" s="490"/>
      <c r="R1298" s="490"/>
      <c r="S1298" s="61"/>
      <c r="T1298" s="61"/>
      <c r="U1298" s="490"/>
      <c r="V1298" s="342"/>
      <c r="W1298" s="342"/>
      <c r="X1298" s="342"/>
      <c r="Y1298" s="1028"/>
      <c r="Z1298" s="162"/>
      <c r="AA1298" s="162"/>
      <c r="AB1298" s="162"/>
      <c r="AC1298" s="162"/>
      <c r="AD1298" s="162"/>
      <c r="AE1298" s="162"/>
      <c r="AF1298" s="162"/>
      <c r="AG1298" s="162"/>
      <c r="AH1298" s="7"/>
      <c r="AI1298" s="7"/>
      <c r="AJ1298" s="7"/>
      <c r="AK1298" s="7"/>
      <c r="AL1298" s="7"/>
      <c r="AM1298" s="7"/>
      <c r="AN1298" s="7"/>
      <c r="AO1298" s="7"/>
      <c r="AP1298" s="7"/>
    </row>
    <row r="1299" spans="1:42">
      <c r="B1299" s="1016"/>
      <c r="C1299" s="61"/>
      <c r="D1299" s="237"/>
      <c r="F1299" s="490"/>
      <c r="G1299" s="237"/>
      <c r="I1299" s="490"/>
      <c r="J1299" s="490"/>
      <c r="K1299" s="237"/>
      <c r="M1299" s="490"/>
      <c r="N1299" s="490"/>
      <c r="O1299" s="237"/>
      <c r="Q1299" s="490"/>
      <c r="R1299" s="490"/>
      <c r="S1299" s="237"/>
      <c r="U1299" s="490"/>
      <c r="V1299" s="7"/>
      <c r="W1299" s="31"/>
      <c r="X1299" s="31"/>
      <c r="Y1299" s="31"/>
      <c r="Z1299" s="7"/>
      <c r="AA1299" s="7"/>
      <c r="AB1299" s="7"/>
      <c r="AC1299" s="7"/>
      <c r="AD1299" s="7"/>
      <c r="AE1299" s="7"/>
      <c r="AF1299" s="7"/>
      <c r="AG1299" s="7"/>
      <c r="AH1299" s="7"/>
      <c r="AI1299" s="7"/>
      <c r="AJ1299" s="7"/>
      <c r="AK1299" s="7"/>
    </row>
    <row r="1300" spans="1:42" ht="19.899999999999999" customHeight="1" thickBot="1">
      <c r="A1300" s="1033" t="s">
        <v>503</v>
      </c>
      <c r="B1300" s="1016"/>
      <c r="C1300" s="1088">
        <f ca="1">C27+C101+C221+C613+C653+C785+C913+C931+C1164+C1181+C1195+C1255+C1295</f>
        <v>4031133626.0945606</v>
      </c>
      <c r="D1300" s="1089"/>
      <c r="E1300" s="1089"/>
      <c r="F1300" s="1089">
        <f ca="1">F27+F101+F221+F613+F653+F785+F913+F931+F1164+F1181+F1195+F1255+F1295</f>
        <v>348678802.68528271</v>
      </c>
      <c r="G1300" s="1089"/>
      <c r="H1300" s="1089"/>
      <c r="I1300" s="1089">
        <f ca="1">I27+I101+I221+I613+I653+I785+I913+I969+I1026+I1120+I1164+I1181+I1195+I1255+I1295</f>
        <v>350780346.72186744</v>
      </c>
      <c r="J1300" s="1089"/>
      <c r="K1300" s="1089"/>
      <c r="L1300" s="1089"/>
      <c r="M1300" s="1089" t="e">
        <f ca="1">M27+M101+M221+M613+M653+M785+M913+M969+M1026+M1120+M1164+M1181+M1195+M1255+M1295</f>
        <v>#REF!</v>
      </c>
      <c r="N1300" s="1089"/>
      <c r="O1300" s="1089"/>
      <c r="P1300" s="1089"/>
      <c r="Q1300" s="1089" t="e">
        <f ca="1">Q27+Q101+Q221+Q613+Q653+Q785+Q913+Q969+Q1026+Q1120+Q1164+Q1181+Q1195+Q1255+Q1295</f>
        <v>#REF!</v>
      </c>
      <c r="R1300" s="1089"/>
      <c r="S1300" s="1089"/>
      <c r="T1300" s="1089"/>
      <c r="U1300" s="1089" t="e">
        <f ca="1">U27+U101+U221+U613+U653+U785+U913+U969+U1026+U1120+U1164+U1181+U1195+U1255+U1295</f>
        <v>#REF!</v>
      </c>
      <c r="V1300" s="442" t="s">
        <v>397</v>
      </c>
      <c r="W1300" s="443">
        <f ca="1">W27+W101+W221+W653+W785+W950+W1120+W1164+W1181+W1195+W1255+W1295</f>
        <v>354620079.68528265</v>
      </c>
      <c r="X1300" s="31"/>
      <c r="Y1300" s="31"/>
      <c r="Z1300" s="7"/>
      <c r="AA1300" s="7"/>
      <c r="AB1300" s="7"/>
      <c r="AC1300" s="7"/>
      <c r="AD1300" s="7"/>
      <c r="AE1300" s="7"/>
      <c r="AF1300" s="7"/>
      <c r="AG1300" s="7"/>
      <c r="AH1300" s="7"/>
      <c r="AI1300" s="7"/>
      <c r="AJ1300" s="7"/>
      <c r="AK1300" s="7"/>
    </row>
    <row r="1301" spans="1:42" ht="16.5" thickTop="1">
      <c r="A1301" s="305"/>
      <c r="B1301" s="1016"/>
      <c r="C1301" s="237"/>
      <c r="D1301" s="237" t="s">
        <v>31</v>
      </c>
      <c r="E1301" s="305"/>
      <c r="F1301" s="490"/>
      <c r="G1301" s="237" t="s">
        <v>31</v>
      </c>
      <c r="H1301" s="305"/>
      <c r="I1301" s="490" t="s">
        <v>31</v>
      </c>
      <c r="J1301" s="1090"/>
      <c r="K1301" s="237" t="s">
        <v>31</v>
      </c>
      <c r="L1301" s="305"/>
      <c r="M1301" s="490" t="s">
        <v>31</v>
      </c>
      <c r="N1301" s="490"/>
      <c r="O1301" s="237" t="s">
        <v>31</v>
      </c>
      <c r="P1301" s="305"/>
      <c r="Q1301" s="490" t="s">
        <v>31</v>
      </c>
      <c r="R1301" s="490"/>
      <c r="S1301" s="237" t="s">
        <v>31</v>
      </c>
      <c r="T1301" s="305"/>
      <c r="U1301" s="490" t="s">
        <v>31</v>
      </c>
      <c r="V1301" s="568" t="s">
        <v>256</v>
      </c>
      <c r="W1301" s="1091">
        <f ca="1">W1300-I1300</f>
        <v>3839732.9634152055</v>
      </c>
      <c r="X1301" s="1092" t="s">
        <v>31</v>
      </c>
      <c r="Y1301" s="1092"/>
      <c r="Z1301" s="7"/>
      <c r="AA1301" s="7"/>
      <c r="AB1301" s="7"/>
      <c r="AC1301" s="7"/>
      <c r="AD1301" s="7"/>
      <c r="AE1301" s="7"/>
      <c r="AF1301" s="7"/>
      <c r="AG1301" s="7"/>
      <c r="AH1301" s="7"/>
      <c r="AI1301" s="7"/>
      <c r="AJ1301" s="7"/>
      <c r="AK1301" s="7"/>
    </row>
    <row r="1302" spans="1:42">
      <c r="A1302" s="305" t="s">
        <v>34</v>
      </c>
      <c r="B1302" s="1016"/>
      <c r="C1302" s="1093"/>
      <c r="D1302" s="340"/>
      <c r="E1302" s="1094"/>
      <c r="F1302" s="1095">
        <f ca="1">'Table 3'!D25+'Table 3'!D56+'Table 3'!D88+'Table 3'!D108+'Table 3'!D134</f>
        <v>727802.09999999986</v>
      </c>
      <c r="G1302" s="340"/>
      <c r="H1302" s="1094"/>
      <c r="I1302" s="1095">
        <f ca="1">F1302</f>
        <v>727802.09999999986</v>
      </c>
      <c r="J1302" s="723"/>
      <c r="K1302" s="340"/>
      <c r="L1302" s="1094"/>
      <c r="M1302" s="1095">
        <f ca="1">I1302</f>
        <v>727802.09999999986</v>
      </c>
      <c r="N1302" s="1096"/>
      <c r="O1302" s="340"/>
      <c r="P1302" s="1094"/>
      <c r="Q1302" s="1095" t="s">
        <v>31</v>
      </c>
      <c r="R1302" s="1096"/>
      <c r="S1302" s="340"/>
      <c r="T1302" s="1094"/>
      <c r="U1302" s="1095" t="str">
        <f>Q1302</f>
        <v xml:space="preserve"> </v>
      </c>
      <c r="Z1302" s="7"/>
      <c r="AA1302" s="7"/>
      <c r="AB1302" s="7"/>
      <c r="AC1302" s="7"/>
      <c r="AD1302" s="7"/>
      <c r="AE1302" s="7"/>
      <c r="AF1302" s="7"/>
      <c r="AG1302" s="7"/>
      <c r="AH1302" s="7"/>
      <c r="AI1302" s="7"/>
      <c r="AJ1302" s="7"/>
      <c r="AK1302" s="7"/>
    </row>
    <row r="1303" spans="1:42" ht="19.899999999999999" customHeight="1" thickBot="1">
      <c r="A1303" s="1097" t="s">
        <v>504</v>
      </c>
      <c r="B1303" s="1098"/>
      <c r="C1303" s="1099">
        <f ca="1">C1300+C1302</f>
        <v>4031133626.0945606</v>
      </c>
      <c r="D1303" s="1100"/>
      <c r="E1303" s="1101"/>
      <c r="F1303" s="1102">
        <f ca="1">F1300+F1302</f>
        <v>349406604.78528273</v>
      </c>
      <c r="G1303" s="1103"/>
      <c r="H1303" s="1101"/>
      <c r="I1303" s="1102">
        <f ca="1">I1300+I1302</f>
        <v>351508148.82186747</v>
      </c>
      <c r="J1303" s="1104"/>
      <c r="K1303" s="1103"/>
      <c r="L1303" s="1101"/>
      <c r="M1303" s="1102" t="e">
        <f ca="1">M1300+M1302</f>
        <v>#REF!</v>
      </c>
      <c r="N1303" s="1102"/>
      <c r="O1303" s="1103"/>
      <c r="P1303" s="1101"/>
      <c r="Q1303" s="1102" t="e">
        <f ca="1">Q1300+Q1302</f>
        <v>#REF!</v>
      </c>
      <c r="R1303" s="1102"/>
      <c r="S1303" s="1103"/>
      <c r="T1303" s="1101"/>
      <c r="U1303" s="1102" t="e">
        <f ca="1">U1300+U1302</f>
        <v>#REF!</v>
      </c>
      <c r="W1303" s="4"/>
      <c r="X1303" s="4"/>
      <c r="Y1303" s="4"/>
      <c r="Z1303" s="7"/>
      <c r="AA1303" s="7"/>
      <c r="AB1303" s="7"/>
      <c r="AC1303" s="7"/>
      <c r="AD1303" s="7"/>
      <c r="AE1303" s="7"/>
      <c r="AF1303" s="7"/>
      <c r="AG1303" s="7"/>
      <c r="AH1303" s="7"/>
      <c r="AI1303" s="7"/>
      <c r="AJ1303" s="7"/>
      <c r="AK1303" s="7"/>
    </row>
    <row r="1304" spans="1:42" ht="16.5" thickTop="1">
      <c r="A1304" s="305"/>
      <c r="B1304" s="1016"/>
      <c r="C1304" s="61"/>
      <c r="D1304" s="237"/>
      <c r="E1304" s="1043"/>
      <c r="F1304" s="490" t="s">
        <v>31</v>
      </c>
      <c r="G1304" s="237"/>
      <c r="H1304" s="305"/>
      <c r="I1304" s="490"/>
      <c r="J1304" s="490"/>
      <c r="K1304" s="237"/>
      <c r="L1304" s="305"/>
      <c r="M1304" s="490"/>
      <c r="N1304" s="490"/>
      <c r="O1304" s="237"/>
      <c r="P1304" s="305"/>
      <c r="Q1304" s="490"/>
      <c r="R1304" s="490"/>
      <c r="S1304" s="237"/>
      <c r="T1304" s="305"/>
      <c r="U1304" s="490"/>
      <c r="V1304" s="7"/>
      <c r="W1304" s="31"/>
      <c r="X1304" s="31"/>
      <c r="Y1304" s="31"/>
      <c r="Z1304" s="7"/>
      <c r="AA1304" s="7"/>
      <c r="AB1304" s="7"/>
      <c r="AC1304" s="7"/>
      <c r="AD1304" s="7"/>
      <c r="AE1304" s="7"/>
      <c r="AF1304" s="7"/>
      <c r="AG1304" s="7"/>
      <c r="AH1304" s="7"/>
      <c r="AI1304" s="7"/>
      <c r="AJ1304" s="7"/>
      <c r="AK1304" s="7"/>
    </row>
    <row r="1305" spans="1:42">
      <c r="C1305" s="999"/>
      <c r="D1305" s="991"/>
      <c r="E1305" s="991"/>
      <c r="F1305" s="1105"/>
      <c r="I1305" s="419"/>
      <c r="J1305" s="419"/>
      <c r="M1305" s="419"/>
      <c r="N1305" s="419"/>
      <c r="Q1305" s="419"/>
      <c r="R1305" s="419"/>
      <c r="U1305" s="419"/>
      <c r="V1305" s="7"/>
      <c r="W1305" s="31"/>
      <c r="X1305" s="31"/>
      <c r="Y1305" s="31"/>
      <c r="Z1305" s="7"/>
      <c r="AA1305" s="7"/>
      <c r="AB1305" s="7"/>
      <c r="AC1305" s="7"/>
      <c r="AD1305" s="7"/>
      <c r="AE1305" s="7"/>
      <c r="AF1305" s="7"/>
      <c r="AG1305" s="7"/>
      <c r="AH1305" s="7"/>
      <c r="AI1305" s="7"/>
      <c r="AJ1305" s="7"/>
      <c r="AK1305" s="7"/>
    </row>
    <row r="1306" spans="1:42">
      <c r="A1306" s="1106"/>
      <c r="V1306" s="7"/>
      <c r="W1306" s="31"/>
      <c r="X1306" s="31"/>
      <c r="Y1306" s="31"/>
      <c r="Z1306" s="7"/>
      <c r="AA1306" s="7"/>
      <c r="AB1306" s="7"/>
      <c r="AC1306" s="7"/>
      <c r="AD1306" s="7"/>
      <c r="AE1306" s="7"/>
      <c r="AF1306" s="7"/>
      <c r="AG1306" s="7"/>
      <c r="AH1306" s="7"/>
      <c r="AI1306" s="7"/>
      <c r="AJ1306" s="7"/>
      <c r="AK1306" s="7"/>
    </row>
    <row r="1307" spans="1:42">
      <c r="A1307" s="305" t="s">
        <v>31</v>
      </c>
      <c r="B1307" s="4" t="s">
        <v>31</v>
      </c>
      <c r="C1307" s="419" t="s">
        <v>31</v>
      </c>
      <c r="F1307" s="496" t="s">
        <v>31</v>
      </c>
      <c r="I1307" s="496" t="s">
        <v>31</v>
      </c>
      <c r="J1307" s="496"/>
      <c r="M1307" s="496" t="e">
        <f>M23+M95+M96+M199+M200+M201+M632+M633+M759+M910+M965+M1022+M1116+M1161+M1192+M1251+M1292</f>
        <v>#REF!</v>
      </c>
      <c r="N1307" s="496"/>
      <c r="Q1307" s="496" t="e">
        <f>Q23+Q95+Q96+Q199+Q200+Q201+Q632+Q633+Q759+Q910+Q965+Q1022+Q1116+Q1161+Q1192+Q1251+Q1292</f>
        <v>#REF!</v>
      </c>
      <c r="R1307" s="496"/>
      <c r="U1307" s="496" t="e">
        <f>U23+U95+U96+U199+U200+U201+U632+U633+U759+U910+U965+U1022+U1116+U1161+U1192+U1251+U1292</f>
        <v>#REF!</v>
      </c>
      <c r="V1307" s="342" t="s">
        <v>31</v>
      </c>
      <c r="W1307" s="31"/>
      <c r="X1307" s="31"/>
      <c r="Y1307" s="31"/>
      <c r="Z1307" s="7"/>
      <c r="AA1307" s="7"/>
      <c r="AB1307" s="7"/>
      <c r="AC1307" s="7"/>
      <c r="AD1307" s="7"/>
      <c r="AE1307" s="7"/>
      <c r="AF1307" s="7"/>
      <c r="AG1307" s="7"/>
      <c r="AH1307" s="7"/>
      <c r="AI1307" s="7"/>
      <c r="AJ1307" s="7"/>
      <c r="AK1307" s="7"/>
    </row>
    <row r="1308" spans="1:42">
      <c r="B1308" s="4" t="s">
        <v>31</v>
      </c>
      <c r="C1308" s="419" t="s">
        <v>31</v>
      </c>
      <c r="D1308" s="4" t="s">
        <v>31</v>
      </c>
      <c r="E1308" s="4" t="s">
        <v>31</v>
      </c>
      <c r="F1308" s="496" t="s">
        <v>31</v>
      </c>
      <c r="V1308" s="7"/>
      <c r="W1308" s="31"/>
      <c r="X1308" s="31"/>
      <c r="Y1308" s="31"/>
      <c r="Z1308" s="7"/>
      <c r="AA1308" s="7"/>
      <c r="AB1308" s="7"/>
      <c r="AC1308" s="7"/>
      <c r="AD1308" s="7"/>
      <c r="AE1308" s="7"/>
      <c r="AF1308" s="7"/>
      <c r="AG1308" s="7"/>
      <c r="AH1308" s="7"/>
      <c r="AI1308" s="7"/>
      <c r="AJ1308" s="7"/>
      <c r="AK1308" s="7"/>
    </row>
    <row r="1309" spans="1:42">
      <c r="V1309" s="7"/>
      <c r="W1309" s="31"/>
      <c r="X1309" s="31"/>
      <c r="Y1309" s="31"/>
      <c r="Z1309" s="7"/>
      <c r="AA1309" s="7"/>
      <c r="AB1309" s="7"/>
      <c r="AC1309" s="7"/>
      <c r="AD1309" s="7"/>
      <c r="AE1309" s="7"/>
      <c r="AF1309" s="7"/>
      <c r="AG1309" s="7"/>
      <c r="AH1309" s="7"/>
      <c r="AI1309" s="7"/>
      <c r="AJ1309" s="7"/>
      <c r="AK1309" s="7"/>
    </row>
    <row r="1310" spans="1:42">
      <c r="B1310" s="4" t="s">
        <v>31</v>
      </c>
      <c r="C1310" s="419" t="s">
        <v>31</v>
      </c>
      <c r="D1310" s="4" t="s">
        <v>31</v>
      </c>
      <c r="E1310" s="4" t="s">
        <v>31</v>
      </c>
      <c r="F1310" s="419" t="s">
        <v>31</v>
      </c>
      <c r="V1310" s="7"/>
      <c r="W1310" s="31"/>
      <c r="X1310" s="31"/>
      <c r="Y1310" s="31"/>
      <c r="Z1310" s="7"/>
      <c r="AA1310" s="7"/>
      <c r="AB1310" s="7"/>
      <c r="AC1310" s="7"/>
      <c r="AD1310" s="7"/>
      <c r="AE1310" s="7"/>
      <c r="AF1310" s="7"/>
      <c r="AG1310" s="7"/>
      <c r="AH1310" s="7"/>
      <c r="AI1310" s="7"/>
      <c r="AJ1310" s="7"/>
      <c r="AK1310" s="7"/>
    </row>
    <row r="1311" spans="1:42">
      <c r="V1311" s="7"/>
      <c r="W1311" s="31"/>
      <c r="X1311" s="31"/>
      <c r="Y1311" s="31"/>
      <c r="Z1311" s="7"/>
      <c r="AA1311" s="7"/>
      <c r="AB1311" s="7"/>
      <c r="AC1311" s="7"/>
      <c r="AD1311" s="7"/>
      <c r="AE1311" s="7"/>
      <c r="AF1311" s="7"/>
      <c r="AG1311" s="7"/>
      <c r="AH1311" s="7"/>
      <c r="AI1311" s="7"/>
      <c r="AJ1311" s="7"/>
      <c r="AK1311" s="7"/>
    </row>
    <row r="1313" spans="2:25">
      <c r="B1313" s="4" t="s">
        <v>31</v>
      </c>
      <c r="C1313" s="419" t="s">
        <v>31</v>
      </c>
    </row>
    <row r="1314" spans="2:25">
      <c r="B1314" s="4" t="s">
        <v>31</v>
      </c>
      <c r="C1314" s="419" t="s">
        <v>31</v>
      </c>
    </row>
    <row r="1315" spans="2:25">
      <c r="B1315" s="4" t="s">
        <v>31</v>
      </c>
      <c r="C1315" s="419" t="s">
        <v>31</v>
      </c>
      <c r="W1315" s="4"/>
      <c r="X1315" s="4"/>
      <c r="Y1315" s="4"/>
    </row>
    <row r="1316" spans="2:25">
      <c r="B1316" s="4" t="s">
        <v>31</v>
      </c>
      <c r="C1316" s="419" t="s">
        <v>31</v>
      </c>
      <c r="W1316" s="4"/>
      <c r="X1316" s="4"/>
      <c r="Y1316" s="4"/>
    </row>
  </sheetData>
  <mergeCells count="6">
    <mergeCell ref="A1:I1"/>
    <mergeCell ref="A2:I2"/>
    <mergeCell ref="A3:I3"/>
    <mergeCell ref="A4:I4"/>
    <mergeCell ref="G9:I9"/>
    <mergeCell ref="D9:F9"/>
  </mergeCells>
  <printOptions horizontalCentered="1"/>
  <pageMargins left="0" right="0" top="0.25" bottom="0.05" header="0.5" footer="0.25"/>
  <pageSetup scale="63" fitToHeight="13" orientation="portrait" r:id="rId1"/>
  <headerFooter alignWithMargins="0"/>
  <rowBreaks count="6" manualBreakCount="6">
    <brk id="180" max="23" man="1"/>
    <brk id="222" max="23" man="1"/>
    <brk id="732" max="23" man="1"/>
    <brk id="1101" max="23" man="1"/>
    <brk id="1184" max="23" man="1"/>
    <brk id="1258" max="2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7"/>
  <sheetViews>
    <sheetView workbookViewId="0">
      <selection activeCell="B8" sqref="B8"/>
    </sheetView>
  </sheetViews>
  <sheetFormatPr defaultColWidth="8.5" defaultRowHeight="15"/>
  <cols>
    <col min="1" max="1" width="4.625" style="438" customWidth="1"/>
    <col min="2" max="2" width="8.5" style="438"/>
    <col min="3" max="3" width="2.75" style="438" customWidth="1"/>
    <col min="4" max="4" width="7" style="438" bestFit="1" customWidth="1"/>
    <col min="5" max="5" width="2.875" style="438" customWidth="1"/>
    <col min="6" max="6" width="8.25" style="438" bestFit="1" customWidth="1"/>
    <col min="7" max="7" width="2.875" style="438" customWidth="1"/>
    <col min="8" max="8" width="6.75" style="438" bestFit="1" customWidth="1"/>
    <col min="9" max="9" width="2.875" style="438" customWidth="1"/>
    <col min="10" max="10" width="8.25" style="438" bestFit="1" customWidth="1"/>
    <col min="11" max="11" width="2.625" style="438" customWidth="1"/>
    <col min="12" max="12" width="8.25" style="438" bestFit="1" customWidth="1"/>
    <col min="13" max="13" width="2.625" style="438" customWidth="1"/>
    <col min="14" max="14" width="9" style="438" bestFit="1" customWidth="1"/>
    <col min="15" max="15" width="2.875" style="438" customWidth="1"/>
    <col min="16" max="16" width="7.75" style="438" bestFit="1" customWidth="1"/>
    <col min="17" max="17" width="2.875" style="438" customWidth="1"/>
    <col min="18" max="18" width="7.75" style="438" customWidth="1"/>
    <col min="19" max="19" width="3.125" style="438" customWidth="1"/>
    <col min="20" max="20" width="7.25" style="438" customWidth="1"/>
    <col min="21" max="21" width="2.25" style="438" customWidth="1"/>
    <col min="22" max="22" width="15.125" style="438" customWidth="1"/>
    <col min="23" max="23" width="15.25" style="438" customWidth="1"/>
    <col min="24" max="24" width="9.125" style="438" customWidth="1"/>
    <col min="25" max="25" width="8.25" style="438" customWidth="1"/>
    <col min="26" max="26" width="1.625" style="438" customWidth="1"/>
    <col min="27" max="16384" width="8.5" style="438"/>
  </cols>
  <sheetData>
    <row r="1" spans="1:29" ht="18.75">
      <c r="B1" s="846" t="s">
        <v>72</v>
      </c>
      <c r="C1" s="846"/>
      <c r="D1" s="846"/>
      <c r="E1" s="846"/>
      <c r="F1" s="846"/>
      <c r="G1" s="846"/>
      <c r="H1" s="846"/>
      <c r="I1" s="846"/>
      <c r="J1" s="846"/>
      <c r="K1" s="846"/>
      <c r="L1" s="846"/>
      <c r="M1" s="846"/>
      <c r="N1" s="846"/>
      <c r="O1" s="846"/>
      <c r="P1" s="846"/>
      <c r="Q1" s="846"/>
      <c r="R1" s="846"/>
      <c r="S1" s="846"/>
      <c r="T1" s="846"/>
    </row>
    <row r="2" spans="1:29" ht="18.75">
      <c r="A2" s="638"/>
      <c r="B2" s="846" t="s">
        <v>508</v>
      </c>
      <c r="C2" s="846"/>
      <c r="D2" s="846"/>
      <c r="E2" s="846"/>
      <c r="F2" s="846"/>
      <c r="G2" s="846"/>
      <c r="H2" s="846"/>
      <c r="I2" s="846"/>
      <c r="J2" s="846"/>
      <c r="K2" s="846"/>
      <c r="L2" s="846"/>
      <c r="M2" s="846"/>
      <c r="N2" s="846"/>
      <c r="O2" s="846"/>
      <c r="P2" s="846"/>
      <c r="Q2" s="846"/>
      <c r="R2" s="846"/>
      <c r="S2" s="846"/>
      <c r="T2" s="846"/>
    </row>
    <row r="3" spans="1:29" ht="18.75">
      <c r="A3" s="638"/>
      <c r="B3" s="846" t="s">
        <v>509</v>
      </c>
      <c r="C3" s="846"/>
      <c r="D3" s="846"/>
      <c r="E3" s="846"/>
      <c r="F3" s="846"/>
      <c r="G3" s="846"/>
      <c r="H3" s="846"/>
      <c r="I3" s="846"/>
      <c r="J3" s="846"/>
      <c r="K3" s="846"/>
      <c r="L3" s="846"/>
      <c r="M3" s="846"/>
      <c r="N3" s="846"/>
      <c r="O3" s="846"/>
      <c r="P3" s="846"/>
      <c r="Q3" s="846"/>
      <c r="R3" s="846"/>
      <c r="S3" s="846"/>
      <c r="T3" s="846"/>
    </row>
    <row r="4" spans="1:29" ht="18.75">
      <c r="B4" s="367" t="s">
        <v>31</v>
      </c>
      <c r="C4" s="367"/>
      <c r="D4" s="367"/>
      <c r="E4" s="367"/>
      <c r="F4" s="367"/>
      <c r="G4" s="367"/>
      <c r="H4" s="367"/>
      <c r="I4" s="367"/>
      <c r="J4" s="367"/>
      <c r="K4" s="367"/>
      <c r="L4" s="367"/>
      <c r="M4" s="367"/>
      <c r="N4" s="367"/>
      <c r="O4" s="367"/>
      <c r="P4" s="367"/>
      <c r="Q4" s="367"/>
      <c r="R4" s="367"/>
      <c r="S4" s="367"/>
      <c r="T4" s="367"/>
    </row>
    <row r="6" spans="1:29" ht="18.75" thickBot="1">
      <c r="J6" s="845" t="s">
        <v>713</v>
      </c>
      <c r="K6" s="845"/>
      <c r="L6" s="845"/>
      <c r="M6" s="845"/>
      <c r="N6" s="845"/>
      <c r="O6" s="845"/>
      <c r="P6" s="845"/>
      <c r="Q6" s="642"/>
      <c r="R6" s="642"/>
      <c r="S6" s="642"/>
      <c r="U6" s="638"/>
    </row>
    <row r="7" spans="1:29">
      <c r="D7" s="845" t="s">
        <v>711</v>
      </c>
      <c r="E7" s="845"/>
      <c r="F7" s="845"/>
      <c r="G7" s="845"/>
      <c r="H7" s="845"/>
      <c r="I7" s="642"/>
      <c r="J7" s="642" t="s">
        <v>31</v>
      </c>
      <c r="K7" s="643"/>
      <c r="L7" s="643" t="s">
        <v>31</v>
      </c>
      <c r="N7" s="845" t="s">
        <v>164</v>
      </c>
      <c r="O7" s="845"/>
      <c r="P7" s="845"/>
      <c r="Q7" s="642"/>
      <c r="R7" s="845" t="s">
        <v>787</v>
      </c>
      <c r="S7" s="845"/>
      <c r="T7" s="845"/>
      <c r="U7" s="643"/>
      <c r="V7" s="970" t="s">
        <v>512</v>
      </c>
      <c r="W7" s="951"/>
      <c r="X7" s="970" t="s">
        <v>513</v>
      </c>
      <c r="Y7" s="951"/>
    </row>
    <row r="8" spans="1:29" ht="18">
      <c r="B8" s="790" t="s">
        <v>25</v>
      </c>
      <c r="D8" s="455" t="s">
        <v>190</v>
      </c>
      <c r="E8" s="368" t="s">
        <v>31</v>
      </c>
      <c r="F8" s="455" t="s">
        <v>295</v>
      </c>
      <c r="G8" s="368" t="s">
        <v>31</v>
      </c>
      <c r="H8" s="790" t="s">
        <v>164</v>
      </c>
      <c r="I8" s="642"/>
      <c r="J8" s="455" t="s">
        <v>190</v>
      </c>
      <c r="K8" s="368" t="s">
        <v>31</v>
      </c>
      <c r="L8" s="455" t="s">
        <v>295</v>
      </c>
      <c r="M8" s="368" t="s">
        <v>31</v>
      </c>
      <c r="N8" s="790" t="s">
        <v>70</v>
      </c>
      <c r="P8" s="730" t="s">
        <v>304</v>
      </c>
      <c r="Q8" s="643"/>
      <c r="R8" s="721" t="s">
        <v>70</v>
      </c>
      <c r="S8" s="643"/>
      <c r="T8" s="790" t="s">
        <v>304</v>
      </c>
      <c r="V8" s="726" t="s">
        <v>514</v>
      </c>
      <c r="W8" s="938">
        <f>'Exhibit No.__(RMM-11) p1-8'!D89</f>
        <v>7.75</v>
      </c>
      <c r="X8" s="726"/>
      <c r="Y8" s="938">
        <f>'Exhibit No.__(RMM-11) p1-8'!G89</f>
        <v>7.75</v>
      </c>
    </row>
    <row r="9" spans="1:29">
      <c r="B9" s="369"/>
      <c r="D9" s="369"/>
      <c r="E9" s="369"/>
      <c r="F9" s="369"/>
      <c r="J9" s="369"/>
      <c r="K9" s="369"/>
      <c r="L9" s="369"/>
      <c r="V9" s="726" t="s">
        <v>515</v>
      </c>
      <c r="W9" s="952">
        <f>'Exhibit No.__(RMM-11) p1-8'!D90+Y11+Y19</f>
        <v>7.0680000000000005</v>
      </c>
      <c r="X9" s="726"/>
      <c r="Y9" s="978">
        <f ca="1">'Exhibit No.__(RMM-11) p1-8'!G90+'Exhibit No.__(RMM-11) p1-8'!G95+Y12+Y19</f>
        <v>7.1840000000000002</v>
      </c>
      <c r="Z9" s="976"/>
      <c r="AA9" s="939">
        <f ca="1">(Y9-W9)/W9</f>
        <v>1.6411997736276124E-2</v>
      </c>
    </row>
    <row r="10" spans="1:29" ht="15.75" thickBot="1">
      <c r="B10" s="936">
        <v>50</v>
      </c>
      <c r="D10" s="971">
        <f>$W$8</f>
        <v>7.75</v>
      </c>
      <c r="F10" s="971">
        <f>$Y$8</f>
        <v>7.75</v>
      </c>
      <c r="H10" s="971">
        <f>F10-D10</f>
        <v>0</v>
      </c>
      <c r="I10" s="971"/>
      <c r="J10" s="971">
        <f>ROUND((($B10*W$9/100))+((B10*$Y$14)/100),2)+Y16</f>
        <v>3.87</v>
      </c>
      <c r="L10" s="971">
        <f ca="1">ROUND((($B10*Y$9/100))+((B10*$Y$15)/100),2)+Y17</f>
        <v>3.92</v>
      </c>
      <c r="N10" s="971">
        <f ca="1">L10-J10</f>
        <v>4.9999999999999822E-2</v>
      </c>
      <c r="P10" s="716">
        <f ca="1">(L10-J10)/J10</f>
        <v>1.2919896640826828E-2</v>
      </c>
      <c r="Q10" s="716"/>
      <c r="R10" s="718">
        <f ca="1">F10+L10-D10-J10</f>
        <v>4.9999999999999822E-2</v>
      </c>
      <c r="S10" s="716"/>
      <c r="T10" s="716">
        <f ca="1">(F10+L10-D10-J10)/(D10+J10)</f>
        <v>4.3029259896729616E-3</v>
      </c>
      <c r="V10" s="941" t="s">
        <v>364</v>
      </c>
      <c r="W10" s="979">
        <f>'Exhibit No.__(RMM-11) p1-8'!D91+Y11+Y19</f>
        <v>10.963999999999999</v>
      </c>
      <c r="X10" s="941"/>
      <c r="Y10" s="979">
        <f ca="1">'Exhibit No.__(RMM-11) p1-8'!G91+'Exhibit No.__(RMM-11) p1-8'!G96+Y12+Y19</f>
        <v>11.141999999999999</v>
      </c>
      <c r="AA10" s="939">
        <f ca="1">(Y10-W10)/W10</f>
        <v>1.6234950747902304E-2</v>
      </c>
    </row>
    <row r="11" spans="1:29">
      <c r="B11" s="936">
        <v>100</v>
      </c>
      <c r="D11" s="971">
        <f>$W$8</f>
        <v>7.75</v>
      </c>
      <c r="F11" s="971">
        <f>$Y$8</f>
        <v>7.75</v>
      </c>
      <c r="H11" s="971">
        <f t="shared" ref="H11:H33" si="0">F11-D11</f>
        <v>0</v>
      </c>
      <c r="I11" s="971"/>
      <c r="J11" s="971">
        <f>ROUND((($B11*W$9/100))+((B11*$Y$14)/100),2)+Y16</f>
        <v>6.99</v>
      </c>
      <c r="L11" s="971">
        <f ca="1">ROUND((($B11*Y$9/100))+((B11*$Y$15)/100),2)+Y17</f>
        <v>7.11</v>
      </c>
      <c r="N11" s="971">
        <f ca="1">L11-J11</f>
        <v>0.12000000000000011</v>
      </c>
      <c r="P11" s="716">
        <f ca="1">(L11-J11)/J11</f>
        <v>1.7167381974248941E-2</v>
      </c>
      <c r="Q11" s="716"/>
      <c r="R11" s="718">
        <f t="shared" ref="R11:R33" ca="1" si="1">F11+L11-D11-J11</f>
        <v>0.11999999999999922</v>
      </c>
      <c r="S11" s="716"/>
      <c r="T11" s="716">
        <f t="shared" ref="T11:T33" ca="1" si="2">(F11+L11-D11-J11)/(D11+J11)</f>
        <v>8.1411126187245064E-3</v>
      </c>
      <c r="W11" s="438" t="s">
        <v>193</v>
      </c>
      <c r="Y11" s="945">
        <v>0.35099999999999998</v>
      </c>
      <c r="AC11" s="971"/>
    </row>
    <row r="12" spans="1:29">
      <c r="B12" s="936">
        <v>150</v>
      </c>
      <c r="D12" s="971">
        <f>$W$8</f>
        <v>7.75</v>
      </c>
      <c r="F12" s="971">
        <f>$Y$8</f>
        <v>7.75</v>
      </c>
      <c r="H12" s="971">
        <f t="shared" si="0"/>
        <v>0</v>
      </c>
      <c r="I12" s="971"/>
      <c r="J12" s="971">
        <f>ROUND((($B12*W$9/100))+((B12*$Y$14)/100),2)+Y16</f>
        <v>10.120000000000001</v>
      </c>
      <c r="L12" s="971">
        <f ca="1">ROUND((($B12*Y$9/100))+((B12*$Y$15)/100),2)+Y17</f>
        <v>10.290000000000001</v>
      </c>
      <c r="N12" s="971">
        <f ca="1">L12-J12</f>
        <v>0.16999999999999993</v>
      </c>
      <c r="P12" s="716">
        <f ca="1">(L12-J12)/J12</f>
        <v>1.6798418972332006E-2</v>
      </c>
      <c r="Q12" s="716"/>
      <c r="R12" s="718">
        <f t="shared" ca="1" si="1"/>
        <v>0.16999999999999815</v>
      </c>
      <c r="S12" s="716"/>
      <c r="T12" s="716">
        <f t="shared" ca="1" si="2"/>
        <v>9.513150531617132E-3</v>
      </c>
      <c r="Y12" s="945">
        <v>0.35099999999999998</v>
      </c>
      <c r="Z12" s="934"/>
      <c r="AC12" s="971"/>
    </row>
    <row r="13" spans="1:29">
      <c r="D13" s="718"/>
      <c r="F13" s="718"/>
      <c r="J13" s="718"/>
      <c r="L13" s="718"/>
      <c r="Y13" s="946"/>
      <c r="AC13" s="971"/>
    </row>
    <row r="14" spans="1:29">
      <c r="B14" s="936">
        <v>200</v>
      </c>
      <c r="D14" s="971">
        <f>$W$8</f>
        <v>7.75</v>
      </c>
      <c r="F14" s="971">
        <f>$Y$8</f>
        <v>7.75</v>
      </c>
      <c r="H14" s="971">
        <f t="shared" si="0"/>
        <v>0</v>
      </c>
      <c r="I14" s="971"/>
      <c r="J14" s="971">
        <f>ROUND((($B14*W$9/100))+((B14*$Y$14)/100),2)+Y16</f>
        <v>13.25</v>
      </c>
      <c r="L14" s="971">
        <f ca="1">ROUND((($B14*Y$9/100))+((B14*$Y$15)/100),2)+Y17</f>
        <v>13.48</v>
      </c>
      <c r="N14" s="971">
        <f ca="1">L14-J14</f>
        <v>0.23000000000000043</v>
      </c>
      <c r="P14" s="716">
        <f ca="1">(L14-J14)/J14</f>
        <v>1.7358490566037769E-2</v>
      </c>
      <c r="Q14" s="716"/>
      <c r="R14" s="718">
        <f t="shared" ca="1" si="1"/>
        <v>0.23000000000000043</v>
      </c>
      <c r="S14" s="716"/>
      <c r="T14" s="716">
        <f t="shared" ca="1" si="2"/>
        <v>1.0952380952380972E-2</v>
      </c>
      <c r="W14" s="438" t="s">
        <v>516</v>
      </c>
      <c r="Y14" s="945">
        <v>-0.81499999999999995</v>
      </c>
      <c r="AA14" s="438" t="s">
        <v>31</v>
      </c>
      <c r="AC14" s="971"/>
    </row>
    <row r="15" spans="1:29">
      <c r="B15" s="936">
        <v>300</v>
      </c>
      <c r="D15" s="971">
        <f>$W$8</f>
        <v>7.75</v>
      </c>
      <c r="F15" s="971">
        <f>$Y$8</f>
        <v>7.75</v>
      </c>
      <c r="H15" s="971">
        <f t="shared" si="0"/>
        <v>0</v>
      </c>
      <c r="I15" s="971"/>
      <c r="J15" s="971">
        <f>ROUND((($B15*W$9/100))+((B15*$Y$14)/100),2)+Y16</f>
        <v>19.5</v>
      </c>
      <c r="L15" s="971">
        <f ca="1">ROUND((($B15*Y$9/100))+((B15*$Y$15)/100),2)+Y17</f>
        <v>19.849999999999998</v>
      </c>
      <c r="N15" s="971">
        <f ca="1">L15-J15</f>
        <v>0.34999999999999787</v>
      </c>
      <c r="P15" s="716">
        <f ca="1">(L15-J15)/J15</f>
        <v>1.794871794871784E-2</v>
      </c>
      <c r="Q15" s="716"/>
      <c r="R15" s="718">
        <f t="shared" ca="1" si="1"/>
        <v>0.34999999999999787</v>
      </c>
      <c r="S15" s="716"/>
      <c r="T15" s="716">
        <f t="shared" ca="1" si="2"/>
        <v>1.2844036697247627E-2</v>
      </c>
      <c r="W15" s="438" t="s">
        <v>31</v>
      </c>
      <c r="X15" s="438" t="s">
        <v>31</v>
      </c>
      <c r="Y15" s="945">
        <f>Y14</f>
        <v>-0.81499999999999995</v>
      </c>
      <c r="AC15" s="971"/>
    </row>
    <row r="16" spans="1:29">
      <c r="B16" s="936">
        <v>400</v>
      </c>
      <c r="D16" s="971">
        <f>$W$8</f>
        <v>7.75</v>
      </c>
      <c r="F16" s="971">
        <f>$Y$8</f>
        <v>7.75</v>
      </c>
      <c r="H16" s="971">
        <f t="shared" si="0"/>
        <v>0</v>
      </c>
      <c r="I16" s="971"/>
      <c r="J16" s="971">
        <f>ROUND((($B16*W$9/100))+((B16*$Y$14)/100),2)+Y16</f>
        <v>25.75</v>
      </c>
      <c r="L16" s="971">
        <f ca="1">ROUND((($B16*Y$9/100))+((B16*$Y$15)/100),2)+Y17</f>
        <v>26.22</v>
      </c>
      <c r="N16" s="971">
        <f ca="1">L16-J16</f>
        <v>0.46999999999999886</v>
      </c>
      <c r="P16" s="716">
        <f ca="1">(L16-J16)/J16</f>
        <v>1.8252427184465975E-2</v>
      </c>
      <c r="Q16" s="716"/>
      <c r="R16" s="718">
        <f t="shared" ca="1" si="1"/>
        <v>0.46999999999999886</v>
      </c>
      <c r="S16" s="716"/>
      <c r="T16" s="716">
        <f t="shared" ca="1" si="2"/>
        <v>1.4029850746268623E-2</v>
      </c>
      <c r="W16" s="438" t="s">
        <v>612</v>
      </c>
      <c r="Y16" s="971">
        <v>0.74</v>
      </c>
      <c r="Z16" s="438" t="s">
        <v>31</v>
      </c>
      <c r="AC16" s="971"/>
    </row>
    <row r="17" spans="2:29">
      <c r="B17" s="936">
        <v>500</v>
      </c>
      <c r="D17" s="971">
        <f>$W$8</f>
        <v>7.75</v>
      </c>
      <c r="F17" s="971">
        <f>$Y$8</f>
        <v>7.75</v>
      </c>
      <c r="H17" s="971">
        <f t="shared" si="0"/>
        <v>0</v>
      </c>
      <c r="I17" s="971"/>
      <c r="J17" s="971">
        <f>ROUND((($B17*W$9/100))+((B17*$Y$14)/100),2)+Y16</f>
        <v>32.01</v>
      </c>
      <c r="L17" s="971">
        <f ca="1">ROUND((($B17*Y$9/100))+((B17*$Y$15)/100),2)+Y17</f>
        <v>32.590000000000003</v>
      </c>
      <c r="N17" s="971">
        <f ca="1">L17-J17</f>
        <v>0.5800000000000054</v>
      </c>
      <c r="P17" s="716">
        <f ca="1">(L17-J17)/J17</f>
        <v>1.8119337706966741E-2</v>
      </c>
      <c r="Q17" s="716"/>
      <c r="R17" s="718">
        <f t="shared" ca="1" si="1"/>
        <v>0.5800000000000054</v>
      </c>
      <c r="S17" s="716"/>
      <c r="T17" s="716">
        <f t="shared" ca="1" si="2"/>
        <v>1.458752515090557E-2</v>
      </c>
      <c r="W17" s="438" t="s">
        <v>613</v>
      </c>
      <c r="Y17" s="971">
        <f>Y16</f>
        <v>0.74</v>
      </c>
      <c r="AC17" s="971"/>
    </row>
    <row r="18" spans="2:29">
      <c r="D18" s="718"/>
      <c r="F18" s="718"/>
      <c r="J18" s="718"/>
      <c r="L18" s="718"/>
      <c r="AC18" s="971"/>
    </row>
    <row r="19" spans="2:29">
      <c r="B19" s="936">
        <v>600</v>
      </c>
      <c r="D19" s="971">
        <f>$W$8</f>
        <v>7.75</v>
      </c>
      <c r="F19" s="971">
        <f>$Y$8</f>
        <v>7.75</v>
      </c>
      <c r="H19" s="971">
        <f t="shared" si="0"/>
        <v>0</v>
      </c>
      <c r="I19" s="971"/>
      <c r="J19" s="971">
        <f>ROUND((($B19*W$9/100))+((B19*$Y$14)/100),2)+Y16</f>
        <v>38.260000000000005</v>
      </c>
      <c r="L19" s="971">
        <f ca="1">ROUND((($B19*Y$9/100))+((B19*$Y$15)/100),2)+Y17</f>
        <v>38.950000000000003</v>
      </c>
      <c r="N19" s="971">
        <f ca="1">L19-J19</f>
        <v>0.68999999999999773</v>
      </c>
      <c r="P19" s="716">
        <f ca="1">(L19-J19)/J19</f>
        <v>1.8034500784108669E-2</v>
      </c>
      <c r="Q19" s="716"/>
      <c r="R19" s="718">
        <f t="shared" ca="1" si="1"/>
        <v>0.68999999999999773</v>
      </c>
      <c r="S19" s="716"/>
      <c r="T19" s="716">
        <f t="shared" ca="1" si="2"/>
        <v>1.4996739839165349E-2</v>
      </c>
      <c r="W19" s="438" t="s">
        <v>302</v>
      </c>
      <c r="Y19" s="945">
        <v>0</v>
      </c>
      <c r="AC19" s="971"/>
    </row>
    <row r="20" spans="2:29">
      <c r="B20" s="936">
        <v>700</v>
      </c>
      <c r="D20" s="971">
        <f>$W$8</f>
        <v>7.75</v>
      </c>
      <c r="F20" s="971">
        <f>$Y$8</f>
        <v>7.75</v>
      </c>
      <c r="H20" s="971">
        <f t="shared" si="0"/>
        <v>0</v>
      </c>
      <c r="I20" s="971"/>
      <c r="J20" s="971">
        <f>ROUND((((600*W$9/100)+(($B20-600)*W$10/100)))+((B20*$Y$14)/100),2)+Y16</f>
        <v>48.410000000000004</v>
      </c>
      <c r="L20" s="971">
        <f ca="1">ROUND((((600*Y$9/100)+(($B20-600)*Y$10/100)))+((B20*$Y$15)/100),2)+Y17</f>
        <v>49.28</v>
      </c>
      <c r="N20" s="971">
        <f ca="1">L20-J20</f>
        <v>0.86999999999999744</v>
      </c>
      <c r="P20" s="716">
        <f ca="1">(L20-J20)/J20</f>
        <v>1.7971493493079888E-2</v>
      </c>
      <c r="Q20" s="716"/>
      <c r="R20" s="718">
        <f t="shared" ca="1" si="1"/>
        <v>0.86999999999999744</v>
      </c>
      <c r="S20" s="716"/>
      <c r="T20" s="716">
        <f t="shared" ca="1" si="2"/>
        <v>1.5491452991452945E-2</v>
      </c>
      <c r="AC20" s="971"/>
    </row>
    <row r="21" spans="2:29">
      <c r="B21" s="936">
        <v>800</v>
      </c>
      <c r="D21" s="971">
        <f>$W$8</f>
        <v>7.75</v>
      </c>
      <c r="F21" s="971">
        <f>$Y$8</f>
        <v>7.75</v>
      </c>
      <c r="H21" s="971">
        <f t="shared" si="0"/>
        <v>0</v>
      </c>
      <c r="I21" s="971"/>
      <c r="J21" s="971">
        <f>ROUND((((600*W$9/100)+(($B21-600)*W$10/100)))+((B21*$Y$14)/100),2)+Y16</f>
        <v>58.56</v>
      </c>
      <c r="L21" s="971">
        <f ca="1">ROUND((((600*Y$9/100)+(($B21-600)*Y$10/100)))+((B21*$Y$15)/100),2)+Y17</f>
        <v>59.61</v>
      </c>
      <c r="N21" s="971">
        <f ca="1">L21-J21</f>
        <v>1.0499999999999972</v>
      </c>
      <c r="P21" s="716">
        <f ca="1">(L21-J21)/J21</f>
        <v>1.793032786885241E-2</v>
      </c>
      <c r="Q21" s="716"/>
      <c r="R21" s="718">
        <f t="shared" ca="1" si="1"/>
        <v>1.0499999999999972</v>
      </c>
      <c r="S21" s="716"/>
      <c r="T21" s="716">
        <f t="shared" ca="1" si="2"/>
        <v>1.5834715729150916E-2</v>
      </c>
      <c r="AC21" s="971"/>
    </row>
    <row r="22" spans="2:29">
      <c r="B22" s="936">
        <v>900</v>
      </c>
      <c r="D22" s="971">
        <f>$W$8</f>
        <v>7.75</v>
      </c>
      <c r="F22" s="971">
        <f>$Y$8</f>
        <v>7.75</v>
      </c>
      <c r="H22" s="971">
        <f t="shared" si="0"/>
        <v>0</v>
      </c>
      <c r="I22" s="971"/>
      <c r="J22" s="971">
        <f>ROUND((((600*W$9/100)+(($B22-600)*W$10/100)))+((B22*$Y$14)/100),2)+Y16</f>
        <v>68.709999999999994</v>
      </c>
      <c r="L22" s="971">
        <f ca="1">ROUND((((600*Y$9/100)+(($B22-600)*Y$10/100)))+((B22*$Y$15)/100),2)+Y17</f>
        <v>69.94</v>
      </c>
      <c r="N22" s="971">
        <f ca="1">L22-J22</f>
        <v>1.230000000000004</v>
      </c>
      <c r="P22" s="716">
        <f ca="1">(L22-J22)/J22</f>
        <v>1.7901324406927727E-2</v>
      </c>
      <c r="Q22" s="716"/>
      <c r="R22" s="718">
        <f t="shared" ca="1" si="1"/>
        <v>1.230000000000004</v>
      </c>
      <c r="S22" s="716"/>
      <c r="T22" s="716">
        <f t="shared" ca="1" si="2"/>
        <v>1.608684279361763E-2</v>
      </c>
      <c r="V22" s="719" t="s">
        <v>785</v>
      </c>
      <c r="W22" s="977">
        <f ca="1">'Exhibit No.__(RMM-10)'!Q17</f>
        <v>1.5723664223236043E-2</v>
      </c>
      <c r="AC22" s="971"/>
    </row>
    <row r="23" spans="2:29">
      <c r="B23" s="936">
        <v>1000</v>
      </c>
      <c r="D23" s="971">
        <f>$W$8</f>
        <v>7.75</v>
      </c>
      <c r="F23" s="971">
        <f>$Y$8</f>
        <v>7.75</v>
      </c>
      <c r="H23" s="971">
        <f t="shared" si="0"/>
        <v>0</v>
      </c>
      <c r="I23" s="971"/>
      <c r="J23" s="971">
        <f>ROUND((((600*W$9/100)+(($B23-600)*W$10/100)))+((B23*$Y$14)/100),2)+Y16</f>
        <v>78.849999999999994</v>
      </c>
      <c r="L23" s="971">
        <f ca="1">ROUND((((600*Y$9/100)+(($B23-600)*Y$10/100)))+((B23*$Y$15)/100),2)+Y17</f>
        <v>80.259999999999991</v>
      </c>
      <c r="N23" s="971">
        <f ca="1">L23-J23</f>
        <v>1.4099999999999966</v>
      </c>
      <c r="P23" s="716">
        <f ca="1">(L23-J23)/J23</f>
        <v>1.7882054533925131E-2</v>
      </c>
      <c r="Q23" s="716"/>
      <c r="R23" s="718">
        <f t="shared" ca="1" si="1"/>
        <v>1.4099999999999966</v>
      </c>
      <c r="S23" s="716"/>
      <c r="T23" s="716">
        <f t="shared" ca="1" si="2"/>
        <v>1.6281755196304811E-2</v>
      </c>
      <c r="W23" s="720" t="s">
        <v>31</v>
      </c>
      <c r="AC23" s="971"/>
    </row>
    <row r="24" spans="2:29">
      <c r="D24" s="718"/>
      <c r="F24" s="718"/>
      <c r="J24" s="718"/>
      <c r="L24" s="718"/>
      <c r="P24" s="717"/>
      <c r="Q24" s="717"/>
      <c r="R24" s="717"/>
      <c r="S24" s="717"/>
      <c r="T24" s="717"/>
      <c r="AC24" s="971"/>
    </row>
    <row r="25" spans="2:29">
      <c r="B25" s="936">
        <v>1100</v>
      </c>
      <c r="D25" s="971">
        <f t="shared" ref="D25:D29" si="3">$W$8</f>
        <v>7.75</v>
      </c>
      <c r="F25" s="971">
        <f t="shared" ref="F25:F29" si="4">$Y$8</f>
        <v>7.75</v>
      </c>
      <c r="H25" s="971">
        <f t="shared" si="0"/>
        <v>0</v>
      </c>
      <c r="I25" s="971"/>
      <c r="J25" s="971">
        <f>ROUND((((600*W$9/100)+(($B25-600)*W$10/100)))+((B25*$Y$14)/100),2)+Y16</f>
        <v>89</v>
      </c>
      <c r="L25" s="971">
        <f ca="1">ROUND((((600*Y$9/100)+(($B25-600)*Y$10/100)))+((B25*$Y$15)/100),2)+Y17</f>
        <v>90.589999999999989</v>
      </c>
      <c r="N25" s="971">
        <f t="shared" ref="N25:N29" ca="1" si="5">L25-J25</f>
        <v>1.5899999999999892</v>
      </c>
      <c r="P25" s="716">
        <f t="shared" ref="P25:P29" ca="1" si="6">(L25-J25)/J25</f>
        <v>1.786516853932572E-2</v>
      </c>
      <c r="Q25" s="716"/>
      <c r="R25" s="718">
        <f t="shared" ca="1" si="1"/>
        <v>1.5899999999999892</v>
      </c>
      <c r="S25" s="716"/>
      <c r="T25" s="716">
        <f t="shared" ca="1" si="2"/>
        <v>1.6434108527131671E-2</v>
      </c>
      <c r="AC25" s="971"/>
    </row>
    <row r="26" spans="2:29">
      <c r="B26" s="936">
        <v>1200</v>
      </c>
      <c r="C26" s="438" t="s">
        <v>646</v>
      </c>
      <c r="D26" s="971">
        <f t="shared" si="3"/>
        <v>7.75</v>
      </c>
      <c r="F26" s="971">
        <f t="shared" si="4"/>
        <v>7.75</v>
      </c>
      <c r="H26" s="971">
        <f t="shared" si="0"/>
        <v>0</v>
      </c>
      <c r="I26" s="971"/>
      <c r="J26" s="971">
        <f>ROUND((((600*W$9/100)+(($B26-600)*W$10/100)))+((B26*$Y$14)/100),2)+Y16</f>
        <v>99.149999999999991</v>
      </c>
      <c r="L26" s="971">
        <f ca="1">ROUND((((600*Y$9/100)+(($B26-600)*Y$10/100)))+((B26*$Y$15)/100),2)+Y17</f>
        <v>100.92</v>
      </c>
      <c r="N26" s="971">
        <f t="shared" ca="1" si="5"/>
        <v>1.7700000000000102</v>
      </c>
      <c r="P26" s="716">
        <f t="shared" ca="1" si="6"/>
        <v>1.7851739788199802E-2</v>
      </c>
      <c r="Q26" s="716"/>
      <c r="R26" s="718">
        <f t="shared" ca="1" si="1"/>
        <v>1.7700000000000102</v>
      </c>
      <c r="S26" s="716"/>
      <c r="T26" s="716">
        <f t="shared" ca="1" si="2"/>
        <v>1.6557530402245186E-2</v>
      </c>
      <c r="AC26" s="971"/>
    </row>
    <row r="27" spans="2:29">
      <c r="B27" s="936">
        <v>1300</v>
      </c>
      <c r="C27" s="438" t="s">
        <v>31</v>
      </c>
      <c r="D27" s="971">
        <f t="shared" si="3"/>
        <v>7.75</v>
      </c>
      <c r="F27" s="971">
        <f t="shared" si="4"/>
        <v>7.75</v>
      </c>
      <c r="H27" s="971">
        <f t="shared" si="0"/>
        <v>0</v>
      </c>
      <c r="I27" s="971"/>
      <c r="J27" s="971">
        <f>ROUND((((600*W$9/100)+(($B27-600)*W$10/100)))+((B27*$Y$14)/100),2)+Y16</f>
        <v>109.3</v>
      </c>
      <c r="L27" s="971">
        <f ca="1">ROUND((((600*Y$9/100)+(($B27-600)*Y$10/100)))+((B27*$Y$15)/100),2)+Y17</f>
        <v>111.24</v>
      </c>
      <c r="N27" s="971">
        <f t="shared" ca="1" si="5"/>
        <v>1.9399999999999977</v>
      </c>
      <c r="P27" s="716">
        <f t="shared" ca="1" si="6"/>
        <v>1.7749313815187538E-2</v>
      </c>
      <c r="Q27" s="716"/>
      <c r="R27" s="718">
        <f t="shared" ca="1" si="1"/>
        <v>1.9399999999999977</v>
      </c>
      <c r="S27" s="716"/>
      <c r="T27" s="716">
        <f t="shared" ca="1" si="2"/>
        <v>1.6574113626655257E-2</v>
      </c>
      <c r="V27" s="971"/>
      <c r="AC27" s="971"/>
    </row>
    <row r="28" spans="2:29">
      <c r="B28" s="936">
        <v>1400</v>
      </c>
      <c r="D28" s="971">
        <f t="shared" si="3"/>
        <v>7.75</v>
      </c>
      <c r="F28" s="971">
        <f t="shared" si="4"/>
        <v>7.75</v>
      </c>
      <c r="H28" s="971">
        <f t="shared" si="0"/>
        <v>0</v>
      </c>
      <c r="I28" s="971"/>
      <c r="J28" s="971">
        <f>ROUND((((600*W$9/100)+(($B28-600)*W$10/100)))+((B28*$Y$14)/100),2)+Y16</f>
        <v>119.44999999999999</v>
      </c>
      <c r="L28" s="971">
        <f ca="1">ROUND((((600*Y$9/100)+(($B28-600)*Y$10/100)))+((B28*$Y$15)/100),2)+Y17</f>
        <v>121.57</v>
      </c>
      <c r="N28" s="971">
        <f t="shared" ca="1" si="5"/>
        <v>2.1200000000000045</v>
      </c>
      <c r="P28" s="716">
        <f t="shared" ca="1" si="6"/>
        <v>1.7748011720385138E-2</v>
      </c>
      <c r="Q28" s="716"/>
      <c r="R28" s="718">
        <f t="shared" ca="1" si="1"/>
        <v>2.1200000000000045</v>
      </c>
      <c r="S28" s="716"/>
      <c r="T28" s="716">
        <f t="shared" ca="1" si="2"/>
        <v>1.6666666666666705E-2</v>
      </c>
      <c r="AC28" s="971"/>
    </row>
    <row r="29" spans="2:29">
      <c r="B29" s="936">
        <v>1500</v>
      </c>
      <c r="D29" s="971">
        <f t="shared" si="3"/>
        <v>7.75</v>
      </c>
      <c r="F29" s="971">
        <f t="shared" si="4"/>
        <v>7.75</v>
      </c>
      <c r="H29" s="971">
        <f t="shared" si="0"/>
        <v>0</v>
      </c>
      <c r="I29" s="971"/>
      <c r="J29" s="971">
        <f>ROUND((((600*W$9/100)+(($B29-600)*W$10/100)))+((B29*$Y$14)/100),2)+Y16</f>
        <v>129.60000000000002</v>
      </c>
      <c r="L29" s="971">
        <f ca="1">ROUND((((600*Y$9/100)+(($B29-600)*Y$10/100)))+((B29*$Y$15)/100),2)+Y17</f>
        <v>131.9</v>
      </c>
      <c r="N29" s="971">
        <f t="shared" ca="1" si="5"/>
        <v>2.2999999999999829</v>
      </c>
      <c r="P29" s="716">
        <f t="shared" ca="1" si="6"/>
        <v>1.7746913580246777E-2</v>
      </c>
      <c r="Q29" s="716"/>
      <c r="R29" s="718">
        <f t="shared" ca="1" si="1"/>
        <v>2.2999999999999829</v>
      </c>
      <c r="S29" s="716"/>
      <c r="T29" s="716">
        <f t="shared" ca="1" si="2"/>
        <v>1.6745540589734129E-2</v>
      </c>
      <c r="AC29" s="971"/>
    </row>
    <row r="30" spans="2:29">
      <c r="D30" s="718"/>
      <c r="F30" s="718"/>
      <c r="J30" s="718"/>
      <c r="L30" s="718"/>
      <c r="AC30" s="971"/>
    </row>
    <row r="31" spans="2:29">
      <c r="B31" s="936">
        <v>1600</v>
      </c>
      <c r="D31" s="971">
        <f>$W$8</f>
        <v>7.75</v>
      </c>
      <c r="F31" s="971">
        <f>$Y$8</f>
        <v>7.75</v>
      </c>
      <c r="H31" s="971">
        <f t="shared" si="0"/>
        <v>0</v>
      </c>
      <c r="I31" s="971"/>
      <c r="J31" s="971">
        <f>ROUND((((600*W$9/100)+(($B31-600)*W$10/100)))+((B31*$Y$14)/100),2)+Y16</f>
        <v>139.75</v>
      </c>
      <c r="L31" s="971">
        <f ca="1">ROUND((((600*Y$9/100)+(($B31-600)*Y$10/100)))+((B31*$Y$15)/100),2)+Y17</f>
        <v>142.22</v>
      </c>
      <c r="N31" s="971">
        <f ca="1">L31-J31</f>
        <v>2.4699999999999989</v>
      </c>
      <c r="P31" s="716">
        <f ca="1">(L31-J31)/J31</f>
        <v>1.7674418604651156E-2</v>
      </c>
      <c r="Q31" s="716"/>
      <c r="R31" s="718">
        <f t="shared" ca="1" si="1"/>
        <v>2.4699999999999989</v>
      </c>
      <c r="S31" s="716"/>
      <c r="T31" s="716">
        <f t="shared" ca="1" si="2"/>
        <v>1.6745762711864398E-2</v>
      </c>
      <c r="AC31" s="971"/>
    </row>
    <row r="32" spans="2:29">
      <c r="B32" s="936">
        <v>2000</v>
      </c>
      <c r="D32" s="971">
        <f>$W$8</f>
        <v>7.75</v>
      </c>
      <c r="F32" s="971">
        <f>$Y$8</f>
        <v>7.75</v>
      </c>
      <c r="H32" s="971">
        <f t="shared" si="0"/>
        <v>0</v>
      </c>
      <c r="I32" s="971"/>
      <c r="J32" s="971">
        <f>ROUND((((600*W$9/100)+(($B32-600)*W$10/100)))+((B32*$Y$14)/100),2)+Y16</f>
        <v>180.34</v>
      </c>
      <c r="L32" s="971">
        <f ca="1">ROUND((((600*Y$9/100)+(($B32-600)*Y$10/100)))+((B32*$Y$15)/100),2)+Y17</f>
        <v>183.53</v>
      </c>
      <c r="N32" s="971">
        <f ca="1">L32-J32</f>
        <v>3.1899999999999977</v>
      </c>
      <c r="P32" s="716">
        <f ca="1">(L32-J32)/J32</f>
        <v>1.7688810025507363E-2</v>
      </c>
      <c r="Q32" s="716"/>
      <c r="R32" s="718">
        <f t="shared" ca="1" si="1"/>
        <v>3.1899999999999977</v>
      </c>
      <c r="S32" s="716"/>
      <c r="T32" s="716">
        <f t="shared" ca="1" si="2"/>
        <v>1.6959965973735964E-2</v>
      </c>
      <c r="AC32" s="971"/>
    </row>
    <row r="33" spans="2:29">
      <c r="B33" s="936">
        <v>2600</v>
      </c>
      <c r="D33" s="971">
        <f>$W$8</f>
        <v>7.75</v>
      </c>
      <c r="F33" s="971">
        <f>$Y$8</f>
        <v>7.75</v>
      </c>
      <c r="H33" s="971">
        <f t="shared" si="0"/>
        <v>0</v>
      </c>
      <c r="I33" s="971"/>
      <c r="J33" s="971">
        <f>ROUND((((600*W$9/100)+(($B33-600)*W$10/100)))+((B33*$Y$14)/100),2)+Y16</f>
        <v>241.24</v>
      </c>
      <c r="L33" s="971">
        <f ca="1">ROUND((((600*Y$9/100)+(($B33-600)*Y$10/100)))+((B33*$Y$15)/100),2)+Y17</f>
        <v>245.49</v>
      </c>
      <c r="N33" s="971">
        <f ca="1">L33-J33</f>
        <v>4.25</v>
      </c>
      <c r="P33" s="716">
        <f ca="1">(L33-J33)/J33</f>
        <v>1.7617310562095839E-2</v>
      </c>
      <c r="Q33" s="716"/>
      <c r="R33" s="718">
        <f t="shared" ca="1" si="1"/>
        <v>4.25</v>
      </c>
      <c r="S33" s="716"/>
      <c r="T33" s="716">
        <f t="shared" ca="1" si="2"/>
        <v>1.7068958592714567E-2</v>
      </c>
      <c r="AC33" s="971"/>
    </row>
    <row r="34" spans="2:29">
      <c r="B34" s="980"/>
      <c r="C34" s="949"/>
      <c r="D34" s="981"/>
      <c r="E34" s="949"/>
      <c r="F34" s="981"/>
      <c r="G34" s="949"/>
      <c r="H34" s="949"/>
      <c r="I34" s="949"/>
      <c r="J34" s="981"/>
      <c r="K34" s="949"/>
      <c r="L34" s="981"/>
      <c r="M34" s="949"/>
      <c r="N34" s="949"/>
      <c r="O34" s="949"/>
      <c r="P34" s="982"/>
      <c r="Q34" s="982"/>
      <c r="R34" s="982"/>
      <c r="S34" s="982"/>
      <c r="T34" s="949"/>
      <c r="AC34" s="971"/>
    </row>
    <row r="35" spans="2:29">
      <c r="B35" s="370"/>
      <c r="T35" s="934"/>
    </row>
    <row r="36" spans="2:29">
      <c r="B36" s="438" t="s">
        <v>517</v>
      </c>
    </row>
    <row r="37" spans="2:29">
      <c r="B37" s="438" t="s">
        <v>647</v>
      </c>
    </row>
    <row r="38" spans="2:29" ht="16.5">
      <c r="B38" s="371" t="s">
        <v>776</v>
      </c>
    </row>
    <row r="39" spans="2:29">
      <c r="B39" s="371" t="s">
        <v>31</v>
      </c>
    </row>
    <row r="47" spans="2:29">
      <c r="Y47" s="720"/>
    </row>
  </sheetData>
  <mergeCells count="7">
    <mergeCell ref="N7:P7"/>
    <mergeCell ref="D7:H7"/>
    <mergeCell ref="J6:P6"/>
    <mergeCell ref="B1:T1"/>
    <mergeCell ref="B2:T2"/>
    <mergeCell ref="B3:T3"/>
    <mergeCell ref="R7:T7"/>
  </mergeCells>
  <printOptions horizontalCentered="1"/>
  <pageMargins left="0.75" right="0.75" top="1" bottom="1" header="0.5" footer="0.5"/>
  <pageSetup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D48"/>
  <sheetViews>
    <sheetView workbookViewId="0">
      <selection activeCell="B8" sqref="B8"/>
    </sheetView>
  </sheetViews>
  <sheetFormatPr defaultColWidth="8.5" defaultRowHeight="15"/>
  <cols>
    <col min="1" max="1" width="1.5" style="438" customWidth="1"/>
    <col min="2" max="2" width="9.75" style="438" customWidth="1"/>
    <col min="3" max="3" width="2.875" style="438" customWidth="1"/>
    <col min="4" max="4" width="11.25" style="438" hidden="1" customWidth="1"/>
    <col min="5" max="5" width="7.625" style="438" bestFit="1" customWidth="1"/>
    <col min="6" max="6" width="3.375" style="438" customWidth="1"/>
    <col min="7" max="7" width="11" style="438" bestFit="1" customWidth="1"/>
    <col min="8" max="8" width="1.75" style="438" customWidth="1"/>
    <col min="9" max="9" width="11" style="438" bestFit="1" customWidth="1"/>
    <col min="10" max="10" width="6.125" style="438" bestFit="1" customWidth="1"/>
    <col min="11" max="11" width="11" style="438" bestFit="1" customWidth="1"/>
    <col min="12" max="12" width="2" style="438" customWidth="1"/>
    <col min="13" max="13" width="11" style="438" bestFit="1" customWidth="1"/>
    <col min="14" max="14" width="2.875" style="438" customWidth="1"/>
    <col min="15" max="15" width="10.25" style="438" hidden="1" customWidth="1"/>
    <col min="16" max="16" width="2" style="438" hidden="1" customWidth="1"/>
    <col min="17" max="17" width="10.25" style="438" hidden="1" customWidth="1"/>
    <col min="18" max="18" width="4.625" style="438" hidden="1" customWidth="1"/>
    <col min="19" max="19" width="11" style="438" bestFit="1" customWidth="1"/>
    <col min="20" max="20" width="2" style="438" customWidth="1"/>
    <col min="21" max="21" width="11" style="438" bestFit="1" customWidth="1"/>
    <col min="22" max="22" width="3.125" style="438" customWidth="1"/>
    <col min="23" max="23" width="12.5" style="438" customWidth="1"/>
    <col min="24" max="24" width="10.875" style="438" bestFit="1" customWidth="1"/>
    <col min="25" max="25" width="8.5" style="438"/>
    <col min="26" max="26" width="13.875" style="438" customWidth="1"/>
    <col min="27" max="27" width="12.75" style="438" bestFit="1" customWidth="1"/>
    <col min="28" max="28" width="8.5" style="438" customWidth="1"/>
    <col min="29" max="29" width="2.625" style="948" customWidth="1"/>
    <col min="30" max="16384" width="8.5" style="438"/>
  </cols>
  <sheetData>
    <row r="1" spans="1:30">
      <c r="A1" s="963"/>
      <c r="B1" s="963"/>
    </row>
    <row r="2" spans="1:30">
      <c r="A2" s="963"/>
      <c r="B2" s="963"/>
      <c r="C2" s="964"/>
      <c r="D2" s="964"/>
      <c r="E2" s="964"/>
      <c r="F2" s="964"/>
      <c r="G2" s="964"/>
      <c r="H2" s="964"/>
      <c r="I2" s="964"/>
      <c r="J2" s="964"/>
      <c r="K2" s="964"/>
      <c r="L2" s="964"/>
    </row>
    <row r="3" spans="1:30" ht="18.75">
      <c r="A3" s="963"/>
      <c r="B3" s="364"/>
      <c r="C3" s="372"/>
      <c r="D3" s="372"/>
      <c r="E3" s="372"/>
      <c r="F3" s="372"/>
      <c r="G3" s="372"/>
      <c r="H3" s="372"/>
      <c r="I3" s="372"/>
      <c r="J3" s="372"/>
      <c r="K3" s="372"/>
      <c r="L3" s="372"/>
      <c r="M3" s="365"/>
      <c r="N3" s="365"/>
      <c r="O3" s="365"/>
      <c r="P3" s="365"/>
      <c r="Q3" s="373"/>
      <c r="S3" s="365"/>
      <c r="T3" s="366" t="s">
        <v>31</v>
      </c>
      <c r="U3" s="373"/>
    </row>
    <row r="4" spans="1:30" ht="20.25">
      <c r="B4" s="374" t="s">
        <v>72</v>
      </c>
      <c r="C4" s="374"/>
      <c r="D4" s="374"/>
      <c r="E4" s="374"/>
      <c r="F4" s="374"/>
      <c r="G4" s="374"/>
      <c r="H4" s="374"/>
      <c r="I4" s="374"/>
      <c r="J4" s="374"/>
      <c r="K4" s="374"/>
      <c r="L4" s="374"/>
      <c r="M4" s="374"/>
      <c r="N4" s="374"/>
      <c r="O4" s="374"/>
      <c r="P4" s="374"/>
      <c r="Q4" s="374"/>
      <c r="R4" s="374"/>
      <c r="S4" s="374"/>
      <c r="T4" s="374"/>
      <c r="U4" s="374"/>
    </row>
    <row r="5" spans="1:30" ht="20.25">
      <c r="B5" s="374" t="s">
        <v>508</v>
      </c>
      <c r="C5" s="374"/>
      <c r="D5" s="374"/>
      <c r="E5" s="374"/>
      <c r="F5" s="374"/>
      <c r="G5" s="374"/>
      <c r="H5" s="374"/>
      <c r="I5" s="374"/>
      <c r="J5" s="374"/>
      <c r="K5" s="374"/>
      <c r="L5" s="374"/>
      <c r="M5" s="374"/>
      <c r="N5" s="374"/>
      <c r="O5" s="374"/>
      <c r="P5" s="374"/>
      <c r="Q5" s="374"/>
      <c r="R5" s="374"/>
      <c r="S5" s="374"/>
      <c r="T5" s="374"/>
      <c r="U5" s="374"/>
    </row>
    <row r="6" spans="1:30" ht="20.25">
      <c r="B6" s="374" t="s">
        <v>518</v>
      </c>
      <c r="C6" s="374"/>
      <c r="D6" s="374"/>
      <c r="E6" s="374"/>
      <c r="F6" s="374"/>
      <c r="G6" s="374"/>
      <c r="H6" s="374"/>
      <c r="I6" s="374"/>
      <c r="J6" s="374"/>
      <c r="K6" s="374"/>
      <c r="L6" s="374"/>
      <c r="M6" s="374"/>
      <c r="N6" s="374"/>
      <c r="O6" s="374"/>
      <c r="P6" s="374"/>
      <c r="Q6" s="374"/>
      <c r="R6" s="374"/>
      <c r="S6" s="374"/>
      <c r="T6" s="374"/>
      <c r="U6" s="374"/>
    </row>
    <row r="7" spans="1:30" ht="20.25">
      <c r="B7" s="375" t="s">
        <v>31</v>
      </c>
      <c r="C7" s="375"/>
      <c r="D7" s="375"/>
      <c r="E7" s="375"/>
      <c r="F7" s="375"/>
      <c r="G7" s="375"/>
      <c r="H7" s="375"/>
      <c r="I7" s="375"/>
      <c r="J7" s="375"/>
      <c r="K7" s="375"/>
      <c r="L7" s="375"/>
      <c r="M7" s="375"/>
      <c r="N7" s="375"/>
      <c r="O7" s="375"/>
      <c r="P7" s="375"/>
      <c r="Q7" s="375"/>
      <c r="R7" s="375"/>
      <c r="S7" s="375"/>
      <c r="T7" s="375"/>
      <c r="U7" s="375"/>
    </row>
    <row r="8" spans="1:30" ht="18.75">
      <c r="B8" s="376"/>
      <c r="C8" s="966"/>
      <c r="D8" s="966"/>
      <c r="E8" s="966"/>
      <c r="F8" s="966"/>
      <c r="G8" s="966"/>
      <c r="H8" s="966"/>
      <c r="I8" s="966"/>
      <c r="J8" s="966"/>
      <c r="K8" s="966"/>
      <c r="L8" s="966"/>
      <c r="M8" s="966"/>
      <c r="N8" s="966"/>
      <c r="O8" s="966"/>
      <c r="P8" s="966"/>
      <c r="Q8" s="965"/>
      <c r="S8" s="966"/>
      <c r="T8" s="966"/>
      <c r="U8" s="965"/>
    </row>
    <row r="9" spans="1:30">
      <c r="A9" s="964"/>
      <c r="B9" s="963"/>
    </row>
    <row r="10" spans="1:30" ht="15.75">
      <c r="A10" s="964"/>
      <c r="B10" s="377" t="s">
        <v>519</v>
      </c>
      <c r="C10" s="378"/>
      <c r="D10" s="378"/>
      <c r="E10" s="378"/>
      <c r="F10" s="378"/>
      <c r="G10" s="379" t="s">
        <v>520</v>
      </c>
      <c r="H10" s="379"/>
      <c r="I10" s="379"/>
      <c r="J10" s="379"/>
      <c r="K10" s="379"/>
      <c r="L10" s="379"/>
      <c r="M10" s="379"/>
      <c r="N10" s="378"/>
      <c r="O10" s="380" t="s">
        <v>521</v>
      </c>
      <c r="P10" s="380"/>
      <c r="Q10" s="380"/>
      <c r="R10" s="381"/>
      <c r="S10" s="380" t="s">
        <v>511</v>
      </c>
      <c r="T10" s="380"/>
      <c r="U10" s="380"/>
    </row>
    <row r="11" spans="1:30" ht="16.5" thickBot="1">
      <c r="A11" s="964"/>
      <c r="B11" s="382" t="s">
        <v>522</v>
      </c>
      <c r="C11" s="380"/>
      <c r="D11" s="377" t="s">
        <v>523</v>
      </c>
      <c r="E11" s="378"/>
      <c r="F11" s="378"/>
      <c r="G11" s="383" t="s">
        <v>524</v>
      </c>
      <c r="H11" s="383"/>
      <c r="I11" s="383"/>
      <c r="J11" s="384"/>
      <c r="K11" s="383" t="s">
        <v>603</v>
      </c>
      <c r="L11" s="383"/>
      <c r="M11" s="383"/>
      <c r="N11" s="378"/>
      <c r="O11" s="383" t="s">
        <v>256</v>
      </c>
      <c r="P11" s="383"/>
      <c r="Q11" s="383"/>
      <c r="R11" s="381"/>
      <c r="S11" s="383" t="s">
        <v>256</v>
      </c>
      <c r="T11" s="383"/>
      <c r="U11" s="383"/>
    </row>
    <row r="12" spans="1:30" ht="15.75">
      <c r="A12" s="964"/>
      <c r="B12" s="385" t="s">
        <v>394</v>
      </c>
      <c r="C12" s="386"/>
      <c r="D12" s="387" t="s">
        <v>525</v>
      </c>
      <c r="E12" s="385" t="s">
        <v>25</v>
      </c>
      <c r="F12" s="378"/>
      <c r="G12" s="388" t="s">
        <v>526</v>
      </c>
      <c r="H12" s="389"/>
      <c r="I12" s="388" t="s">
        <v>527</v>
      </c>
      <c r="J12" s="378"/>
      <c r="K12" s="388" t="s">
        <v>526</v>
      </c>
      <c r="L12" s="389"/>
      <c r="M12" s="388" t="s">
        <v>527</v>
      </c>
      <c r="N12" s="378"/>
      <c r="O12" s="388" t="s">
        <v>526</v>
      </c>
      <c r="P12" s="378"/>
      <c r="Q12" s="388" t="s">
        <v>527</v>
      </c>
      <c r="R12" s="381"/>
      <c r="S12" s="388" t="s">
        <v>526</v>
      </c>
      <c r="T12" s="378"/>
      <c r="U12" s="388" t="s">
        <v>527</v>
      </c>
      <c r="W12" s="970"/>
      <c r="X12" s="933" t="s">
        <v>512</v>
      </c>
      <c r="Y12" s="951"/>
      <c r="Z12" s="933"/>
      <c r="AA12" s="933" t="s">
        <v>513</v>
      </c>
      <c r="AB12" s="951"/>
    </row>
    <row r="13" spans="1:30" ht="15.75">
      <c r="A13" s="964"/>
      <c r="B13" s="378"/>
      <c r="C13" s="378"/>
      <c r="D13" s="378"/>
      <c r="E13" s="378"/>
      <c r="F13" s="378"/>
      <c r="G13" s="386"/>
      <c r="H13" s="386"/>
      <c r="I13" s="386"/>
      <c r="J13" s="386"/>
      <c r="K13" s="386"/>
      <c r="L13" s="386"/>
      <c r="M13" s="386"/>
      <c r="N13" s="381"/>
      <c r="O13" s="381"/>
      <c r="P13" s="381"/>
      <c r="Q13" s="381"/>
      <c r="R13" s="381"/>
      <c r="S13" s="381"/>
      <c r="T13" s="381"/>
      <c r="U13" s="381"/>
      <c r="W13" s="726" t="s">
        <v>392</v>
      </c>
      <c r="X13" s="934" t="s">
        <v>528</v>
      </c>
      <c r="Y13" s="935" t="s">
        <v>529</v>
      </c>
      <c r="Z13" s="934"/>
      <c r="AA13" s="934" t="s">
        <v>528</v>
      </c>
      <c r="AB13" s="935" t="s">
        <v>529</v>
      </c>
    </row>
    <row r="14" spans="1:30" ht="15.75">
      <c r="A14" s="964"/>
      <c r="B14" s="378">
        <v>15</v>
      </c>
      <c r="C14" s="378"/>
      <c r="D14" s="378">
        <v>100</v>
      </c>
      <c r="E14" s="390">
        <v>5000</v>
      </c>
      <c r="F14" s="391"/>
      <c r="G14" s="392">
        <f>ROUND($X$15+IF($E14&gt;1000,IF($E14&gt;9000,(1000*X$21/100)+(8000*X$22/100)+(($E14-(9000))*X$23/100),(1000*X$21/100)+(($E14-1000)*X$22/100)),($E14*$X$21)/100)+IF(B$14&gt;W$18,$X$18*($B$14-W$18),0)+IF(B$14&gt;W$20,$X$20*($B$14-W$20),0),2)+AA$29</f>
        <v>438.34</v>
      </c>
      <c r="H14" s="392"/>
      <c r="I14" s="392">
        <f>ROUND($Y$15+IF($E14&gt;1000,IF($E14&gt;9000,(1000*Y$21/100)+(8000*Y$22/100)+(($E14-(9000))*Y$23/100),(1000*Y$21/100)+(($E14-1000)*Y$22/100)),($E14*$Y$21)/100)+IF(B$14&gt;W$18,$Y$18*($B$14-W$18),0)+IF(B$14&gt;W$20,$Y$20*($B$14-W$20),0),2)+AA$29</f>
        <v>443.24</v>
      </c>
      <c r="J14" s="392"/>
      <c r="K14" s="392">
        <f>ROUND($AA$15+IF($E14&gt;1000,IF($E14&gt;9000,(1000*AA$21/100)+(8000*AA$22/100)+(($E14-9000)*AA$23/100),(1000*AA$21/100)+(($E14-1000)*AA$22/100)),($E14*$AA$21)/100)+IF(B$14&gt;Z$18,$AA$18*($B$14-Z$18),0)+IF(B$14&gt;Z$20,$AA$20*($B$14-Z$20),0),2)+AA30</f>
        <v>438.35</v>
      </c>
      <c r="L14" s="392"/>
      <c r="M14" s="392">
        <f>ROUND($AB$15+IF($E14&gt;1000,IF($E14&gt;9000,(1000*AB$21/100)+(8000*AB$22/100)+(($E14-9000)*AB$23/100),(1000*AB$21/100)+(($E14-1000)*AB$22/100)),($E14*$AB$21)/100)+IF(B$14&gt;Z$18,$AB$18*($B$14-Z$18),0)+IF(B$14&gt;Z$20,$AB$20*($B$14-Z$20),0),2)+AA30</f>
        <v>443.25</v>
      </c>
      <c r="N14" s="378"/>
      <c r="O14" s="392">
        <f>K14-G14</f>
        <v>1.0000000000047748E-2</v>
      </c>
      <c r="P14" s="392"/>
      <c r="Q14" s="392">
        <f>M14-I14</f>
        <v>9.9999999999909051E-3</v>
      </c>
      <c r="R14" s="381"/>
      <c r="S14" s="393">
        <f>ROUND(K14/G14-1,4)</f>
        <v>0</v>
      </c>
      <c r="T14" s="378"/>
      <c r="U14" s="393">
        <f>ROUND(M14/I14-1,4)</f>
        <v>0</v>
      </c>
      <c r="W14" s="726" t="s">
        <v>530</v>
      </c>
      <c r="X14" s="937">
        <f>'Exhibit No.__(RMM-11) p1-8'!D189</f>
        <v>9.99</v>
      </c>
      <c r="Y14" s="938">
        <f>'Exhibit No.__(RMM-11) p1-8'!D190</f>
        <v>14.89</v>
      </c>
      <c r="Z14" s="934"/>
      <c r="AA14" s="937">
        <f>'Exhibit No.__(RMM-11) p1-8'!G230</f>
        <v>9.99</v>
      </c>
      <c r="AB14" s="938">
        <f>'Exhibit No.__(RMM-11) p1-8'!G231</f>
        <v>14.89</v>
      </c>
      <c r="AC14" s="947"/>
      <c r="AD14" s="971"/>
    </row>
    <row r="15" spans="1:30" ht="15.75">
      <c r="A15" s="964"/>
      <c r="B15" s="378"/>
      <c r="C15" s="378"/>
      <c r="D15" s="378">
        <v>200</v>
      </c>
      <c r="E15" s="390">
        <v>7500</v>
      </c>
      <c r="F15" s="391"/>
      <c r="G15" s="392">
        <f>ROUND($X$15+IF($E15&gt;1000,IF($E15&gt;9000,(1000*X$21/100)+(8000*X$22/100)+(($E15-(9000))*X$23/100),(1000*X$21/100)+(($E15-1000)*X$22/100)),($E15*$X$21)/100)+IF(B$14&gt;W$18,$X$18*($B$14-W$18),0)+IF(B$14&gt;W$20,$X$20*($B$14-W$20),0),2)+AA$29</f>
        <v>634.91999999999996</v>
      </c>
      <c r="H15" s="392"/>
      <c r="I15" s="392">
        <f>ROUND($Y$15+IF($E15&gt;1000,IF($E15&gt;9000,(1000*Y$21/100)+(8000*Y$22/100)+(($E15-(9000))*Y$23/100),(1000*Y$21/100)+(($E15-1000)*Y$22/100)),($E15*$Y$21)/100)+IF(B$14&gt;W$18,$Y$18*($B$14-W$18),0)+IF(B$14&gt;W$20,$Y$20*($B$14-W$20),0),2)+AA$29</f>
        <v>639.81999999999994</v>
      </c>
      <c r="J15" s="392"/>
      <c r="K15" s="392">
        <f>ROUND($AA$15+IF($E15&gt;1000,IF($E15&gt;9000,(1000*AA$21/100)+(8000*AA$22/100)+(($E15-9000)*AA$23/100),(1000*AA$21/100)+(($E15-1000)*AA$22/100)),($E15*$AA$21)/100)+IF(B$14&gt;Z$18,$AA$18*($B$14-Z$18),0)+IF(B$14&gt;Z$20,$AA$20*($B$14-Z$20),0),2)+AA30</f>
        <v>634.92999999999995</v>
      </c>
      <c r="L15" s="392"/>
      <c r="M15" s="392">
        <f>ROUND($AB$15+IF($E15&gt;1000,IF($E15&gt;9000,(1000*AB$21/100)+(8000*AB$22/100)+(($E15-9000)*AB$23/100),(1000*AB$21/100)+(($E15-1000)*AB$22/100)),($E15*$AB$21)/100)+IF(B$14&gt;Z$18,$AB$18*($B$14-Z$18),0)+IF(B$14&gt;Z$20,$AB$20*($B$14-Z$20),0),2)+AA30</f>
        <v>639.82999999999993</v>
      </c>
      <c r="N15" s="378"/>
      <c r="O15" s="392">
        <f>K15-G15</f>
        <v>9.9999999999909051E-3</v>
      </c>
      <c r="P15" s="392"/>
      <c r="Q15" s="392">
        <f>M15-I15</f>
        <v>9.9999999999909051E-3</v>
      </c>
      <c r="R15" s="381"/>
      <c r="S15" s="393">
        <f>ROUND(K15/G15-1,4)</f>
        <v>0</v>
      </c>
      <c r="T15" s="378"/>
      <c r="U15" s="393">
        <f>ROUND(M15/I15-1,4)</f>
        <v>0</v>
      </c>
      <c r="W15" s="726" t="s">
        <v>531</v>
      </c>
      <c r="X15" s="937">
        <f>X14</f>
        <v>9.99</v>
      </c>
      <c r="Y15" s="938">
        <f>Y14</f>
        <v>14.89</v>
      </c>
      <c r="Z15" s="934"/>
      <c r="AA15" s="937">
        <f>AA14</f>
        <v>9.99</v>
      </c>
      <c r="AB15" s="938">
        <f>AB14</f>
        <v>14.89</v>
      </c>
    </row>
    <row r="16" spans="1:30" ht="15.75">
      <c r="A16" s="964"/>
      <c r="B16" s="378"/>
      <c r="C16" s="378"/>
      <c r="D16" s="378">
        <v>300</v>
      </c>
      <c r="E16" s="390">
        <v>10000</v>
      </c>
      <c r="F16" s="391"/>
      <c r="G16" s="392">
        <f>ROUND($X$15+IF($E16&gt;1000,IF($E16&gt;9000,(1000*X$21/100)+(8000*X$22/100)+(($E16-(9000))*X$23/100),(1000*X$21/100)+(($E16-1000)*X$22/100)),($E16*$X$21)/100)+IF(B$14&gt;W$18,$X$18*($B$14-W$18),0)+IF(B$14&gt;W$20,$X$20*($B$14-W$20),0),2)+AA$29</f>
        <v>821.06999999999994</v>
      </c>
      <c r="H16" s="392"/>
      <c r="I16" s="392">
        <f>ROUND($Y$15+IF($E16&gt;1000,IF($E16&gt;9000,(1000*Y$21/100)+(8000*Y$22/100)+(($E16-(9000))*Y$23/100),(1000*Y$21/100)+(($E16-1000)*Y$22/100)),($E16*$Y$21)/100)+IF(B$14&gt;W$18,$Y$18*($B$14-W$18),0)+IF(B$14&gt;W$20,$Y$20*($B$14-W$20),0),2)+AA$29</f>
        <v>825.96999999999991</v>
      </c>
      <c r="J16" s="392"/>
      <c r="K16" s="392">
        <f>ROUND($AA$15+IF($E16&gt;1000,IF($E16&gt;9000,(1000*AA$21/100)+(8000*AA$22/100)+(($E16-9000)*AA$23/100),(1000*AA$21/100)+(($E16-1000)*AA$22/100)),($E16*$AA$21)/100)+IF(B$14&gt;Z$18,$AA$18*($B$14-Z$18),0)+IF(B$14&gt;Z$20,$AA$20*($B$14-Z$20),0),2)+AA30</f>
        <v>821.07999999999993</v>
      </c>
      <c r="L16" s="392"/>
      <c r="M16" s="392">
        <f>ROUND($AB$15+IF($E16&gt;1000,IF($E16&gt;9000,(1000*AB$21/100)+(8000*AB$22/100)+(($E16-9000)*AB$23/100),(1000*AB$21/100)+(($E16-1000)*AB$22/100)),($E16*$AB$21)/100)+IF(B$14&gt;Z$18,$AB$18*($B$14-Z$18),0)+IF(B$14&gt;Z$20,$AB$20*($B$14-Z$20),0),2)+AA30</f>
        <v>825.9799999999999</v>
      </c>
      <c r="N16" s="378"/>
      <c r="O16" s="392">
        <f>K16-G16</f>
        <v>9.9999999999909051E-3</v>
      </c>
      <c r="P16" s="392"/>
      <c r="Q16" s="392">
        <f>M16-I16</f>
        <v>9.9999999999909051E-3</v>
      </c>
      <c r="R16" s="381"/>
      <c r="S16" s="393">
        <f>ROUND(K16/G16-1,4)</f>
        <v>0</v>
      </c>
      <c r="T16" s="378"/>
      <c r="U16" s="393">
        <f>ROUND(M16/I16-1,4)</f>
        <v>0</v>
      </c>
      <c r="W16" s="726"/>
      <c r="X16" s="934"/>
      <c r="Y16" s="935"/>
      <c r="Z16" s="934"/>
      <c r="AA16" s="937"/>
      <c r="AB16" s="938"/>
    </row>
    <row r="17" spans="1:30" ht="15.75">
      <c r="A17" s="964"/>
      <c r="B17" s="381"/>
      <c r="C17" s="381"/>
      <c r="D17" s="381"/>
      <c r="E17" s="381"/>
      <c r="F17" s="381"/>
      <c r="G17" s="381"/>
      <c r="H17" s="381"/>
      <c r="I17" s="381"/>
      <c r="J17" s="381"/>
      <c r="K17" s="381"/>
      <c r="L17" s="381"/>
      <c r="M17" s="381"/>
      <c r="N17" s="381"/>
      <c r="O17" s="381"/>
      <c r="P17" s="381"/>
      <c r="Q17" s="381"/>
      <c r="R17" s="381"/>
      <c r="S17" s="381"/>
      <c r="T17" s="381"/>
      <c r="U17" s="381"/>
      <c r="W17" s="726" t="s">
        <v>392</v>
      </c>
      <c r="X17" s="937"/>
      <c r="Y17" s="938"/>
      <c r="Z17" s="937" t="s">
        <v>392</v>
      </c>
      <c r="AA17" s="937"/>
      <c r="AB17" s="938"/>
    </row>
    <row r="18" spans="1:30" ht="15.75">
      <c r="A18" s="964"/>
      <c r="B18" s="378">
        <v>25</v>
      </c>
      <c r="C18" s="378"/>
      <c r="D18" s="378">
        <v>150</v>
      </c>
      <c r="E18" s="390">
        <f>ROUND((B$18*D18),0)</f>
        <v>3750</v>
      </c>
      <c r="F18" s="391"/>
      <c r="G18" s="392">
        <f>ROUND($X$15+IF($E18&gt;1000,IF($E18&gt;9000,(1000*X$21/100)+(8000*X$22/100)+(($E18-9000)*X$23/100),(1000*X$21/100)+(($E18-1000)*X$22/100)),($E18*$X$21)/100)+IF(B$18&gt;W$18,$X$18*($B$18-W$18),0)+IF(B$18&gt;W$20,$X$20*($B$18-W$20),0),2)+AA29</f>
        <v>388.45</v>
      </c>
      <c r="H18" s="392"/>
      <c r="I18" s="392">
        <f>ROUND($Y$15+IF($E18&gt;1000,IF($E18&gt;9000,(1000*Y$21/100)+(8000*Y$22/100)+(($E18-9000)*Y$23/100),(1000*Y$21/100)+(($E18-1000)*Y$22/100)),($E18*$Y$21)/100)+IF(B$18&gt;W$18,$Y$18*($B$18-W$18),0)+IF(B$18&gt;W$20,$Y$20*($B$18-W$20),0),2)+AA29</f>
        <v>393.35</v>
      </c>
      <c r="J18" s="392"/>
      <c r="K18" s="392">
        <f>ROUND($AA$15+IF($E18&gt;1000,IF($E18&gt;9000,(1000*AA$21/100)+(8000*AA$22/100)+(($E18-9000)*AA$23/100),(1000*AA$21/100)+(($E18-1000)*AA$22/100)),($E18*$AA$21)/100)+IF(B$18&gt;Z$18,$AA$18*($B$18-Z$18),0)+IF(B$18&gt;Z$20,$AA$20*($B$18-Z$20),0),2)+AA30</f>
        <v>388.56</v>
      </c>
      <c r="L18" s="392"/>
      <c r="M18" s="392">
        <f>ROUND($AB$15+IF($E18&gt;1000,IF($E18&gt;9000,(1000*AB$21/100)+(8000*AB$22/100)+(($E18-9000)*AB$23/100),(1000*AB$21/100)+(($E18-1000)*AB$22/100)),($E18*$AB$21)/100)+IF(B$18&gt;Z$18,$AB$18*($B$18-Z$18),0)+IF(B$18&gt;Z$20,$AB$20*($B$18-Z$20),0),2)+AA30</f>
        <v>393.46</v>
      </c>
      <c r="N18" s="378"/>
      <c r="O18" s="392">
        <f>K18-G18</f>
        <v>0.11000000000001364</v>
      </c>
      <c r="P18" s="392"/>
      <c r="Q18" s="392">
        <f>M18-I18</f>
        <v>0.1099999999999568</v>
      </c>
      <c r="R18" s="381"/>
      <c r="S18" s="393">
        <f>ROUND(K18/G18-1,4)</f>
        <v>2.9999999999999997E-4</v>
      </c>
      <c r="T18" s="378"/>
      <c r="U18" s="393">
        <f>ROUND(M18/I18-1,4)</f>
        <v>2.9999999999999997E-4</v>
      </c>
      <c r="W18" s="972">
        <v>15</v>
      </c>
      <c r="X18" s="937">
        <f>'Exhibit No.__(RMM-11) p1-8'!D191</f>
        <v>1.04</v>
      </c>
      <c r="Y18" s="938">
        <f>X18</f>
        <v>1.04</v>
      </c>
      <c r="Z18" s="973">
        <v>15</v>
      </c>
      <c r="AA18" s="937">
        <f>'Exhibit No.__(RMM-11) p1-8'!G232</f>
        <v>1.04</v>
      </c>
      <c r="AB18" s="938">
        <f>AA18</f>
        <v>1.04</v>
      </c>
      <c r="AD18" s="971"/>
    </row>
    <row r="19" spans="1:30" ht="15.75">
      <c r="A19" s="964"/>
      <c r="B19" s="378"/>
      <c r="C19" s="378"/>
      <c r="D19" s="378">
        <v>200</v>
      </c>
      <c r="E19" s="390">
        <f>ROUND((B$18*D19),0)</f>
        <v>5000</v>
      </c>
      <c r="F19" s="391"/>
      <c r="G19" s="392">
        <f>ROUND($X$15+IF($E19&gt;1000,IF($E19&gt;9000,(1000*X$21/100)+(8000*X$22/100)+(($E19-9000)*X$23/100),(1000*X$21/100)+(($E19-1000)*X$22/100)),($E19*$X$21)/100)+IF(B$18&gt;W$18,$X$18*($B$18-W$18),0)+IF(B$18&gt;W$20,$X$20*($B$18-W$20),0),2)+AA29</f>
        <v>486.74</v>
      </c>
      <c r="H19" s="392"/>
      <c r="I19" s="392">
        <f>ROUND($Y$15+IF($E19&gt;1000,IF($E19&gt;9000,(1000*Y$21/100)+(8000*Y$22/100)+(($E19-9000)*Y$23/100),(1000*Y$21/100)+(($E19-1000)*Y$22/100)),($E19*$Y$21)/100)+IF(B$18&gt;W$18,$Y$18*($B$18-W$18),0)+IF(B$18&gt;W$20,$Y$20*($B$18-W$20),0),2)+AA29</f>
        <v>491.64</v>
      </c>
      <c r="J19" s="392"/>
      <c r="K19" s="392">
        <f>ROUND($AA$15+IF($E19&gt;1000,IF($E19&gt;9000,(1000*AA$21/100)+(8000*AA$22/100)+(($E19-9000)*AA$23/100),(1000*AA$21/100)+(($E19-1000)*AA$22/100)),($E19*$AA$21)/100)+IF(B$18&gt;Z$18,$AA$18*($B$18-Z$18),0)+IF(B$18&gt;Z$20,$AA$20*($B$18-Z$20),0),2)+AA30</f>
        <v>486.85</v>
      </c>
      <c r="L19" s="392"/>
      <c r="M19" s="392">
        <f>ROUND($AB$15+IF($E19&gt;1000,IF($E19&gt;9000,(1000*AB$21/100)+(8000*AB$22/100)+(($E19-9000)*AB$23/100),(1000*AB$21/100)+(($E19-1000)*AB$22/100)),($E19*$AB$21)/100)+IF(B$18&gt;Z$18,$AB$18*($B$18-Z$18),0)+IF(B$18&gt;Z$20,$AB$20*($B$18-Z$20),0),2)+AA30</f>
        <v>491.75</v>
      </c>
      <c r="N19" s="378"/>
      <c r="O19" s="392">
        <f>K19-G19</f>
        <v>0.11000000000001364</v>
      </c>
      <c r="P19" s="392"/>
      <c r="Q19" s="392">
        <f>M19-I19</f>
        <v>0.11000000000001364</v>
      </c>
      <c r="R19" s="381"/>
      <c r="S19" s="393">
        <f>ROUND(K19/G19-1,4)</f>
        <v>2.0000000000000001E-4</v>
      </c>
      <c r="T19" s="378"/>
      <c r="U19" s="393">
        <f>ROUND(M19/I19-1,4)</f>
        <v>2.0000000000000001E-4</v>
      </c>
      <c r="W19" s="726" t="s">
        <v>394</v>
      </c>
      <c r="X19" s="934"/>
      <c r="Y19" s="935"/>
      <c r="Z19" s="934" t="s">
        <v>394</v>
      </c>
      <c r="AA19" s="937"/>
      <c r="AB19" s="938"/>
    </row>
    <row r="20" spans="1:30" ht="15.75">
      <c r="A20" s="964"/>
      <c r="B20" s="378"/>
      <c r="C20" s="378"/>
      <c r="D20" s="378">
        <v>400</v>
      </c>
      <c r="E20" s="390">
        <f>ROUND((B$18*D20),0)</f>
        <v>10000</v>
      </c>
      <c r="F20" s="391"/>
      <c r="G20" s="392">
        <f>ROUND($X$15+IF($E20&gt;1000,IF($E20&gt;9000,(1000*X$21/100)+(8000*X$22/100)+(($E20-9000)*X$23/100),(1000*X$21/100)+(($E20-1000)*X$22/100)),($E20*$X$21)/100)+IF(B$18&gt;W$18,$X$18*($B$18-W$18),0)+IF(B$18&gt;W$20,$X$20*($B$18-W$20),0),2)+AA29</f>
        <v>869.46999999999991</v>
      </c>
      <c r="H20" s="392"/>
      <c r="I20" s="392">
        <f>ROUND($Y$15+IF($E20&gt;1000,IF($E20&gt;9000,(1000*Y$21/100)+(8000*Y$22/100)+(($E20-9000)*Y$23/100),(1000*Y$21/100)+(($E20-1000)*Y$22/100)),($E20*$Y$21)/100)+IF(B$18&gt;W$18,$Y$18*($B$18-W$18),0)+IF(B$18&gt;W$20,$Y$20*($B$18-W$20),0),2)+AA29</f>
        <v>874.36999999999989</v>
      </c>
      <c r="J20" s="392"/>
      <c r="K20" s="392">
        <f>ROUND($AA$15+IF($E20&gt;1000,IF($E20&gt;9000,(1000*AA$21/100)+(8000*AA$22/100)+(($E20-9000)*AA$23/100),(1000*AA$21/100)+(($E20-1000)*AA$22/100)),($E20*$AA$21)/100)+IF(B$18&gt;Z$18,$AA$18*($B$18-Z$18),0)+IF(B$18&gt;Z$20,$AA$20*($B$18-Z$20),0),2)+AA30</f>
        <v>869.57999999999993</v>
      </c>
      <c r="L20" s="392"/>
      <c r="M20" s="392">
        <f>ROUND($AB$15+IF($E20&gt;1000,IF($E20&gt;9000,(1000*AB$21/100)+(8000*AB$22/100)+(($E20-9000)*AB$23/100),(1000*AB$21/100)+(($E20-1000)*AB$22/100)),($E20*$AB$21)/100)+IF(B$18&gt;Z$18,$AB$18*($B$18-Z$18),0)+IF(B$18&gt;Z$20,$AB$20*($B$18-Z$20),0),2)+AA30</f>
        <v>874.4799999999999</v>
      </c>
      <c r="N20" s="378"/>
      <c r="O20" s="392">
        <f>K20-G20</f>
        <v>0.11000000000001364</v>
      </c>
      <c r="P20" s="392"/>
      <c r="Q20" s="392">
        <f>M20-I20</f>
        <v>0.11000000000001364</v>
      </c>
      <c r="R20" s="381"/>
      <c r="S20" s="393">
        <f>ROUND(K20/G20-1,4)</f>
        <v>1E-4</v>
      </c>
      <c r="T20" s="378"/>
      <c r="U20" s="393">
        <f>ROUND(M20/I20-1,4)</f>
        <v>1E-4</v>
      </c>
      <c r="W20" s="972">
        <v>15</v>
      </c>
      <c r="X20" s="937">
        <f>'Exhibit No.__(RMM-11) p1-8'!D194</f>
        <v>3.8</v>
      </c>
      <c r="Y20" s="938">
        <f>X20</f>
        <v>3.8</v>
      </c>
      <c r="Z20" s="974">
        <v>15</v>
      </c>
      <c r="AA20" s="937">
        <f>'Exhibit No.__(RMM-11) p1-8'!G234</f>
        <v>3.8099999999999996</v>
      </c>
      <c r="AB20" s="938">
        <f>AA20</f>
        <v>3.8099999999999996</v>
      </c>
      <c r="AD20" s="971"/>
    </row>
    <row r="21" spans="1:30" ht="15.75">
      <c r="A21" s="964"/>
      <c r="B21" s="381"/>
      <c r="C21" s="381"/>
      <c r="D21" s="381"/>
      <c r="E21" s="381"/>
      <c r="F21" s="391"/>
      <c r="G21" s="394"/>
      <c r="H21" s="394"/>
      <c r="I21" s="394"/>
      <c r="J21" s="394"/>
      <c r="K21" s="394"/>
      <c r="L21" s="394"/>
      <c r="M21" s="394"/>
      <c r="N21" s="381"/>
      <c r="O21" s="392"/>
      <c r="P21" s="392"/>
      <c r="Q21" s="392"/>
      <c r="R21" s="381"/>
      <c r="S21" s="393"/>
      <c r="T21" s="381"/>
      <c r="U21" s="381"/>
      <c r="W21" s="726" t="s">
        <v>532</v>
      </c>
      <c r="X21" s="940">
        <f>'Exhibit No.__(RMM-11) p1-8'!D195+AA25+AA32</f>
        <v>11.227</v>
      </c>
      <c r="Y21" s="952">
        <f>X21</f>
        <v>11.227</v>
      </c>
      <c r="Z21" s="934" t="s">
        <v>532</v>
      </c>
      <c r="AA21" s="940">
        <f>'Exhibit No.__(RMM-11) p1-8'!G235+'Exhibit No.__(RMM-11) p1-8'!G239+AA26+AA32</f>
        <v>11.228</v>
      </c>
      <c r="AB21" s="975">
        <f>AA21</f>
        <v>11.228</v>
      </c>
      <c r="AD21" s="976"/>
    </row>
    <row r="22" spans="1:30" ht="15.75">
      <c r="A22" s="964"/>
      <c r="B22" s="378">
        <v>50</v>
      </c>
      <c r="C22" s="378"/>
      <c r="D22" s="378">
        <f>D18</f>
        <v>150</v>
      </c>
      <c r="E22" s="390">
        <f>ROUND((B$22*D22),0)</f>
        <v>7500</v>
      </c>
      <c r="F22" s="391"/>
      <c r="G22" s="392">
        <f>ROUND($X$15+IF($E22&gt;1000,IF($E22&gt;9000,(1000*X$21/100)+(8000*X$22/100)+(($E22-9000)*X$23/100),(1000*X$21/100)+(($E22-1000)*X$22/100)),($E22*$X$21)/100)+IF(B$22&gt;W$18,$X$18*($B$22-W$18),0)+IF(B$22&gt;W$20,$X$20*($B$22-W$20),0),2)+AA29</f>
        <v>804.31999999999994</v>
      </c>
      <c r="H22" s="392"/>
      <c r="I22" s="392">
        <f>ROUND($Y$15+IF($E22&gt;1000,IF($E22&gt;9000,(1000*Y$21/100)+(8000*Y$22/100)+(($E22-9000)*Y$23/100),(1000*Y$21/100)+(($E22-1000)*Y$22/100)),($E22*$Y$21)/100)+IF(B$22&gt;W$18,$Y$18*($B$22-W$18),0)+IF(B$22&gt;W$20,$Y$20*($B$22-W$20),0),2)+AA29</f>
        <v>809.21999999999991</v>
      </c>
      <c r="J22" s="392"/>
      <c r="K22" s="392">
        <f>ROUND($AA$15+IF($E22&gt;1000,IF($E22&gt;9000,(1000*AA$21/100)+(8000*AA$22/100)+(($E22-9000)*AA$23/100),(1000*AA$21/100)+(($E22-1000)*AA$22/100)),($E22*$AA$21)/100)+IF(B$22&gt;Z$18,$AA$18*($B$22-Z$18),0)+IF(B$22&gt;Z$20,$AA$20*($B$22-Z$20),0),2)+AA30</f>
        <v>804.68</v>
      </c>
      <c r="L22" s="392"/>
      <c r="M22" s="392">
        <f>ROUND($AB$15+IF($E22&gt;1000,IF($E22&gt;9000,(1000*AB$21/100)+(8000*AB$22/100)+(($E22-9000)*AB$23/100),(1000*AB$21/100)+(($E22-1000)*AB$22/100)),($E22*$AB$21)/100)+IF(B$22&gt;Z$18,$AB$18*($B$22-Z$18),0)+IF(B$22&gt;Z$20,$AB$20*($B$22-Z$20),0),2)+AA30</f>
        <v>809.57999999999993</v>
      </c>
      <c r="N22" s="378"/>
      <c r="O22" s="392">
        <f>K22-G22</f>
        <v>0.36000000000001364</v>
      </c>
      <c r="P22" s="392"/>
      <c r="Q22" s="392">
        <f>M22-I22</f>
        <v>0.36000000000001364</v>
      </c>
      <c r="R22" s="381"/>
      <c r="S22" s="393">
        <f>ROUND(K22/G22-1,4)</f>
        <v>4.0000000000000002E-4</v>
      </c>
      <c r="T22" s="378"/>
      <c r="U22" s="393">
        <f>ROUND(M22/I22-1,4)</f>
        <v>4.0000000000000002E-4</v>
      </c>
      <c r="W22" s="726" t="s">
        <v>533</v>
      </c>
      <c r="X22" s="940">
        <f>'Exhibit No.__(RMM-11) p1-8'!D196+AA25+AA32</f>
        <v>7.8630000000000004</v>
      </c>
      <c r="Y22" s="952">
        <f>X22</f>
        <v>7.8630000000000004</v>
      </c>
      <c r="Z22" s="726" t="s">
        <v>533</v>
      </c>
      <c r="AA22" s="940">
        <f>'Exhibit No.__(RMM-11) p1-8'!G236+'Exhibit No.__(RMM-11) p1-8'!G240+AA26+AA32</f>
        <v>7.8630000000000004</v>
      </c>
      <c r="AB22" s="975">
        <f>AA22</f>
        <v>7.8630000000000004</v>
      </c>
      <c r="AD22" s="976"/>
    </row>
    <row r="23" spans="1:30" ht="15.75">
      <c r="B23" s="378"/>
      <c r="C23" s="378"/>
      <c r="D23" s="378">
        <f>D19</f>
        <v>200</v>
      </c>
      <c r="E23" s="390">
        <f>ROUND((B$22*D23),0)</f>
        <v>10000</v>
      </c>
      <c r="F23" s="391"/>
      <c r="G23" s="392">
        <f>ROUND($X$15+IF($E23&gt;1000,IF($E23&gt;9000,(1000*X$21/100)+(8000*X$22/100)+(($E23-9000)*X$23/100),(1000*X$21/100)+(($E23-1000)*X$22/100)),($E23*$X$21)/100)+IF(B$22&gt;W$18,$X$18*($B$22-W$18),0)+IF(B$22&gt;W$20,$X$20*($B$22-W$20),0),2)+AA29</f>
        <v>990.46999999999991</v>
      </c>
      <c r="H23" s="392"/>
      <c r="I23" s="392">
        <f>ROUND($Y$15+IF($E23&gt;1000,IF($E23&gt;9000,(1000*Y$21/100)+(8000*Y$22/100)+(($E23-9000)*Y$23/100),(1000*Y$21/100)+(($E23-1000)*Y$22/100)),($E23*$Y$21)/100)+IF(B$22&gt;W$18,$Y$18*($B$22-W$18),0)+IF(B$22&gt;W$20,$Y$20*($B$22-W$20),0),2)+AA29</f>
        <v>995.36999999999989</v>
      </c>
      <c r="J23" s="392"/>
      <c r="K23" s="392">
        <f>ROUND($AA$15+IF($E23&gt;1000,IF($E23&gt;9000,(1000*AA$21/100)+(8000*AA$22/100)+(($E23-9000)*AA$23/100),(1000*AA$21/100)+(($E23-1000)*AA$22/100)),($E23*$AA$21)/100)+IF(B$22&gt;Z$18,$AA$18*($B$22-Z$18),0)+IF(B$22&gt;Z$20,$AA$20*($B$22-Z$20),0),2)+AA30</f>
        <v>990.82999999999993</v>
      </c>
      <c r="L23" s="392"/>
      <c r="M23" s="392">
        <f>ROUND($AB$15+IF($E23&gt;1000,IF($E23&gt;9000,(1000*AB$21/100)+(8000*AB$22/100)+(($E23-9000)*AB$23/100),(1000*AB$21/100)+(($E23-1000)*AB$22/100)),($E23*$AB$21)/100)+IF(B$22&gt;Z$18,$AB$18*($B$22-Z$18),0)+IF(B$22&gt;Z$20,$AB$20*($B$22-Z$20),0),2)+AA30</f>
        <v>995.7299999999999</v>
      </c>
      <c r="N23" s="378"/>
      <c r="O23" s="392">
        <f>K23-G23</f>
        <v>0.36000000000001364</v>
      </c>
      <c r="P23" s="392"/>
      <c r="Q23" s="392">
        <f>M23-I23</f>
        <v>0.36000000000001364</v>
      </c>
      <c r="R23" s="381"/>
      <c r="S23" s="393">
        <f>ROUND(K23/G23-1,4)</f>
        <v>4.0000000000000002E-4</v>
      </c>
      <c r="T23" s="378"/>
      <c r="U23" s="393">
        <f>ROUND(M23/I23-1,4)</f>
        <v>4.0000000000000002E-4</v>
      </c>
      <c r="W23" s="726" t="s">
        <v>534</v>
      </c>
      <c r="X23" s="940">
        <f>'Exhibit No.__(RMM-11) p1-8'!D197+AA25+AA32</f>
        <v>6.8210000000000006</v>
      </c>
      <c r="Y23" s="952">
        <f>X23</f>
        <v>6.8210000000000006</v>
      </c>
      <c r="Z23" s="726" t="s">
        <v>534</v>
      </c>
      <c r="AA23" s="940">
        <f>'Exhibit No.__(RMM-11) p1-8'!G237+'Exhibit No.__(RMM-11) p1-8'!G241+AA26+AA32</f>
        <v>6.8210000000000006</v>
      </c>
      <c r="AB23" s="975">
        <f>AA23</f>
        <v>6.8210000000000006</v>
      </c>
      <c r="AC23" s="947"/>
      <c r="AD23" s="971"/>
    </row>
    <row r="24" spans="1:30" ht="16.5" thickBot="1">
      <c r="A24" s="964"/>
      <c r="B24" s="378"/>
      <c r="C24" s="378"/>
      <c r="D24" s="378">
        <f>D20</f>
        <v>400</v>
      </c>
      <c r="E24" s="390">
        <f>ROUND((B$22*D24),0)</f>
        <v>20000</v>
      </c>
      <c r="F24" s="391"/>
      <c r="G24" s="392">
        <f>ROUND($X$15+IF($E24&gt;1000,IF($E24&gt;9000,(1000*X$21/100)+(8000*X$22/100)+(($E24-9000)*X$23/100),(1000*X$21/100)+(($E24-1000)*X$22/100)),($E24*$X$21)/100)+IF(B$22&gt;W$18,$X$18*($B$22-W$18),0)+IF(B$22&gt;W$20,$X$20*($B$22-W$20),0),2)+AA29</f>
        <v>1672.57</v>
      </c>
      <c r="H24" s="392"/>
      <c r="I24" s="392">
        <f>ROUND($Y$15+IF($E24&gt;1000,IF($E24&gt;9000,(1000*Y$21/100)+(8000*Y$22/100)+(($E24-9000)*Y$23/100),(1000*Y$21/100)+(($E24-1000)*Y$22/100)),($E24*$Y$21)/100)+IF(B$22&gt;W$18,$Y$18*($B$22-W$18),0)+IF(B$22&gt;W$20,$Y$20*($B$22-W$20),0),2)+AA29</f>
        <v>1677.47</v>
      </c>
      <c r="J24" s="392"/>
      <c r="K24" s="392">
        <f>ROUND($AA$15+IF($E24&gt;1000,IF($E24&gt;9000,(1000*AA$21/100)+(8000*AA$22/100)+(($E24-9000)*AA$23/100),(1000*AA$21/100)+(($E24-1000)*AA$22/100)),($E24*$AA$21)/100)+IF(B$22&gt;Z$18,$AA$18*($B$22-Z$18),0)+IF(B$22&gt;Z$20,$AA$20*($B$22-Z$20),0),2)+AA30</f>
        <v>1672.9299999999998</v>
      </c>
      <c r="L24" s="392"/>
      <c r="M24" s="392">
        <f>ROUND($AB$15+IF($E24&gt;1000,IF($E24&gt;9000,(1000*AB$21/100)+(8000*AB$22/100)+(($E24-9000)*AB$23/100),(1000*AB$21/100)+(($E24-1000)*AB$22/100)),($E24*$AB$21)/100)+IF(B$22&gt;Z$18,$AB$18*($B$22-Z$18),0)+IF(B$22&gt;Z$20,$AB$20*($B$22-Z$20),0),2)+AA30</f>
        <v>1677.83</v>
      </c>
      <c r="N24" s="378"/>
      <c r="O24" s="392">
        <f>K24-G24</f>
        <v>0.35999999999989996</v>
      </c>
      <c r="P24" s="392"/>
      <c r="Q24" s="392">
        <f>M24-I24</f>
        <v>0.35999999999989996</v>
      </c>
      <c r="R24" s="381"/>
      <c r="S24" s="393">
        <f>ROUND(K24/G24-1,4)</f>
        <v>2.0000000000000001E-4</v>
      </c>
      <c r="T24" s="378"/>
      <c r="U24" s="393">
        <f>ROUND(M24/I24-1,4)</f>
        <v>2.0000000000000001E-4</v>
      </c>
      <c r="W24" s="941" t="s">
        <v>31</v>
      </c>
      <c r="X24" s="944" t="s">
        <v>31</v>
      </c>
      <c r="Y24" s="943" t="s">
        <v>31</v>
      </c>
      <c r="Z24" s="941" t="s">
        <v>31</v>
      </c>
      <c r="AA24" s="944" t="s">
        <v>31</v>
      </c>
      <c r="AB24" s="943" t="s">
        <v>31</v>
      </c>
    </row>
    <row r="25" spans="1:30" ht="15.75">
      <c r="A25" s="964"/>
      <c r="B25" s="381"/>
      <c r="C25" s="381"/>
      <c r="D25" s="381"/>
      <c r="E25" s="381"/>
      <c r="F25" s="391"/>
      <c r="G25" s="394"/>
      <c r="H25" s="394"/>
      <c r="I25" s="394"/>
      <c r="J25" s="394"/>
      <c r="K25" s="394"/>
      <c r="L25" s="394"/>
      <c r="M25" s="394"/>
      <c r="N25" s="381"/>
      <c r="O25" s="392"/>
      <c r="P25" s="392"/>
      <c r="Q25" s="392"/>
      <c r="R25" s="381"/>
      <c r="S25" s="393"/>
      <c r="T25" s="381"/>
      <c r="U25" s="381"/>
      <c r="Y25" s="438" t="s">
        <v>193</v>
      </c>
      <c r="AA25" s="945">
        <v>0.34899999999999998</v>
      </c>
      <c r="AB25" s="945" t="s">
        <v>31</v>
      </c>
    </row>
    <row r="26" spans="1:30" ht="15.75">
      <c r="A26" s="964"/>
      <c r="B26" s="378">
        <v>75</v>
      </c>
      <c r="C26" s="378"/>
      <c r="D26" s="378">
        <v>333.33300000000003</v>
      </c>
      <c r="E26" s="390">
        <f>ROUND((B$26*D26),0)</f>
        <v>25000</v>
      </c>
      <c r="F26" s="395"/>
      <c r="G26" s="392">
        <f>ROUND($X$15+IF($E26&gt;1000,IF($E26&gt;9000,(1000*X$21/100)+(8000*X$22/100)+(($E26-9000)*X$23/100),(1000*X$21/100)+(($E26-1000)*X$22/100)),($E26*$X$21)/100)+IF(B$26&gt;W$18,$X$18*($B$26-W$18),0)+IF(B$26&gt;W$20,$X$20*($B$26-W$20),0),2)+AA29</f>
        <v>2134.62</v>
      </c>
      <c r="H26" s="392"/>
      <c r="I26" s="392">
        <f>ROUND($Y$15+IF($E26&gt;1000,IF($E26&gt;9000,(1000*Y$21/100)+(8000*Y$22/100)+(($E26-9000)*Y$23/100),(1000*Y$21/100)+(($E26-1000)*Y$22/100)),($E26*$Y$21)/100)+IF(B$26&gt;W$18,$Y$18*($B$26-W$18),0)+IF(B$26&gt;W$20,$Y$20*($B$26-W$20),0),2)+AA29</f>
        <v>2139.52</v>
      </c>
      <c r="J26" s="396"/>
      <c r="K26" s="392">
        <f>ROUND($AA$15+IF($E26&gt;1000,IF($E26&gt;9000,(1000*AA$21/100)+(8000*AA$22/100)+(($E26-9000)*AA$23/100),(1000*AA$21/100)+(($E26-1000)*AA$22/100)),($E26*$AA$21)/100)+IF(B$26&gt;Z$18,$AA$18*($B$26-Z$18),0)+IF(B$26&gt;Z$20,$AA$20*($B$26-Z$20),0),2)+AA30</f>
        <v>2135.23</v>
      </c>
      <c r="L26" s="392"/>
      <c r="M26" s="392">
        <f>ROUND($AB$15+IF($E26&gt;1000,IF($E26&gt;9000,(1000*AB$21/100)+(8000*AB$22/100)+(($E26-9000)*AB$23/100),(1000*AB$21/100)+(($E26-1000)*AB$22/100)),($E26*$AB$21)/100)+IF(B$26&gt;Z$18,$AB$18*($B$26-Z$18),0)+IF(B$26&gt;Z$20,$AB$20*($B$26-Z$20),0),2)+AA30</f>
        <v>2140.13</v>
      </c>
      <c r="N26" s="378"/>
      <c r="O26" s="392">
        <f>K26-G26</f>
        <v>0.61000000000012733</v>
      </c>
      <c r="P26" s="392"/>
      <c r="Q26" s="392">
        <f>M26-I26</f>
        <v>0.61000000000012733</v>
      </c>
      <c r="R26" s="381"/>
      <c r="S26" s="393">
        <f>ROUND(K26/G26-1,4)</f>
        <v>2.9999999999999997E-4</v>
      </c>
      <c r="T26" s="378"/>
      <c r="U26" s="393">
        <f>ROUND(M26/I26-1,4)</f>
        <v>2.9999999999999997E-4</v>
      </c>
      <c r="AA26" s="945">
        <v>0.34899999999999998</v>
      </c>
      <c r="AB26" s="945" t="s">
        <v>31</v>
      </c>
    </row>
    <row r="27" spans="1:30" ht="15.75">
      <c r="B27" s="378"/>
      <c r="C27" s="378"/>
      <c r="D27" s="378">
        <v>500</v>
      </c>
      <c r="E27" s="390">
        <f>ROUND((B$26*D27),0)</f>
        <v>37500</v>
      </c>
      <c r="F27" s="395"/>
      <c r="G27" s="392">
        <f>ROUND($X$15+IF($E27&gt;1000,IF($E27&gt;9000,(1000*X$21/100)+(8000*X$22/100)+(($E27-9000)*X$23/100),(1000*X$21/100)+(($E27-1000)*X$22/100)),($E27*$X$21)/100)+IF(B$26&gt;W$18,$X$18*($B$26-W$18),0)+IF(B$26&gt;W$20,$X$20*($B$26-W$20),0),2)+AA29</f>
        <v>2987.25</v>
      </c>
      <c r="H27" s="392"/>
      <c r="I27" s="392">
        <f>ROUND($Y$15+IF($E27&gt;1000,IF($E27&gt;9000,(1000*Y$21/100)+(8000*Y$22/100)+(($E27-9000)*Y$23/100),(1000*Y$21/100)+(($E27-1000)*Y$22/100)),($E27*$Y$21)/100)+IF(B$26&gt;W$18,$Y$18*($B$26-W$18),0)+IF(B$26&gt;W$20,$Y$20*($B$26-W$20),0),2)+AA29</f>
        <v>2992.15</v>
      </c>
      <c r="J27" s="396"/>
      <c r="K27" s="392">
        <f>ROUND($AA$15+IF($E27&gt;1000,IF($E27&gt;9000,(1000*AA$21/100)+(8000*AA$22/100)+(($E27-9000)*AA$23/100),(1000*AA$21/100)+(($E27-1000)*AA$22/100)),($E27*$AA$21)/100)+IF(B$26&gt;Z$18,$AA$18*($B$26-Z$18),0)+IF(B$26&gt;Z$20,$AA$20*($B$26-Z$20),0),2)+AA30</f>
        <v>2987.86</v>
      </c>
      <c r="L27" s="392"/>
      <c r="M27" s="392">
        <f>ROUND($AB$15+IF($E27&gt;1000,IF($E27&gt;9000,(1000*AB$21/100)+(8000*AB$22/100)+(($E27-9000)*AB$23/100),(1000*AB$21/100)+(($E27-1000)*AB$22/100)),($E27*$AB$21)/100)+IF(B$26&gt;Z$18,$AB$18*($B$26-Z$18),0)+IF(B$26&gt;Z$20,$AB$20*($B$26-Z$20),0),2)+AA30</f>
        <v>2992.7599999999998</v>
      </c>
      <c r="N27" s="378"/>
      <c r="O27" s="392">
        <f>K27-G27</f>
        <v>0.61000000000012733</v>
      </c>
      <c r="P27" s="392"/>
      <c r="Q27" s="392">
        <f>M27-I27</f>
        <v>0.60999999999967258</v>
      </c>
      <c r="R27" s="381"/>
      <c r="S27" s="393">
        <f>ROUND(K27/G27-1,4)</f>
        <v>2.0000000000000001E-4</v>
      </c>
      <c r="T27" s="378"/>
      <c r="U27" s="393">
        <f>ROUND(M27/I27-1,4)</f>
        <v>2.0000000000000001E-4</v>
      </c>
      <c r="AA27" s="946"/>
    </row>
    <row r="28" spans="1:30" ht="15.75">
      <c r="A28" s="964"/>
      <c r="B28" s="378"/>
      <c r="C28" s="378"/>
      <c r="D28" s="378">
        <v>666.66600000000005</v>
      </c>
      <c r="E28" s="390">
        <f>ROUND((B$26*D28),0)</f>
        <v>50000</v>
      </c>
      <c r="F28" s="395"/>
      <c r="G28" s="392">
        <f>ROUND($X$15+IF($E28&gt;1000,IF($E28&gt;9000,(1000*X$21/100)+(8000*X$22/100)+(($E28-9000)*X$23/100),(1000*X$21/100)+(($E28-1000)*X$22/100)),($E28*$X$21)/100)+IF(B$26&gt;W$18,$X$18*($B$26-W$18),0)+IF(B$26&gt;W$20,$X$20*($B$26-W$20),0),2)+AA29</f>
        <v>3839.87</v>
      </c>
      <c r="H28" s="392"/>
      <c r="I28" s="392">
        <f>ROUND($Y$15+IF($E28&gt;1000,IF($E28&gt;9000,(1000*Y$21/100)+(8000*Y$22/100)+(($E28-9000)*Y$23/100),(1000*Y$21/100)+(($E28-1000)*Y$22/100)),($E28*$Y$21)/100)+IF(B$26&gt;W$18,$Y$18*($B$26-W$18),0)+IF(B$26&gt;W$20,$Y$20*($B$26-W$20),0),2)+AA29</f>
        <v>3844.77</v>
      </c>
      <c r="J28" s="396"/>
      <c r="K28" s="392">
        <f>ROUND($AA$15+IF($E28&gt;1000,IF($E28&gt;9000,(1000*AA$21/100)+(8000*AA$22/100)+(($E28-9000)*AA$23/100),(1000*AA$21/100)+(($E28-1000)*AA$22/100)),($E28*$AA$21)/100)+IF(B$26&gt;Z$18,$AA$18*($B$26-Z$18),0)+IF(B$26&gt;Z$20,$AA$20*($B$26-Z$20),0),2)+AA30</f>
        <v>3840.48</v>
      </c>
      <c r="L28" s="392"/>
      <c r="M28" s="392">
        <f>ROUND($AB$15+IF($E28&gt;1000,IF($E28&gt;9000,(1000*AB$21/100)+(8000*AB$22/100)+(($E28-9000)*AB$23/100),(1000*AB$21/100)+(($E28-1000)*AB$22/100)),($E28*$AB$21)/100)+IF(B$26&gt;Z$18,$AB$18*($B$26-Z$18),0)+IF(B$26&gt;Z$20,$AB$20*($B$26-Z$20),0),2)+AA30</f>
        <v>3845.38</v>
      </c>
      <c r="N28" s="378"/>
      <c r="O28" s="392">
        <f>K28-G28</f>
        <v>0.61000000000012733</v>
      </c>
      <c r="P28" s="392"/>
      <c r="Q28" s="392">
        <f>M28-I28</f>
        <v>0.61000000000012733</v>
      </c>
      <c r="R28" s="381"/>
      <c r="S28" s="393">
        <f>ROUND(K28/G28-1,4)</f>
        <v>2.0000000000000001E-4</v>
      </c>
      <c r="T28" s="378"/>
      <c r="U28" s="393">
        <f>ROUND(M28/I28-1,4)</f>
        <v>2.0000000000000001E-4</v>
      </c>
      <c r="Y28" s="438" t="s">
        <v>31</v>
      </c>
      <c r="AA28" s="438" t="s">
        <v>31</v>
      </c>
    </row>
    <row r="29" spans="1:30" ht="15.75">
      <c r="A29" s="964"/>
      <c r="B29" s="397"/>
      <c r="C29" s="397"/>
      <c r="D29" s="397"/>
      <c r="E29" s="397"/>
      <c r="F29" s="398"/>
      <c r="G29" s="397"/>
      <c r="H29" s="397"/>
      <c r="I29" s="397"/>
      <c r="J29" s="397"/>
      <c r="K29" s="397"/>
      <c r="L29" s="397"/>
      <c r="M29" s="397"/>
      <c r="N29" s="397"/>
      <c r="O29" s="397"/>
      <c r="P29" s="397"/>
      <c r="Q29" s="397"/>
      <c r="R29" s="397"/>
      <c r="S29" s="397"/>
      <c r="T29" s="397"/>
      <c r="U29" s="397"/>
      <c r="Y29" s="438" t="s">
        <v>612</v>
      </c>
      <c r="AA29" s="971">
        <v>1.56</v>
      </c>
      <c r="AB29" s="438" t="s">
        <v>31</v>
      </c>
    </row>
    <row r="30" spans="1:30" ht="15.75">
      <c r="A30" s="964"/>
      <c r="B30" s="378">
        <v>100</v>
      </c>
      <c r="C30" s="378"/>
      <c r="D30" s="378">
        <v>333.33300000000003</v>
      </c>
      <c r="E30" s="390">
        <f>ROUND((B$26*D30),0)</f>
        <v>25000</v>
      </c>
      <c r="F30" s="395"/>
      <c r="G30" s="392">
        <f>ROUND($X$15+IF($E30&gt;1000,IF($E30&gt;9000,(1000*X$21/100)+(8000*X$22/100)+(($E30-9000)*X$23/100),(1000*X$21/100)+(($E30-1000)*X$22/100)),($E30*$X$21)/100)+IF(B$30&gt;W$18,$X$18*($B$30-W$18),0)+IF(B$30&gt;W$20,$X$20*($B$30-W$20),0),2)+AA29</f>
        <v>2255.62</v>
      </c>
      <c r="H30" s="392"/>
      <c r="I30" s="392">
        <f>ROUND($Y$15+IF($E30&gt;1000,IF($E30&gt;9000,(1000*Y$21/100)+(8000*Y$22/100)+(($E30-9000)*Y$23/100),(1000*Y$21/100)+(($E30-1000)*Y$22/100)),($E30*$Y$21)/100)+IF(B$30&gt;W$18,$Y$18*($B$30-W$18),0)+IF(B$30&gt;W$20,$Y$20*($B$30-W$20),0),2)+AA29</f>
        <v>2260.52</v>
      </c>
      <c r="J30" s="396"/>
      <c r="K30" s="392">
        <f>ROUND($AA$15+IF($E30&gt;1000,IF($E30&gt;9000,(1000*AA$21/100)+(8000*AA$22/100)+(($E30-9000)*AA$23/100),(1000*AA$21/100)+(($E30-1000)*AA$22/100)),($E30*$AA$21)/100)+IF(B$30&gt;Z$18,$AA$18*($B$30-Z$18),0)+IF(B$30&gt;Z$20,$AA$20*($B$30-Z$20),0),2)+AA30</f>
        <v>2256.48</v>
      </c>
      <c r="L30" s="392"/>
      <c r="M30" s="392">
        <f>ROUND($AB$15+IF($E30&gt;1000,IF($E30&gt;9000,(1000*AB$21/100)+(8000*AB$22/100)+(($E30-9000)*AB$23/100),(1000*AB$21/100)+(($E30-1000)*AB$22/100)),($E30*$AB$21)/100)+IF(B$30&gt;Z$18,$AB$18*($B$30-Z$18),0)+IF(B$30&gt;Z$20,$AB$20*($B$30-Z$20),0),2)+AA30</f>
        <v>2261.38</v>
      </c>
      <c r="N30" s="378"/>
      <c r="O30" s="392">
        <f>K30-G30</f>
        <v>0.86000000000012733</v>
      </c>
      <c r="P30" s="392"/>
      <c r="Q30" s="392">
        <f>M30-I30</f>
        <v>0.86000000000012733</v>
      </c>
      <c r="R30" s="381"/>
      <c r="S30" s="393">
        <f>ROUND(K30/G30-1,4)</f>
        <v>4.0000000000000002E-4</v>
      </c>
      <c r="T30" s="378"/>
      <c r="U30" s="393">
        <f>ROUND(M30/I30-1,4)</f>
        <v>4.0000000000000002E-4</v>
      </c>
      <c r="Y30" s="438" t="s">
        <v>614</v>
      </c>
      <c r="Z30" s="976"/>
      <c r="AA30" s="971">
        <f>AA29</f>
        <v>1.56</v>
      </c>
    </row>
    <row r="31" spans="1:30" ht="15.75">
      <c r="B31" s="378"/>
      <c r="C31" s="378"/>
      <c r="D31" s="378">
        <v>500</v>
      </c>
      <c r="E31" s="390">
        <f>ROUND((B$26*D31),0)</f>
        <v>37500</v>
      </c>
      <c r="F31" s="395"/>
      <c r="G31" s="392">
        <f>ROUND($X$15+IF($E31&gt;1000,IF($E31&gt;9000,(1000*X$21/100)+(8000*X$22/100)+(($E31-9000)*X$23/100),(1000*X$21/100)+(($E31-1000)*X$22/100)),($E31*$X$21)/100)+IF(B$30&gt;W$18,$X$18*($B$30-W$18),0)+IF(B$30&gt;W$20,$X$20*($B$30-W$20),0),2)+AA29</f>
        <v>3108.25</v>
      </c>
      <c r="H31" s="392"/>
      <c r="I31" s="392">
        <f>ROUND($Y$15+IF($E31&gt;1000,IF($E31&gt;9000,(1000*Y$21/100)+(8000*Y$22/100)+(($E31-9000)*Y$23/100),(1000*Y$21/100)+(($E31-1000)*Y$22/100)),($E31*$Y$21)/100)+IF(B$30&gt;W$18,$Y$18*($B$30-W$18),0)+IF(B$30&gt;W$20,$Y$20*($B$30-W$20),0),2)+AA29</f>
        <v>3113.15</v>
      </c>
      <c r="J31" s="396"/>
      <c r="K31" s="392">
        <f>ROUND($AA$15+IF($E31&gt;1000,IF($E31&gt;9000,(1000*AA$21/100)+(8000*AA$22/100)+(($E31-9000)*AA$23/100),(1000*AA$21/100)+(($E31-1000)*AA$22/100)),($E31*$AA$21)/100)+IF(B$30&gt;Z$18,$AA$18*($B$30-Z$18),0)+IF(B$30&gt;Z$20,$AA$20*($B$30-Z$20),0),2)+AA30</f>
        <v>3109.11</v>
      </c>
      <c r="L31" s="392"/>
      <c r="M31" s="392">
        <f>ROUND($AB$15+IF($E31&gt;1000,IF($E31&gt;9000,(1000*AB$21/100)+(8000*AB$22/100)+(($E31-9000)*AB$23/100),(1000*AB$21/100)+(($E31-1000)*AB$22/100)),($E31*$AB$21)/100)+IF(B$30&gt;Z$18,$AB$18*($B$30-Z$18),0)+IF(B$30&gt;Z$20,$AB$20*($B$30-Z$20),0),2)+AA30</f>
        <v>3114.0099999999998</v>
      </c>
      <c r="N31" s="378"/>
      <c r="O31" s="392">
        <f>K31-G31</f>
        <v>0.86000000000012733</v>
      </c>
      <c r="P31" s="392"/>
      <c r="Q31" s="392">
        <f>M31-I31</f>
        <v>0.85999999999967258</v>
      </c>
      <c r="R31" s="381"/>
      <c r="S31" s="393">
        <f>ROUND(K31/G31-1,4)</f>
        <v>2.9999999999999997E-4</v>
      </c>
      <c r="T31" s="378"/>
      <c r="U31" s="393">
        <f>ROUND(M31/I31-1,4)</f>
        <v>2.9999999999999997E-4</v>
      </c>
      <c r="Y31" s="971"/>
      <c r="Z31" s="971"/>
    </row>
    <row r="32" spans="1:30" ht="15.75">
      <c r="A32" s="964"/>
      <c r="B32" s="378"/>
      <c r="C32" s="378"/>
      <c r="D32" s="378">
        <v>666.66600000000005</v>
      </c>
      <c r="E32" s="390">
        <f>ROUND((B$26*D32),0)</f>
        <v>50000</v>
      </c>
      <c r="F32" s="395"/>
      <c r="G32" s="392">
        <f>ROUND($X$15+IF($E32&gt;1000,IF($E32&gt;9000,(1000*X$21/100)+(8000*X$22/100)+(($E32-9000)*X$23/100),(1000*X$21/100)+(($E32-1000)*X$22/100)),($E32*$X$21)/100)+IF(B$30&gt;W$18,$X$18*($B$30-W$18),0)+IF(B$30&gt;W$20,$X$20*($B$30-W$20),0),2)+AA29</f>
        <v>3960.87</v>
      </c>
      <c r="H32" s="392"/>
      <c r="I32" s="392">
        <f>ROUND($Y$15+IF($E32&gt;1000,IF($E32&gt;9000,(1000*Y$21/100)+(8000*Y$22/100)+(($E32-9000)*Y$23/100),(1000*Y$21/100)+(($E32-1000)*Y$22/100)),($E32*$Y$21)/100)+IF(B$30&gt;W$18,$Y$18*($B$30-W$18),0)+IF(B$30&gt;W$20,$Y$20*($B$30-W$20),0),2)+AA29</f>
        <v>3965.77</v>
      </c>
      <c r="J32" s="396"/>
      <c r="K32" s="392">
        <f>ROUND($AA$15+IF($E32&gt;1000,IF($E32&gt;9000,(1000*AA$21/100)+(8000*AA$22/100)+(($E32-9000)*AA$23/100),(1000*AA$21/100)+(($E32-1000)*AA$22/100)),($E32*$AA$21)/100)+IF(B$30&gt;Z$18,$AA$18*($B$30-Z$18),0)+IF(B$30&gt;Z$20,$AA$20*($B$30-Z$20),0),2)+AA30</f>
        <v>3961.73</v>
      </c>
      <c r="L32" s="392"/>
      <c r="M32" s="392">
        <f>ROUND($AB$15+IF($E32&gt;1000,IF($E32&gt;9000,(1000*AB$21/100)+(8000*AB$22/100)+(($E32-9000)*AB$23/100),(1000*AB$21/100)+(($E32-1000)*AB$22/100)),($E32*$AB$21)/100)+IF(B$30&gt;Z$18,$AB$18*($B$30-Z$18),0)+IF(B$30&gt;Z$20,$AB$20*($B$30-Z$20),0),2)+AA30</f>
        <v>3966.63</v>
      </c>
      <c r="N32" s="378"/>
      <c r="O32" s="392">
        <f>K32-G32</f>
        <v>0.86000000000012733</v>
      </c>
      <c r="P32" s="392"/>
      <c r="Q32" s="392">
        <f>M32-I32</f>
        <v>0.86000000000012733</v>
      </c>
      <c r="R32" s="381"/>
      <c r="S32" s="393">
        <f>ROUND(K32/G32-1,4)</f>
        <v>2.0000000000000001E-4</v>
      </c>
      <c r="T32" s="378"/>
      <c r="U32" s="393">
        <f>ROUND(M32/I32-1,4)</f>
        <v>2.0000000000000001E-4</v>
      </c>
      <c r="Y32" s="438" t="s">
        <v>302</v>
      </c>
      <c r="AA32" s="945">
        <v>0</v>
      </c>
    </row>
    <row r="33" spans="1:24" ht="15.75">
      <c r="A33" s="964"/>
      <c r="B33" s="381"/>
      <c r="C33" s="381"/>
      <c r="D33" s="381"/>
      <c r="E33" s="381"/>
      <c r="F33" s="391"/>
      <c r="G33" s="381"/>
      <c r="H33" s="381"/>
      <c r="I33" s="381"/>
      <c r="J33" s="381"/>
      <c r="K33" s="381"/>
      <c r="L33" s="381"/>
      <c r="M33" s="381"/>
      <c r="N33" s="381"/>
      <c r="O33" s="381"/>
      <c r="P33" s="381"/>
      <c r="Q33" s="381"/>
      <c r="R33" s="381"/>
      <c r="S33" s="381"/>
      <c r="T33" s="381"/>
      <c r="U33" s="381"/>
    </row>
    <row r="34" spans="1:24" ht="15.75">
      <c r="A34" s="964"/>
      <c r="B34" s="381" t="s">
        <v>517</v>
      </c>
      <c r="C34" s="381"/>
      <c r="D34" s="381"/>
      <c r="E34" s="381"/>
      <c r="F34" s="391"/>
      <c r="G34" s="381"/>
      <c r="H34" s="381"/>
      <c r="I34" s="381"/>
      <c r="J34" s="381"/>
      <c r="K34" s="381"/>
      <c r="L34" s="381"/>
      <c r="M34" s="381"/>
      <c r="N34" s="381"/>
      <c r="O34" s="381"/>
      <c r="P34" s="381"/>
      <c r="Q34" s="381"/>
      <c r="R34" s="381"/>
      <c r="S34" s="381"/>
      <c r="T34" s="381"/>
      <c r="U34" s="381"/>
      <c r="W34" s="719" t="s">
        <v>623</v>
      </c>
      <c r="X34" s="977">
        <f ca="1">'Exhibit No.__(RMM-10)'!Q23</f>
        <v>1.7729164093512227E-4</v>
      </c>
    </row>
    <row r="35" spans="1:24" ht="15.75">
      <c r="B35" s="399" t="s">
        <v>777</v>
      </c>
      <c r="C35" s="381"/>
      <c r="D35" s="381"/>
      <c r="E35" s="381"/>
      <c r="F35" s="381"/>
      <c r="G35" s="381"/>
      <c r="H35" s="381"/>
      <c r="I35" s="381"/>
      <c r="J35" s="381"/>
      <c r="K35" s="381"/>
      <c r="L35" s="381"/>
      <c r="M35" s="381"/>
      <c r="N35" s="381"/>
      <c r="O35" s="381"/>
      <c r="P35" s="381"/>
      <c r="Q35" s="381"/>
      <c r="R35" s="381"/>
      <c r="S35" s="381"/>
      <c r="T35" s="381"/>
      <c r="U35" s="381"/>
      <c r="X35" s="720" t="s">
        <v>31</v>
      </c>
    </row>
    <row r="36" spans="1:24">
      <c r="A36" s="964"/>
    </row>
    <row r="37" spans="1:24">
      <c r="A37" s="964"/>
    </row>
    <row r="38" spans="1:24">
      <c r="A38" s="964"/>
    </row>
    <row r="40" spans="1:24">
      <c r="A40" s="964"/>
    </row>
    <row r="41" spans="1:24">
      <c r="A41" s="964"/>
    </row>
    <row r="42" spans="1:24">
      <c r="A42" s="964"/>
    </row>
    <row r="43" spans="1:24">
      <c r="A43" s="964"/>
    </row>
    <row r="44" spans="1:24">
      <c r="A44" s="964"/>
    </row>
    <row r="45" spans="1:24">
      <c r="A45" s="964"/>
    </row>
    <row r="46" spans="1:24">
      <c r="A46" s="964"/>
    </row>
    <row r="47" spans="1:24">
      <c r="A47" s="964"/>
    </row>
    <row r="48" spans="1:24">
      <c r="P48" s="720"/>
    </row>
  </sheetData>
  <phoneticPr fontId="0" type="noConversion"/>
  <printOptions horizontalCentered="1"/>
  <pageMargins left="0.5" right="0.5" top="0.5" bottom="0.5" header="0.5" footer="0.5"/>
  <pageSetup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U57"/>
  <sheetViews>
    <sheetView workbookViewId="0">
      <selection activeCell="B8" sqref="B8"/>
    </sheetView>
  </sheetViews>
  <sheetFormatPr defaultColWidth="8.5" defaultRowHeight="15"/>
  <cols>
    <col min="1" max="1" width="1.625" style="438" customWidth="1"/>
    <col min="2" max="2" width="10.375" style="438" customWidth="1"/>
    <col min="3" max="3" width="2.375" style="438" customWidth="1"/>
    <col min="4" max="4" width="10.875" style="438" hidden="1" customWidth="1"/>
    <col min="5" max="5" width="9.375" style="438" customWidth="1"/>
    <col min="6" max="6" width="3.5" style="438" customWidth="1"/>
    <col min="7" max="7" width="11.75" style="438" bestFit="1" customWidth="1"/>
    <col min="8" max="8" width="3.625" style="438" customWidth="1"/>
    <col min="9" max="9" width="12.875" style="438" bestFit="1" customWidth="1"/>
    <col min="10" max="10" width="4.5" style="438" customWidth="1"/>
    <col min="11" max="11" width="12.375" style="438" customWidth="1"/>
    <col min="12" max="12" width="2.375" style="438" customWidth="1"/>
    <col min="13" max="13" width="3" style="438" customWidth="1"/>
    <col min="14" max="14" width="9.5" style="438" customWidth="1"/>
    <col min="15" max="15" width="10.75" style="438" bestFit="1" customWidth="1"/>
    <col min="16" max="16" width="15.25" style="438" customWidth="1"/>
    <col min="17" max="17" width="5.75" style="438" customWidth="1"/>
    <col min="18" max="18" width="8.5" style="438"/>
    <col min="19" max="19" width="7.75" style="438" customWidth="1"/>
    <col min="20" max="20" width="2.25" style="438" customWidth="1"/>
    <col min="21" max="16384" width="8.5" style="438"/>
  </cols>
  <sheetData>
    <row r="1" spans="1:19">
      <c r="A1" s="963"/>
      <c r="B1" s="963"/>
    </row>
    <row r="2" spans="1:19">
      <c r="A2" s="963"/>
      <c r="B2" s="963"/>
      <c r="C2" s="964"/>
      <c r="D2" s="964"/>
      <c r="E2" s="964"/>
      <c r="F2" s="964"/>
      <c r="G2" s="964"/>
      <c r="H2" s="964"/>
      <c r="I2" s="964"/>
    </row>
    <row r="3" spans="1:19" ht="18.75">
      <c r="A3" s="963"/>
      <c r="B3" s="364"/>
      <c r="C3" s="372"/>
      <c r="D3" s="372"/>
      <c r="E3" s="372"/>
      <c r="F3" s="372"/>
      <c r="G3" s="372"/>
      <c r="H3" s="372"/>
      <c r="I3" s="372"/>
      <c r="J3" s="366" t="s">
        <v>31</v>
      </c>
      <c r="K3" s="400"/>
    </row>
    <row r="4" spans="1:19" ht="20.25">
      <c r="B4" s="374" t="s">
        <v>72</v>
      </c>
      <c r="C4" s="374"/>
      <c r="D4" s="374"/>
      <c r="E4" s="374"/>
      <c r="F4" s="374"/>
      <c r="G4" s="374"/>
      <c r="H4" s="374"/>
      <c r="I4" s="374"/>
      <c r="J4" s="374"/>
      <c r="K4" s="374"/>
      <c r="L4" s="965"/>
      <c r="M4" s="965"/>
    </row>
    <row r="5" spans="1:19" ht="20.25">
      <c r="B5" s="374" t="s">
        <v>508</v>
      </c>
      <c r="C5" s="374"/>
      <c r="D5" s="374"/>
      <c r="E5" s="374"/>
      <c r="F5" s="374"/>
      <c r="G5" s="374"/>
      <c r="H5" s="374"/>
      <c r="I5" s="374"/>
      <c r="J5" s="374"/>
      <c r="K5" s="374"/>
      <c r="L5" s="965"/>
      <c r="M5" s="965"/>
    </row>
    <row r="6" spans="1:19" ht="20.25">
      <c r="B6" s="374" t="s">
        <v>535</v>
      </c>
      <c r="C6" s="374"/>
      <c r="D6" s="374"/>
      <c r="E6" s="374"/>
      <c r="F6" s="374"/>
      <c r="G6" s="374"/>
      <c r="H6" s="374"/>
      <c r="I6" s="374"/>
      <c r="J6" s="374"/>
      <c r="K6" s="374"/>
      <c r="L6" s="965"/>
      <c r="M6" s="965"/>
    </row>
    <row r="7" spans="1:19" ht="20.25">
      <c r="B7" s="374" t="s">
        <v>31</v>
      </c>
      <c r="C7" s="374"/>
      <c r="D7" s="374"/>
      <c r="E7" s="374"/>
      <c r="F7" s="374"/>
      <c r="G7" s="374"/>
      <c r="H7" s="374"/>
      <c r="I7" s="374"/>
      <c r="J7" s="374"/>
      <c r="K7" s="374"/>
      <c r="L7" s="965"/>
      <c r="M7" s="965"/>
    </row>
    <row r="8" spans="1:19" ht="18.75">
      <c r="A8" s="376"/>
      <c r="B8" s="966"/>
      <c r="C8" s="966"/>
      <c r="D8" s="966"/>
      <c r="E8" s="966"/>
      <c r="F8" s="966"/>
      <c r="G8" s="966"/>
      <c r="H8" s="966"/>
      <c r="I8" s="966"/>
      <c r="J8" s="966"/>
      <c r="K8" s="965"/>
      <c r="L8" s="966"/>
      <c r="M8" s="966"/>
    </row>
    <row r="9" spans="1:19">
      <c r="A9" s="964"/>
      <c r="B9" s="963"/>
    </row>
    <row r="10" spans="1:19" ht="15.75">
      <c r="A10" s="964"/>
      <c r="B10" s="377" t="s">
        <v>519</v>
      </c>
      <c r="C10" s="378"/>
      <c r="D10" s="378"/>
      <c r="E10" s="378"/>
      <c r="F10" s="378"/>
      <c r="G10" s="379" t="s">
        <v>520</v>
      </c>
      <c r="H10" s="379"/>
      <c r="I10" s="379"/>
      <c r="J10" s="378"/>
      <c r="K10" s="381"/>
      <c r="L10" s="964"/>
      <c r="M10" s="964"/>
    </row>
    <row r="11" spans="1:19" ht="16.5" thickBot="1">
      <c r="A11" s="964"/>
      <c r="B11" s="382" t="s">
        <v>522</v>
      </c>
      <c r="C11" s="380"/>
      <c r="D11" s="377" t="s">
        <v>523</v>
      </c>
      <c r="E11" s="378"/>
      <c r="F11" s="378"/>
      <c r="G11" s="401" t="s">
        <v>510</v>
      </c>
      <c r="H11" s="381"/>
      <c r="I11" s="401" t="s">
        <v>295</v>
      </c>
      <c r="J11" s="378"/>
      <c r="K11" s="380" t="s">
        <v>511</v>
      </c>
      <c r="L11" s="964"/>
      <c r="M11" s="964"/>
      <c r="O11" s="944"/>
    </row>
    <row r="12" spans="1:19" ht="15.75">
      <c r="A12" s="964"/>
      <c r="B12" s="385" t="s">
        <v>394</v>
      </c>
      <c r="C12" s="386"/>
      <c r="D12" s="387" t="s">
        <v>525</v>
      </c>
      <c r="E12" s="385" t="s">
        <v>25</v>
      </c>
      <c r="F12" s="378"/>
      <c r="G12" s="385" t="s">
        <v>68</v>
      </c>
      <c r="H12" s="402"/>
      <c r="I12" s="385" t="s">
        <v>536</v>
      </c>
      <c r="J12" s="378"/>
      <c r="K12" s="383" t="s">
        <v>256</v>
      </c>
      <c r="L12" s="964"/>
      <c r="M12" s="964"/>
      <c r="N12" s="967" t="s">
        <v>512</v>
      </c>
      <c r="P12" s="931"/>
      <c r="Q12" s="932"/>
      <c r="R12" s="931" t="s">
        <v>513</v>
      </c>
      <c r="S12" s="932"/>
    </row>
    <row r="13" spans="1:19" ht="15.75">
      <c r="A13" s="964"/>
      <c r="B13" s="378"/>
      <c r="C13" s="378"/>
      <c r="D13" s="378"/>
      <c r="E13" s="378"/>
      <c r="F13" s="378"/>
      <c r="G13" s="386"/>
      <c r="H13" s="386"/>
      <c r="I13" s="386"/>
      <c r="J13" s="381"/>
      <c r="K13" s="381"/>
      <c r="N13" s="726" t="s">
        <v>392</v>
      </c>
      <c r="O13" s="642" t="s">
        <v>180</v>
      </c>
      <c r="P13" s="642" t="s">
        <v>537</v>
      </c>
      <c r="Q13" s="935"/>
      <c r="R13" s="642" t="s">
        <v>180</v>
      </c>
      <c r="S13" s="968" t="s">
        <v>537</v>
      </c>
    </row>
    <row r="14" spans="1:19" ht="15.75">
      <c r="A14" s="964"/>
      <c r="B14" s="378">
        <v>100</v>
      </c>
      <c r="C14" s="378"/>
      <c r="D14" s="378">
        <v>300</v>
      </c>
      <c r="E14" s="390">
        <v>25000</v>
      </c>
      <c r="F14" s="378"/>
      <c r="G14" s="392">
        <f>ROUND(IF($E14&lt;40001,$E14*$O$19/100,40000*$O$19/100+($E14-40000)*$O$20/100)+MAX(100, $B$14)*$O$18+IF($B$14&lt;101,$O$14,IF($B$14&lt;301,$O$15+$B$14*$P$15,$O$16+$B$14*$P$16)),2)+R26</f>
        <v>2418.64</v>
      </c>
      <c r="H14" s="392"/>
      <c r="I14" s="392">
        <f ca="1">ROUND(IF($E14&lt;40001,$E14*$R$19/100,40000*$R$19/100+($E14-40000)*$R$20/100)+MAX(100, $B$14)*$R$18+IF($B$14&lt;101,$R$14,IF($B$14&lt;301,$R$15+$B$14*$S$15,$R$16+$B$14*$S$16)),2)+R27</f>
        <v>2413.39</v>
      </c>
      <c r="J14" s="378"/>
      <c r="K14" s="393">
        <f ca="1">ROUND(I14/G14-1,4)</f>
        <v>-2.2000000000000001E-3</v>
      </c>
      <c r="L14" s="964"/>
      <c r="M14" s="964"/>
      <c r="N14" s="726" t="s">
        <v>538</v>
      </c>
      <c r="O14" s="958">
        <f>'Exhibit No.__(RMM-11) p1-8'!D619</f>
        <v>268</v>
      </c>
      <c r="P14" s="934"/>
      <c r="Q14" s="935"/>
      <c r="R14" s="958">
        <f>'Exhibit No.__(RMM-11) p1-8'!G661</f>
        <v>264</v>
      </c>
      <c r="S14" s="935"/>
    </row>
    <row r="15" spans="1:19" ht="15.75">
      <c r="A15" s="964"/>
      <c r="B15" s="378"/>
      <c r="C15" s="378"/>
      <c r="D15" s="378">
        <v>500</v>
      </c>
      <c r="E15" s="390">
        <v>37500</v>
      </c>
      <c r="F15" s="378"/>
      <c r="G15" s="392">
        <f>ROUND(IF($E15&lt;40001,$E15*$O$19/100,40000*$O$19/100+($E15-40000)*$O$20/100)+MAX(100, $B$14)*$O$18+IF($B$14&lt;101,$O$14,IF($B$14&lt;301,$O$15+$B$14*$P$15,$O$16+$B$14*$P$16)),2)+R26</f>
        <v>3195.02</v>
      </c>
      <c r="H15" s="392"/>
      <c r="I15" s="392">
        <f ca="1">ROUND(IF($E15&lt;40001,$E15*$R$19/100,40000*$R$19/100+($E15-40000)*$R$20/100)+MAX(100, $B$14)*$R$18+IF($B$14&lt;101,$R$14,IF($B$14&lt;301,$R$15+$B$14*$S$15,$R$16+$B$14*$S$16)),2)+R27</f>
        <v>3189.14</v>
      </c>
      <c r="J15" s="378"/>
      <c r="K15" s="393">
        <f ca="1">ROUND(I15/G15-1,4)</f>
        <v>-1.8E-3</v>
      </c>
      <c r="L15" s="964"/>
      <c r="M15" s="964"/>
      <c r="N15" s="726" t="s">
        <v>539</v>
      </c>
      <c r="O15" s="958">
        <f>'Exhibit No.__(RMM-11) p1-8'!D620</f>
        <v>100</v>
      </c>
      <c r="P15" s="937">
        <f>'Exhibit No.__(RMM-11) p1-8'!D623</f>
        <v>1.83</v>
      </c>
      <c r="Q15" s="968"/>
      <c r="R15" s="958">
        <f>'Exhibit No.__(RMM-11) p1-8'!G662</f>
        <v>100</v>
      </c>
      <c r="S15" s="938">
        <f>'Exhibit No.__(RMM-11) p1-8'!G665</f>
        <v>1.83</v>
      </c>
    </row>
    <row r="16" spans="1:19" ht="15.75">
      <c r="A16" s="964"/>
      <c r="B16" s="378"/>
      <c r="C16" s="378"/>
      <c r="D16" s="378">
        <v>700</v>
      </c>
      <c r="E16" s="390">
        <v>50000</v>
      </c>
      <c r="F16" s="378"/>
      <c r="G16" s="392">
        <f>ROUND(IF($E16&lt;40001,$E16*$O$19/100,40000*$O$19/100+($E16-40000)*$O$20/100)+MAX(100, $B$14)*$O$18+IF($B$14&lt;101,$O$14,IF($B$14&lt;301,$O$15+$B$14*$P$15,$O$16+$B$14*$P$16)),2)+R26</f>
        <v>3921.19</v>
      </c>
      <c r="H16" s="392"/>
      <c r="I16" s="392">
        <f ca="1">ROUND(IF($E16&lt;40001,$E16*$R$19/100,40000*$R$19/100+($E16-40000)*$R$20/100)+MAX(100, $B$14)*$R$18+IF($B$14&lt;101,$R$14,IF($B$14&lt;301,$R$15+$B$14*$S$15,$R$16+$B$14*$S$16)),2)+R27</f>
        <v>3914.49</v>
      </c>
      <c r="J16" s="378"/>
      <c r="K16" s="393">
        <f ca="1">ROUND(I16/G16-1,4)</f>
        <v>-1.6999999999999999E-3</v>
      </c>
      <c r="N16" s="726" t="s">
        <v>540</v>
      </c>
      <c r="O16" s="958">
        <f>'Exhibit No.__(RMM-11) p1-8'!D621</f>
        <v>200</v>
      </c>
      <c r="P16" s="937">
        <f>'Exhibit No.__(RMM-11) p1-8'!D624</f>
        <v>1.5</v>
      </c>
      <c r="Q16" s="935"/>
      <c r="R16" s="958">
        <f>'Exhibit No.__(RMM-11) p1-8'!G663</f>
        <v>200</v>
      </c>
      <c r="S16" s="938">
        <f>'Exhibit No.__(RMM-11) p1-8'!G666</f>
        <v>1.5</v>
      </c>
    </row>
    <row r="17" spans="1:21" ht="15.75">
      <c r="A17" s="964"/>
      <c r="B17" s="378"/>
      <c r="C17" s="378"/>
      <c r="D17" s="378"/>
      <c r="E17" s="378"/>
      <c r="F17" s="378"/>
      <c r="G17" s="392"/>
      <c r="H17" s="392"/>
      <c r="I17" s="392"/>
      <c r="J17" s="381"/>
      <c r="K17" s="393"/>
      <c r="L17" s="964"/>
      <c r="M17" s="964"/>
      <c r="N17" s="726"/>
      <c r="O17" s="934"/>
      <c r="P17" s="934"/>
      <c r="Q17" s="935"/>
      <c r="R17" s="934"/>
      <c r="S17" s="935"/>
    </row>
    <row r="18" spans="1:21" ht="15.75">
      <c r="A18" s="964"/>
      <c r="B18" s="378">
        <v>200</v>
      </c>
      <c r="C18" s="378"/>
      <c r="D18" s="378">
        <v>300</v>
      </c>
      <c r="E18" s="390">
        <f>ROUND((B$18*D18),0)</f>
        <v>60000</v>
      </c>
      <c r="F18" s="378"/>
      <c r="G18" s="392">
        <f>ROUND(IF($E18&lt;40001,$E18*$O$19/100,40000*$O$19/100+($E18-40000)*$O$20/100)+MAX(100, $B$18)*$O$18+IF($B$18&lt;101,$O$14,IF($B$18&lt;301,$O$15+$B$18*$P$15,$O$16+$B$18*$P$16)),2)+R26</f>
        <v>5250.09</v>
      </c>
      <c r="H18" s="392"/>
      <c r="I18" s="392">
        <f ca="1">ROUND(IF($E18&lt;40001,$E18*$R$19/100,40000*$R$19/100+($E18-40000)*$R$20/100)+MAX(100, $B$18)*$R$18+IF($B$18&lt;101,$R$14,IF($B$18&lt;301,$R$15+$B$18*$S$15,$R$16+$B$18*$S$16)),2)+R27</f>
        <v>5246.6900000000005</v>
      </c>
      <c r="J18" s="378"/>
      <c r="K18" s="393">
        <f ca="1">ROUND(I18/G18-1,4)</f>
        <v>-5.9999999999999995E-4</v>
      </c>
      <c r="L18" s="964"/>
      <c r="M18" s="964"/>
      <c r="N18" s="726" t="s">
        <v>394</v>
      </c>
      <c r="O18" s="937">
        <f>'Exhibit No.__(RMM-11) p1-8'!D626</f>
        <v>5.6</v>
      </c>
      <c r="P18" s="934"/>
      <c r="Q18" s="935"/>
      <c r="R18" s="937">
        <f>'Exhibit No.__(RMM-11) p1-8'!G668</f>
        <v>5.6</v>
      </c>
      <c r="S18" s="935"/>
      <c r="U18" s="939">
        <f>(R18-O18)/O18</f>
        <v>0</v>
      </c>
    </row>
    <row r="19" spans="1:21" ht="15.75">
      <c r="A19" s="964"/>
      <c r="B19" s="378"/>
      <c r="C19" s="378"/>
      <c r="D19" s="378">
        <v>500</v>
      </c>
      <c r="E19" s="390">
        <f>ROUND((B$18*D19),0)</f>
        <v>100000</v>
      </c>
      <c r="F19" s="378"/>
      <c r="G19" s="392">
        <f>ROUND(IF($E19&lt;40001,$E19*$O$19/100,40000*$O$19/100+($E19-40000)*$O$20/100)+MAX(100, $B$18)*$O$18+IF($B$18&lt;101,$O$14,IF($B$18&lt;301,$O$15+$B$18*$P$15,$O$16+$B$18*$P$16)),2)+R26</f>
        <v>7533.6900000000005</v>
      </c>
      <c r="H19" s="392"/>
      <c r="I19" s="392">
        <f ca="1">ROUND(IF($E19&lt;40001,$E19*$R$19/100,40000*$R$19/100+($E19-40000)*$R$20/100)+MAX(100, $B$18)*$R$18+IF($B$18&lt;101,$R$14,IF($B$18&lt;301,$R$15+$B$18*$S$15,$R$16+$B$18*$S$16)),2)+R27</f>
        <v>7527.4900000000007</v>
      </c>
      <c r="J19" s="378"/>
      <c r="K19" s="393">
        <f ca="1">ROUND(I19/G19-1,4)</f>
        <v>-8.0000000000000004E-4</v>
      </c>
      <c r="L19" s="964"/>
      <c r="M19" s="964"/>
      <c r="N19" s="726" t="s">
        <v>541</v>
      </c>
      <c r="O19" s="969">
        <f>'Exhibit No.__(RMM-11) p1-8'!D629+R22+R29</f>
        <v>6.2110000000000003</v>
      </c>
      <c r="P19" s="969"/>
      <c r="Q19" s="952"/>
      <c r="R19" s="969">
        <f ca="1">'Exhibit No.__(RMM-11) p1-8'!G671+'Exhibit No.__(RMM-11) p1-8'!G674+R23+R29</f>
        <v>6.2090000000000005</v>
      </c>
      <c r="S19" s="935"/>
      <c r="U19" s="939">
        <f t="shared" ref="U19:U20" ca="1" si="0">(R19-O19)/O19</f>
        <v>-3.2200933827077435E-4</v>
      </c>
    </row>
    <row r="20" spans="1:21" ht="15.75">
      <c r="A20" s="964"/>
      <c r="B20" s="378"/>
      <c r="C20" s="378"/>
      <c r="D20" s="378">
        <v>700</v>
      </c>
      <c r="E20" s="390">
        <f>ROUND((B$18*D20),0)</f>
        <v>140000</v>
      </c>
      <c r="F20" s="378"/>
      <c r="G20" s="392">
        <f>ROUND(IF($E20&lt;40001,$E20*$O$19/100,40000*$O$19/100+($E20-40000)*$O$20/100)+MAX(100, $B$18)*$O$18+IF($B$18&lt;101,$O$14,IF($B$18&lt;301,$O$15+$B$18*$P$15,$O$16+$B$18*$P$16)),2)+R26</f>
        <v>9817.2899999999991</v>
      </c>
      <c r="H20" s="392"/>
      <c r="I20" s="392">
        <f ca="1">ROUND(IF($E20&lt;40001,$E20*$R$19/100,40000*$R$19/100+($E20-40000)*$R$20/100)+MAX(100, $B$18)*$R$18+IF($B$18&lt;101,$R$14,IF($B$18&lt;301,$R$15+$B$18*$S$15,$R$16+$B$18*$S$16)),2)+R27</f>
        <v>9809.49</v>
      </c>
      <c r="J20" s="378"/>
      <c r="K20" s="393">
        <f ca="1">ROUND(I20/G20-1,4)</f>
        <v>-8.0000000000000004E-4</v>
      </c>
      <c r="N20" s="726" t="s">
        <v>542</v>
      </c>
      <c r="O20" s="969">
        <f>'Exhibit No.__(RMM-11) p1-8'!D630+R22+R29</f>
        <v>5.7090000000000005</v>
      </c>
      <c r="P20" s="969"/>
      <c r="Q20" s="952"/>
      <c r="R20" s="969">
        <f ca="1">'Exhibit No.__(RMM-11) p1-8'!G672+'Exhibit No.__(RMM-11) p1-8'!G675+R23+R29</f>
        <v>5.705000000000001</v>
      </c>
      <c r="S20" s="935"/>
      <c r="U20" s="939">
        <f t="shared" ca="1" si="0"/>
        <v>-7.0064809949195288E-4</v>
      </c>
    </row>
    <row r="21" spans="1:21" ht="16.5" thickBot="1">
      <c r="A21" s="964"/>
      <c r="B21" s="378"/>
      <c r="C21" s="378"/>
      <c r="D21" s="378"/>
      <c r="E21" s="378"/>
      <c r="F21" s="378"/>
      <c r="G21" s="392"/>
      <c r="H21" s="392"/>
      <c r="I21" s="392"/>
      <c r="J21" s="381"/>
      <c r="K21" s="393"/>
      <c r="L21" s="964"/>
      <c r="M21" s="964"/>
      <c r="N21" s="941" t="s">
        <v>31</v>
      </c>
      <c r="O21" s="942" t="s">
        <v>31</v>
      </c>
      <c r="P21" s="944" t="s">
        <v>31</v>
      </c>
      <c r="Q21" s="943"/>
      <c r="R21" s="942" t="s">
        <v>31</v>
      </c>
      <c r="S21" s="943"/>
    </row>
    <row r="22" spans="1:21" ht="15.75">
      <c r="A22" s="964"/>
      <c r="B22" s="378">
        <v>300</v>
      </c>
      <c r="C22" s="378"/>
      <c r="D22" s="378">
        <v>300</v>
      </c>
      <c r="E22" s="390">
        <f>ROUND((B$22*D22),0)</f>
        <v>90000</v>
      </c>
      <c r="F22" s="378"/>
      <c r="G22" s="392">
        <f>ROUND(IF($E22&lt;40001,$E22*$O$19/100,40000*$O$19/100+($E22-40000)*$O$20/100)+MAX(100, $B$22)*$O$18+IF($B$22&lt;101,$O$14,IF($B$22&lt;301,$O$15+$B$22*$P$15,$O$16+$B$22*$P$16)),2)+R26</f>
        <v>7705.79</v>
      </c>
      <c r="H22" s="392"/>
      <c r="I22" s="392">
        <f ca="1">ROUND(IF($E22&lt;40001,$E22*$R$19/100,40000*$R$19/100+($E22-40000)*$R$20/100)+MAX(100, $B$22)*$R$18+IF($B$22&lt;101,$R$14,IF($B$22&lt;301,$R$15+$B$22*$S$15,$R$16+$B$22*$S$16)),2)+R27</f>
        <v>7702.9900000000007</v>
      </c>
      <c r="J22" s="378"/>
      <c r="K22" s="393">
        <f ca="1">ROUND(I22/G22-1,4)</f>
        <v>-4.0000000000000002E-4</v>
      </c>
      <c r="L22" s="964"/>
      <c r="M22" s="964"/>
      <c r="P22" s="438" t="s">
        <v>193</v>
      </c>
      <c r="R22" s="945">
        <v>0.29899999999999999</v>
      </c>
      <c r="U22" s="438" t="s">
        <v>31</v>
      </c>
    </row>
    <row r="23" spans="1:21" ht="15.75">
      <c r="A23" s="964"/>
      <c r="B23" s="378"/>
      <c r="C23" s="378"/>
      <c r="D23" s="378">
        <v>500</v>
      </c>
      <c r="E23" s="390">
        <f>ROUND((B$22*D23),0)</f>
        <v>150000</v>
      </c>
      <c r="F23" s="378"/>
      <c r="G23" s="392">
        <f>ROUND(IF($E23&lt;40001,$E23*$O$19/100,40000*$O$19/100+($E23-40000)*$O$20/100)+MAX(100, $B$22)*$O$18+IF($B$22&lt;101,$O$14,IF($B$22&lt;301,$O$15+$B$22*$P$15,$O$16+$B$22*$P$16)),2)+R26</f>
        <v>11131.189999999999</v>
      </c>
      <c r="H23" s="392"/>
      <c r="I23" s="392">
        <f ca="1">ROUND(IF($E23&lt;40001,$E23*$R$19/100,40000*$R$19/100+($E23-40000)*$R$20/100)+MAX(100, $B$22)*$R$18+IF($B$22&lt;101,$R$14,IF($B$22&lt;301,$R$15+$B$22*$S$15,$R$16+$B$22*$S$16)),2)+R27</f>
        <v>11125.99</v>
      </c>
      <c r="J23" s="378"/>
      <c r="K23" s="393">
        <f ca="1">ROUND(I23/G23-1,4)</f>
        <v>-5.0000000000000001E-4</v>
      </c>
      <c r="L23" s="964"/>
      <c r="M23" s="964"/>
      <c r="R23" s="945">
        <v>0.29899999999999999</v>
      </c>
    </row>
    <row r="24" spans="1:21" ht="15.75">
      <c r="A24" s="964"/>
      <c r="B24" s="378"/>
      <c r="C24" s="378"/>
      <c r="D24" s="378">
        <v>700</v>
      </c>
      <c r="E24" s="390">
        <f>ROUND((B$22*D24),0)</f>
        <v>210000</v>
      </c>
      <c r="F24" s="378"/>
      <c r="G24" s="392">
        <f>ROUND(IF($E24&lt;40001,$E24*$O$19/100,40000*$O$19/100+($E24-40000)*$O$20/100)+MAX(100, $B$22)*$O$18+IF($B$22&lt;101,$O$14,IF($B$22&lt;301,$O$15+$B$22*$P$15,$O$16+$B$22*$P$16)),2)+R26</f>
        <v>14556.59</v>
      </c>
      <c r="H24" s="392"/>
      <c r="I24" s="392">
        <f ca="1">ROUND(IF($E24&lt;40001,$E24*$R$19/100,40000*$R$19/100+($E24-40000)*$R$20/100)+MAX(100, $B$22)*$R$18+IF($B$22&lt;101,$R$14,IF($B$22&lt;301,$R$15+$B$22*$S$15,$R$16+$B$22*$S$16)),2)+R27</f>
        <v>14548.99</v>
      </c>
      <c r="J24" s="378"/>
      <c r="K24" s="393">
        <f ca="1">ROUND(I24/G24-1,4)</f>
        <v>-5.0000000000000001E-4</v>
      </c>
      <c r="R24" s="946"/>
    </row>
    <row r="25" spans="1:21" ht="15.75">
      <c r="A25" s="964"/>
      <c r="B25" s="378"/>
      <c r="C25" s="378"/>
      <c r="D25" s="378"/>
      <c r="E25" s="378"/>
      <c r="F25" s="378"/>
      <c r="G25" s="392"/>
      <c r="H25" s="392"/>
      <c r="I25" s="392"/>
      <c r="J25" s="381"/>
      <c r="K25" s="393"/>
      <c r="L25" s="964"/>
      <c r="M25" s="964"/>
      <c r="P25" s="438" t="s">
        <v>31</v>
      </c>
      <c r="Q25" s="438" t="s">
        <v>31</v>
      </c>
      <c r="R25" s="438" t="s">
        <v>31</v>
      </c>
    </row>
    <row r="26" spans="1:21" ht="15.75">
      <c r="A26" s="964"/>
      <c r="B26" s="378">
        <v>400</v>
      </c>
      <c r="C26" s="378"/>
      <c r="D26" s="378">
        <v>300</v>
      </c>
      <c r="E26" s="390">
        <f>ROUND((B$26*D26),0)</f>
        <v>120000</v>
      </c>
      <c r="F26" s="378"/>
      <c r="G26" s="392">
        <f>ROUND(IF($E26&lt;40001,$E26*$O$19/100,40000*$O$19/100+($E26-40000)*$O$20/100)+MAX(100, $B$26)*$O$18+IF($B$26&lt;101,$O$14,IF($B$26&lt;301,$O$15+$B$26*$P$15,$O$16+$B$26*$P$16)),2)+R26</f>
        <v>10129.49</v>
      </c>
      <c r="H26" s="392"/>
      <c r="I26" s="392">
        <f ca="1">ROUND(IF($E26&lt;40001,$E26*$R$19/100,40000*$R$19/100+($E26-40000)*$R$20/100)+MAX(100, $B$26)*$R$18+IF($B$26&lt;101,$R$14,IF($B$26&lt;301,$R$15+$B$26*$S$15,$R$16+$B$26*$S$16)),2)+R27</f>
        <v>10125.49</v>
      </c>
      <c r="J26" s="378"/>
      <c r="K26" s="393">
        <f ca="1">ROUND(I26/G26-1,4)</f>
        <v>-4.0000000000000002E-4</v>
      </c>
      <c r="L26" s="964"/>
      <c r="M26" s="964"/>
      <c r="P26" s="438" t="s">
        <v>615</v>
      </c>
      <c r="R26" s="947">
        <v>37.89</v>
      </c>
      <c r="S26" s="438" t="s">
        <v>31</v>
      </c>
    </row>
    <row r="27" spans="1:21" ht="15.75">
      <c r="A27" s="964"/>
      <c r="B27" s="378"/>
      <c r="C27" s="378"/>
      <c r="D27" s="378">
        <v>500</v>
      </c>
      <c r="E27" s="390">
        <f>ROUND((B$26*D27),0)</f>
        <v>200000</v>
      </c>
      <c r="F27" s="378"/>
      <c r="G27" s="392">
        <f>ROUND(IF($E27&lt;40001,$E27*$O$19/100,40000*$O$19/100+($E27-40000)*$O$20/100)+MAX(100, $B$26)*$O$18+IF($B$26&lt;101,$O$14,IF($B$26&lt;301,$O$15+$B$26*$P$15,$O$16+$B$26*$P$16)),2)+R26</f>
        <v>14696.689999999999</v>
      </c>
      <c r="H27" s="392"/>
      <c r="I27" s="392">
        <f ca="1">ROUND(IF($E27&lt;40001,$E27*$R$19/100,40000*$R$19/100+($E27-40000)*$R$20/100)+MAX(100, $B$26)*$R$18+IF($B$26&lt;101,$R$14,IF($B$26&lt;301,$R$15+$B$26*$S$15,$R$16+$B$26*$S$16)),2)+R27</f>
        <v>14689.49</v>
      </c>
      <c r="J27" s="378"/>
      <c r="K27" s="393">
        <f ca="1">ROUND(I27/G27-1,4)</f>
        <v>-5.0000000000000001E-4</v>
      </c>
      <c r="L27" s="964"/>
      <c r="M27" s="964"/>
      <c r="P27" s="438" t="s">
        <v>614</v>
      </c>
      <c r="R27" s="947">
        <f>R26</f>
        <v>37.89</v>
      </c>
    </row>
    <row r="28" spans="1:21" ht="15.75">
      <c r="A28" s="964"/>
      <c r="B28" s="378"/>
      <c r="C28" s="378"/>
      <c r="D28" s="378">
        <v>700</v>
      </c>
      <c r="E28" s="390">
        <f>ROUND((B$26*D28),0)</f>
        <v>280000</v>
      </c>
      <c r="F28" s="378"/>
      <c r="G28" s="392">
        <f>ROUND(IF($E28&lt;40001,$E28*$O$19/100,40000*$O$19/100+($E28-40000)*$O$20/100)+MAX(100, $B$26)*$O$18+IF($B$26&lt;101,$O$14,IF($B$26&lt;301,$O$15+$B$26*$P$15,$O$16+$B$26*$P$16)),2)+R26</f>
        <v>19263.89</v>
      </c>
      <c r="H28" s="392"/>
      <c r="I28" s="392">
        <f ca="1">ROUND(IF($E28&lt;40001,$E28*$R$19/100,40000*$R$19/100+($E28-40000)*$R$20/100)+MAX(100, $B$26)*$R$18+IF($B$26&lt;101,$R$14,IF($B$26&lt;301,$R$15+$B$26*$S$15,$R$16+$B$26*$S$16)),2)+R27</f>
        <v>19253.489999999998</v>
      </c>
      <c r="J28" s="378"/>
      <c r="K28" s="393">
        <f ca="1">ROUND(I28/G28-1,4)</f>
        <v>-5.0000000000000001E-4</v>
      </c>
    </row>
    <row r="29" spans="1:21" ht="15.75">
      <c r="A29" s="964"/>
      <c r="B29" s="378"/>
      <c r="C29" s="378"/>
      <c r="D29" s="378"/>
      <c r="E29" s="378"/>
      <c r="F29" s="378"/>
      <c r="G29" s="392"/>
      <c r="H29" s="392"/>
      <c r="I29" s="392"/>
      <c r="J29" s="381"/>
      <c r="K29" s="393"/>
      <c r="L29" s="964"/>
      <c r="M29" s="964"/>
      <c r="P29" s="438" t="s">
        <v>302</v>
      </c>
      <c r="R29" s="438">
        <v>0</v>
      </c>
    </row>
    <row r="30" spans="1:21" ht="15.75">
      <c r="A30" s="964"/>
      <c r="B30" s="378">
        <v>600</v>
      </c>
      <c r="C30" s="378"/>
      <c r="D30" s="378">
        <v>300</v>
      </c>
      <c r="E30" s="390">
        <f>ROUND((B$30*D30),0)</f>
        <v>180000</v>
      </c>
      <c r="F30" s="378"/>
      <c r="G30" s="392">
        <f>ROUND(IF($E30&lt;40001,$E30*$O$19/100,40000*$O$19/100+($E30-40000)*$O$20/100)+MAX(100, $B$30)*$O$18+IF($B$30&lt;101,$O$14,IF($B$30&lt;301,$O$15+$B$30*$P$15,$O$16+$B$30*$P$16)),2)+R26</f>
        <v>14974.89</v>
      </c>
      <c r="H30" s="392"/>
      <c r="I30" s="392">
        <f ca="1">ROUND(IF($E30&lt;40001,$E30*$R$19/100,40000*$R$19/100+($E30-40000)*$R$20/100)+MAX(100, $B$30)*$R$18+IF($B$30&lt;101,$R$14,IF($B$30&lt;301,$R$15+$B$30*$S$15,$R$16+$B$30*$S$16)),2)+R27</f>
        <v>14968.49</v>
      </c>
      <c r="J30" s="378"/>
      <c r="K30" s="393">
        <f ca="1">ROUND(I30/G30-1,4)</f>
        <v>-4.0000000000000002E-4</v>
      </c>
      <c r="L30" s="964"/>
      <c r="M30" s="964"/>
    </row>
    <row r="31" spans="1:21" ht="15.75">
      <c r="A31" s="964"/>
      <c r="B31" s="378"/>
      <c r="C31" s="378"/>
      <c r="D31" s="378">
        <v>500</v>
      </c>
      <c r="E31" s="390">
        <f>ROUND((B$30*D31),0)</f>
        <v>300000</v>
      </c>
      <c r="F31" s="378"/>
      <c r="G31" s="392">
        <f>ROUND(IF($E31&lt;40001,$E31*$O$19/100,40000*$O$19/100+($E31-40000)*$O$20/100)+MAX(100, $B$30)*$O$18+IF($B$30&lt;101,$O$14,IF($B$30&lt;301,$O$15+$B$30*$P$15,$O$16+$B$30*$P$16)),2)+R26</f>
        <v>21825.69</v>
      </c>
      <c r="H31" s="392"/>
      <c r="I31" s="392">
        <f ca="1">ROUND(IF($E31&lt;40001,$E31*$R$19/100,40000*$R$19/100+($E31-40000)*$R$20/100)+MAX(100, $B$30)*$R$18+IF($B$30&lt;101,$R$14,IF($B$30&lt;301,$R$15+$B$30*$S$15,$R$16+$B$30*$S$16)),2)+R27</f>
        <v>21814.489999999998</v>
      </c>
      <c r="J31" s="378"/>
      <c r="K31" s="393">
        <f ca="1">ROUND(I31/G31-1,4)</f>
        <v>-5.0000000000000001E-4</v>
      </c>
      <c r="L31" s="964"/>
      <c r="M31" s="964"/>
    </row>
    <row r="32" spans="1:21" ht="15.75">
      <c r="A32" s="964"/>
      <c r="B32" s="378"/>
      <c r="C32" s="378"/>
      <c r="D32" s="378">
        <v>700</v>
      </c>
      <c r="E32" s="390">
        <f>ROUND((B$30*D32),0)</f>
        <v>420000</v>
      </c>
      <c r="F32" s="378"/>
      <c r="G32" s="392">
        <f>ROUND(IF($E32&lt;40001,$E32*$O$19/100,40000*$O$19/100+($E32-40000)*$O$20/100)+MAX(100, $B$30)*$O$18+IF($B$30&lt;101,$O$14,IF($B$30&lt;301,$O$15+$B$30*$P$15,$O$16+$B$30*$P$16)),2)+R26</f>
        <v>28676.489999999998</v>
      </c>
      <c r="H32" s="392"/>
      <c r="I32" s="392">
        <f ca="1">ROUND(IF($E32&lt;40001,$E32*$R$19/100,40000*$R$19/100+($E32-40000)*$R$20/100)+MAX(100, $B$30)*$R$18+IF($B$30&lt;101,$R$14,IF($B$30&lt;301,$R$15+$B$30*$S$15,$R$16+$B$30*$S$16)),2)+R27</f>
        <v>28660.489999999998</v>
      </c>
      <c r="J32" s="378"/>
      <c r="K32" s="393">
        <f ca="1">ROUND(I32/G32-1,4)</f>
        <v>-5.9999999999999995E-4</v>
      </c>
      <c r="N32" s="719" t="s">
        <v>623</v>
      </c>
      <c r="O32" s="925">
        <f ca="1">'Exhibit No.__(RMM-10)'!Q25</f>
        <v>-3.9672052532721785E-4</v>
      </c>
    </row>
    <row r="33" spans="1:18" ht="15.75">
      <c r="A33" s="964"/>
      <c r="B33" s="378"/>
      <c r="C33" s="378"/>
      <c r="D33" s="378"/>
      <c r="E33" s="378"/>
      <c r="F33" s="378"/>
      <c r="G33" s="392"/>
      <c r="H33" s="392"/>
      <c r="I33" s="392"/>
      <c r="J33" s="381"/>
      <c r="K33" s="393"/>
      <c r="L33" s="964"/>
      <c r="M33" s="964"/>
      <c r="O33" s="729" t="s">
        <v>31</v>
      </c>
      <c r="R33" s="438" t="s">
        <v>31</v>
      </c>
    </row>
    <row r="34" spans="1:18" ht="15.75">
      <c r="A34" s="964"/>
      <c r="B34" s="378">
        <v>800</v>
      </c>
      <c r="C34" s="378"/>
      <c r="D34" s="378">
        <v>300</v>
      </c>
      <c r="E34" s="390">
        <f>ROUND((B$34*D34),0)</f>
        <v>240000</v>
      </c>
      <c r="F34" s="378"/>
      <c r="G34" s="392">
        <f>ROUND(IF($E34&lt;40001,$E34*$O$19/100,40000*$O$19/100+($E34-40000)*$O$20/100)+MAX(100, $B$34)*$O$18+IF($B$34&lt;101,$O$14,IF($B$34&lt;301,$O$15+$B$34*$P$15,$O$16+$B$34*$P$16)),2)+R26</f>
        <v>19820.29</v>
      </c>
      <c r="H34" s="392"/>
      <c r="I34" s="392">
        <f ca="1">ROUND(IF($E34&lt;40001,$E34*$R$19/100,40000*$R$19/100+($E34-40000)*$R$20/100)+MAX(100, $B$34)*$R$18+IF($B$34&lt;101,$R$14,IF($B$34&lt;301,$R$15+$B$34*$S$15,$R$16+$B$34*$S$16)),2)+R27</f>
        <v>19811.489999999998</v>
      </c>
      <c r="J34" s="378"/>
      <c r="K34" s="393">
        <f ca="1">ROUND(I34/G34-1,4)</f>
        <v>-4.0000000000000002E-4</v>
      </c>
      <c r="L34" s="964"/>
      <c r="M34" s="964"/>
    </row>
    <row r="35" spans="1:18" ht="15.75">
      <c r="A35" s="964"/>
      <c r="B35" s="378"/>
      <c r="C35" s="378"/>
      <c r="D35" s="378">
        <v>500</v>
      </c>
      <c r="E35" s="390">
        <f>ROUND((B$34*D35),0)</f>
        <v>400000</v>
      </c>
      <c r="F35" s="378"/>
      <c r="G35" s="392">
        <f>ROUND(IF($E35&lt;40001,$E35*$O$19/100,40000*$O$19/100+($E35-40000)*$O$20/100)+MAX(100, $B$34)*$O$18+IF($B$34&lt;101,$O$14,IF($B$34&lt;301,$O$15+$B$34*$P$15,$O$16+$B$34*$P$16)),2)+R26</f>
        <v>28954.69</v>
      </c>
      <c r="H35" s="392"/>
      <c r="I35" s="392">
        <f ca="1">ROUND(IF($E35&lt;40001,$E35*$R$19/100,40000*$R$19/100+($E35-40000)*$R$20/100)+MAX(100, $B$34)*$R$18+IF($B$34&lt;101,$R$14,IF($B$34&lt;301,$R$15+$B$34*$S$15,$R$16+$B$34*$S$16)),2)+R27</f>
        <v>28939.489999999998</v>
      </c>
      <c r="J35" s="378"/>
      <c r="K35" s="393">
        <f ca="1">ROUND(I35/G35-1,4)</f>
        <v>-5.0000000000000001E-4</v>
      </c>
      <c r="L35" s="964"/>
      <c r="M35" s="964"/>
    </row>
    <row r="36" spans="1:18" ht="15.75">
      <c r="A36" s="964"/>
      <c r="B36" s="378"/>
      <c r="C36" s="378"/>
      <c r="D36" s="378">
        <v>700</v>
      </c>
      <c r="E36" s="390">
        <f>ROUND((B$34*D36),0)</f>
        <v>560000</v>
      </c>
      <c r="F36" s="378"/>
      <c r="G36" s="392">
        <f>ROUND(IF($E36&lt;40001,$E36*$O$19/100,40000*$O$19/100+($E36-40000)*$O$20/100)+MAX(100, $B$34)*$O$18+IF($B$34&lt;101,$O$14,IF($B$34&lt;301,$O$15+$B$34*$P$15,$O$16+$B$34*$P$16)),2)+R26</f>
        <v>38089.089999999997</v>
      </c>
      <c r="H36" s="392"/>
      <c r="I36" s="392">
        <f ca="1">ROUND(IF($E36&lt;40001,$E36*$R$19/100,40000*$R$19/100+($E36-40000)*$R$20/100)+MAX(100, $B$34)*$R$18+IF($B$34&lt;101,$R$14,IF($B$34&lt;301,$R$15+$B$34*$S$15,$R$16+$B$34*$S$16)),2)+R27</f>
        <v>38067.49</v>
      </c>
      <c r="J36" s="378"/>
      <c r="K36" s="393">
        <f ca="1">ROUND(I36/G36-1,4)</f>
        <v>-5.9999999999999995E-4</v>
      </c>
    </row>
    <row r="37" spans="1:18" ht="15.75">
      <c r="A37" s="964"/>
      <c r="B37" s="378"/>
      <c r="C37" s="378"/>
      <c r="D37" s="378"/>
      <c r="E37" s="378"/>
      <c r="F37" s="378"/>
      <c r="G37" s="392"/>
      <c r="H37" s="392"/>
      <c r="I37" s="392"/>
      <c r="J37" s="381"/>
      <c r="K37" s="393"/>
      <c r="L37" s="964"/>
      <c r="M37" s="964"/>
    </row>
    <row r="38" spans="1:18" ht="15.75">
      <c r="A38" s="964"/>
      <c r="B38" s="378">
        <v>1000</v>
      </c>
      <c r="C38" s="378"/>
      <c r="D38" s="378">
        <v>300</v>
      </c>
      <c r="E38" s="390">
        <f>ROUND((B$38*D38),0)</f>
        <v>300000</v>
      </c>
      <c r="F38" s="378"/>
      <c r="G38" s="392">
        <f>ROUND(IF($E38&lt;40001,$E38*$O$19/100,40000*$O$19/100+($E38-40000)*$O$20/100)+MAX(100, $B$38)*$O$18+IF($B$38&lt;101,$O$14,IF($B$38&lt;301,$O$15+$B$38*$P$15,$O$16+$B$38*$P$16)),2)+R26</f>
        <v>24665.69</v>
      </c>
      <c r="H38" s="392"/>
      <c r="I38" s="392">
        <f ca="1">ROUND(IF($E38&lt;40001,$E38*$R$19/100,40000*$R$19/100+($E38-40000)*$R$20/100)+MAX(100, $B$38)*$R$18+IF($B$38&lt;101,$R$14,IF($B$38&lt;301,$R$15+$B$38*$S$15,$R$16+$B$38*$S$16)),2)+R27</f>
        <v>24654.489999999998</v>
      </c>
      <c r="J38" s="378"/>
      <c r="K38" s="393">
        <f ca="1">ROUND(I38/G38-1,4)</f>
        <v>-5.0000000000000001E-4</v>
      </c>
      <c r="L38" s="964"/>
      <c r="M38" s="964"/>
    </row>
    <row r="39" spans="1:18" ht="15.75">
      <c r="A39" s="964"/>
      <c r="B39" s="378"/>
      <c r="C39" s="378"/>
      <c r="D39" s="378">
        <v>500</v>
      </c>
      <c r="E39" s="390">
        <f>ROUND((B$38*D39),0)</f>
        <v>500000</v>
      </c>
      <c r="F39" s="378"/>
      <c r="G39" s="392">
        <f>ROUND(IF($E39&lt;40001,$E39*$O$19/100,40000*$O$19/100+($E39-40000)*$O$20/100)+MAX(100, $B$38)*$O$18+IF($B$38&lt;101,$O$14,IF($B$38&lt;301,$O$15+$B$38*$P$15,$O$16+$B$38*$P$16)),2)+R26</f>
        <v>36083.69</v>
      </c>
      <c r="H39" s="392"/>
      <c r="I39" s="392">
        <f ca="1">ROUND(IF($E39&lt;40001,$E39*$R$19/100,40000*$R$19/100+($E39-40000)*$R$20/100)+MAX(100, $B$38)*$R$18+IF($B$38&lt;101,$R$14,IF($B$38&lt;301,$R$15+$B$38*$S$15,$R$16+$B$38*$S$16)),2)+R27</f>
        <v>36064.49</v>
      </c>
      <c r="J39" s="378"/>
      <c r="K39" s="393">
        <f ca="1">ROUND(I39/G39-1,4)</f>
        <v>-5.0000000000000001E-4</v>
      </c>
      <c r="L39" s="964"/>
      <c r="M39" s="964"/>
    </row>
    <row r="40" spans="1:18" ht="15.75">
      <c r="A40" s="964"/>
      <c r="B40" s="378"/>
      <c r="C40" s="378"/>
      <c r="D40" s="378">
        <v>700</v>
      </c>
      <c r="E40" s="390">
        <f>ROUND((B$38*D40),0)</f>
        <v>700000</v>
      </c>
      <c r="F40" s="378"/>
      <c r="G40" s="392">
        <f>ROUND(IF($E40&lt;40001,$E40*$O$19/100,40000*$O$19/100+($E40-40000)*$O$20/100)+MAX(100, $B$38)*$O$18+IF($B$38&lt;101,$O$14,IF($B$38&lt;301,$O$15+$B$38*$P$15,$O$16+$B$38*$P$16)),2)+R26</f>
        <v>47501.69</v>
      </c>
      <c r="H40" s="392"/>
      <c r="I40" s="392">
        <f ca="1">ROUND(IF($E40&lt;40001,$E40*$R$19/100,40000*$R$19/100+($E40-40000)*$R$20/100)+MAX(100, $B$38)*$R$18+IF($B$38&lt;101,$R$14,IF($B$38&lt;301,$R$15+$B$38*$S$15,$R$16+$B$38*$S$16)),2)+R27</f>
        <v>47474.49</v>
      </c>
      <c r="J40" s="378"/>
      <c r="K40" s="393">
        <f ca="1">ROUND(I40/G40-1,4)</f>
        <v>-5.9999999999999995E-4</v>
      </c>
    </row>
    <row r="41" spans="1:18" ht="15.75">
      <c r="A41" s="964"/>
      <c r="B41" s="403"/>
      <c r="C41" s="403"/>
      <c r="D41" s="403"/>
      <c r="E41" s="403"/>
      <c r="F41" s="403"/>
      <c r="G41" s="403"/>
      <c r="H41" s="403"/>
      <c r="I41" s="403"/>
      <c r="J41" s="404"/>
      <c r="K41" s="404"/>
      <c r="L41" s="964"/>
      <c r="M41" s="964"/>
    </row>
    <row r="42" spans="1:18" ht="15.75">
      <c r="A42" s="964"/>
      <c r="B42" s="381"/>
      <c r="C42" s="381"/>
      <c r="D42" s="381"/>
      <c r="E42" s="381"/>
      <c r="F42" s="381"/>
      <c r="G42" s="381"/>
      <c r="H42" s="381"/>
      <c r="I42" s="381"/>
      <c r="J42" s="381"/>
      <c r="K42" s="381"/>
      <c r="L42" s="964"/>
      <c r="M42" s="964"/>
    </row>
    <row r="43" spans="1:18" ht="15.75">
      <c r="A43" s="964"/>
      <c r="B43" s="381" t="s">
        <v>517</v>
      </c>
      <c r="C43" s="381"/>
      <c r="D43" s="381"/>
      <c r="E43" s="381"/>
      <c r="F43" s="381"/>
      <c r="G43" s="381"/>
      <c r="H43" s="381"/>
      <c r="I43" s="381"/>
      <c r="J43" s="381"/>
      <c r="K43" s="381"/>
      <c r="L43" s="964"/>
      <c r="M43" s="964"/>
    </row>
    <row r="44" spans="1:18" ht="15.75">
      <c r="A44" s="964"/>
      <c r="B44" s="399" t="s">
        <v>777</v>
      </c>
      <c r="C44" s="381"/>
      <c r="D44" s="381"/>
      <c r="E44" s="381"/>
      <c r="F44" s="381"/>
      <c r="G44" s="381"/>
      <c r="H44" s="381"/>
      <c r="I44" s="381"/>
      <c r="J44" s="381"/>
      <c r="K44" s="381"/>
    </row>
    <row r="45" spans="1:18" ht="15.75">
      <c r="A45" s="964"/>
      <c r="B45" s="378"/>
      <c r="L45" s="964"/>
      <c r="M45" s="964"/>
    </row>
    <row r="46" spans="1:18" ht="15.75">
      <c r="A46" s="964"/>
      <c r="B46" s="378"/>
    </row>
    <row r="47" spans="1:18" ht="15.75">
      <c r="B47" s="378"/>
    </row>
    <row r="48" spans="1:18" ht="15.75">
      <c r="B48" s="378"/>
      <c r="P48" s="720"/>
    </row>
    <row r="49" spans="1:2" ht="15.75">
      <c r="A49" s="964"/>
      <c r="B49" s="378"/>
    </row>
    <row r="50" spans="1:2" ht="15.75">
      <c r="A50" s="964"/>
      <c r="B50" s="378"/>
    </row>
    <row r="51" spans="1:2">
      <c r="A51" s="964"/>
    </row>
    <row r="52" spans="1:2">
      <c r="A52" s="964"/>
    </row>
    <row r="53" spans="1:2">
      <c r="A53" s="964"/>
    </row>
    <row r="54" spans="1:2">
      <c r="A54" s="964"/>
    </row>
    <row r="55" spans="1:2">
      <c r="A55" s="964"/>
    </row>
    <row r="56" spans="1:2">
      <c r="A56" s="964"/>
    </row>
    <row r="57" spans="1:2">
      <c r="A57" s="964"/>
    </row>
  </sheetData>
  <phoneticPr fontId="0" type="noConversion"/>
  <printOptions horizontalCentered="1"/>
  <pageMargins left="0.5" right="0.5" top="0.5" bottom="0.5" header="0.5" footer="0.5"/>
  <pageSetup scale="8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2:W51"/>
  <sheetViews>
    <sheetView workbookViewId="0">
      <selection activeCell="B8" sqref="B8"/>
    </sheetView>
  </sheetViews>
  <sheetFormatPr defaultColWidth="8.5" defaultRowHeight="15"/>
  <cols>
    <col min="1" max="1" width="1.875" style="438" customWidth="1"/>
    <col min="2" max="2" width="10.875" style="438" customWidth="1"/>
    <col min="3" max="3" width="1.75" style="438" customWidth="1"/>
    <col min="4" max="4" width="11.25" style="438" hidden="1" customWidth="1"/>
    <col min="5" max="5" width="8.25" style="438" bestFit="1" customWidth="1"/>
    <col min="6" max="6" width="3.25" style="438" customWidth="1"/>
    <col min="7" max="7" width="13.75" style="438" bestFit="1" customWidth="1"/>
    <col min="8" max="8" width="2.125" style="438" customWidth="1"/>
    <col min="9" max="9" width="8.5" style="438" bestFit="1" customWidth="1"/>
    <col min="10" max="10" width="2.125" style="438" customWidth="1"/>
    <col min="11" max="11" width="12.625" style="438" bestFit="1" customWidth="1"/>
    <col min="12" max="12" width="1.75" style="438" customWidth="1"/>
    <col min="13" max="13" width="8.5" style="438" bestFit="1" customWidth="1"/>
    <col min="14" max="14" width="2" style="438" customWidth="1"/>
    <col min="15" max="15" width="10.5" style="438" bestFit="1" customWidth="1"/>
    <col min="16" max="16" width="1.875" style="438" customWidth="1"/>
    <col min="17" max="17" width="8.5" style="438" bestFit="1" customWidth="1"/>
    <col min="18" max="18" width="3" style="438" customWidth="1"/>
    <col min="19" max="19" width="16.125" style="438" customWidth="1"/>
    <col min="20" max="20" width="13.25" style="438" customWidth="1"/>
    <col min="21" max="21" width="9.25" style="438" customWidth="1"/>
    <col min="22" max="22" width="8.375" style="438" customWidth="1"/>
    <col min="23" max="23" width="2.25" style="438" customWidth="1"/>
    <col min="24" max="16384" width="8.5" style="438"/>
  </cols>
  <sheetData>
    <row r="2" spans="2:22" ht="18.75">
      <c r="C2" s="638"/>
      <c r="D2" s="638"/>
      <c r="E2" s="638"/>
      <c r="F2" s="638"/>
      <c r="G2" s="638"/>
      <c r="H2" s="638"/>
      <c r="I2" s="638"/>
      <c r="J2" s="638"/>
      <c r="K2" s="638"/>
      <c r="L2" s="638"/>
      <c r="M2" s="638"/>
      <c r="N2" s="638"/>
      <c r="O2" s="405"/>
      <c r="P2" s="366" t="s">
        <v>31</v>
      </c>
      <c r="Q2" s="405"/>
    </row>
    <row r="3" spans="2:22" ht="18.75">
      <c r="B3" s="367" t="s">
        <v>72</v>
      </c>
      <c r="C3" s="367"/>
      <c r="D3" s="367"/>
      <c r="E3" s="367"/>
      <c r="F3" s="367"/>
      <c r="G3" s="367"/>
      <c r="H3" s="367"/>
      <c r="I3" s="367"/>
      <c r="J3" s="367"/>
      <c r="K3" s="367"/>
      <c r="L3" s="367"/>
      <c r="M3" s="367"/>
      <c r="N3" s="367"/>
      <c r="O3" s="367"/>
      <c r="P3" s="367"/>
      <c r="Q3" s="367"/>
    </row>
    <row r="4" spans="2:22" ht="18.75">
      <c r="B4" s="367" t="s">
        <v>543</v>
      </c>
      <c r="C4" s="367"/>
      <c r="D4" s="367"/>
      <c r="E4" s="367"/>
      <c r="F4" s="367"/>
      <c r="G4" s="367"/>
      <c r="H4" s="367"/>
      <c r="I4" s="367"/>
      <c r="J4" s="367"/>
      <c r="K4" s="367"/>
      <c r="L4" s="367"/>
      <c r="M4" s="367"/>
      <c r="N4" s="367"/>
      <c r="O4" s="367"/>
      <c r="P4" s="367"/>
      <c r="Q4" s="367"/>
    </row>
    <row r="5" spans="2:22" ht="18.75">
      <c r="B5" s="367" t="s">
        <v>544</v>
      </c>
      <c r="C5" s="367"/>
      <c r="D5" s="367"/>
      <c r="E5" s="367"/>
      <c r="F5" s="367"/>
      <c r="G5" s="367"/>
      <c r="H5" s="367"/>
      <c r="I5" s="367"/>
      <c r="J5" s="367"/>
      <c r="K5" s="367"/>
      <c r="L5" s="367"/>
      <c r="M5" s="367"/>
      <c r="N5" s="367"/>
      <c r="O5" s="367"/>
      <c r="P5" s="367"/>
      <c r="Q5" s="367"/>
    </row>
    <row r="6" spans="2:22" ht="18.75">
      <c r="B6" s="367" t="s">
        <v>31</v>
      </c>
      <c r="C6" s="367"/>
      <c r="D6" s="367"/>
      <c r="E6" s="367"/>
      <c r="F6" s="367"/>
      <c r="G6" s="367"/>
      <c r="H6" s="367"/>
      <c r="I6" s="367"/>
      <c r="J6" s="367"/>
      <c r="K6" s="367"/>
      <c r="L6" s="367"/>
      <c r="M6" s="367"/>
      <c r="N6" s="367"/>
      <c r="O6" s="367"/>
      <c r="P6" s="367"/>
      <c r="Q6" s="367"/>
    </row>
    <row r="7" spans="2:22">
      <c r="B7" s="638"/>
      <c r="C7" s="638"/>
      <c r="D7" s="638"/>
      <c r="E7" s="638"/>
      <c r="F7" s="638"/>
      <c r="G7" s="638"/>
      <c r="H7" s="638"/>
      <c r="I7" s="638"/>
      <c r="J7" s="638"/>
      <c r="K7" s="638"/>
      <c r="L7" s="638"/>
      <c r="M7" s="638"/>
      <c r="N7" s="638"/>
      <c r="O7" s="638"/>
      <c r="P7" s="638"/>
      <c r="Q7" s="638"/>
    </row>
    <row r="11" spans="2:22">
      <c r="G11" s="643"/>
      <c r="H11" s="643"/>
      <c r="I11" s="643"/>
      <c r="J11" s="643"/>
      <c r="K11" s="643"/>
      <c r="L11" s="643"/>
      <c r="M11" s="643"/>
      <c r="O11" s="638"/>
      <c r="P11" s="638"/>
      <c r="Q11" s="638"/>
    </row>
    <row r="12" spans="2:22" ht="15.75" thickBot="1">
      <c r="G12" s="845" t="s">
        <v>545</v>
      </c>
      <c r="H12" s="845"/>
      <c r="I12" s="845"/>
      <c r="K12" s="845" t="s">
        <v>604</v>
      </c>
      <c r="L12" s="845"/>
      <c r="M12" s="845"/>
      <c r="O12" s="845" t="s">
        <v>546</v>
      </c>
      <c r="P12" s="845"/>
      <c r="Q12" s="845"/>
    </row>
    <row r="13" spans="2:22">
      <c r="B13" s="926" t="s">
        <v>519</v>
      </c>
      <c r="G13" s="928" t="s">
        <v>510</v>
      </c>
      <c r="H13" s="642"/>
      <c r="I13" s="642" t="s">
        <v>547</v>
      </c>
      <c r="J13" s="369"/>
      <c r="K13" s="928" t="s">
        <v>295</v>
      </c>
      <c r="L13" s="642"/>
      <c r="M13" s="642" t="s">
        <v>547</v>
      </c>
      <c r="O13" s="642"/>
      <c r="P13" s="642"/>
      <c r="Q13" s="642" t="s">
        <v>547</v>
      </c>
      <c r="S13" s="950" t="s">
        <v>512</v>
      </c>
      <c r="T13" s="951"/>
      <c r="U13" s="933" t="s">
        <v>513</v>
      </c>
      <c r="V13" s="951"/>
    </row>
    <row r="14" spans="2:22">
      <c r="B14" s="927" t="s">
        <v>522</v>
      </c>
      <c r="C14" s="928"/>
      <c r="D14" s="928" t="s">
        <v>523</v>
      </c>
      <c r="G14" s="725" t="s">
        <v>605</v>
      </c>
      <c r="H14" s="642" t="s">
        <v>31</v>
      </c>
      <c r="I14" s="642" t="s">
        <v>392</v>
      </c>
      <c r="J14" s="369"/>
      <c r="K14" s="725" t="s">
        <v>605</v>
      </c>
      <c r="L14" s="642" t="s">
        <v>31</v>
      </c>
      <c r="M14" s="642" t="s">
        <v>392</v>
      </c>
      <c r="O14" s="642" t="s">
        <v>606</v>
      </c>
      <c r="P14" s="642" t="s">
        <v>31</v>
      </c>
      <c r="Q14" s="642" t="s">
        <v>392</v>
      </c>
      <c r="S14" s="726" t="s">
        <v>548</v>
      </c>
      <c r="T14" s="952">
        <f>'Exhibit No.__(RMM-11) p1-8'!D757+V22+V30</f>
        <v>7.5330000000000004</v>
      </c>
      <c r="U14" s="934"/>
      <c r="V14" s="952">
        <f>'Exhibit No.__(RMM-11) p1-8'!G757+'Exhibit No.__(RMM-11) p1-8'!G759+V23+V30</f>
        <v>7.5330000000000004</v>
      </c>
    </row>
    <row r="15" spans="2:22">
      <c r="B15" s="725" t="s">
        <v>394</v>
      </c>
      <c r="C15" s="928"/>
      <c r="D15" s="406" t="s">
        <v>525</v>
      </c>
      <c r="E15" s="790" t="s">
        <v>25</v>
      </c>
      <c r="G15" s="790" t="s">
        <v>549</v>
      </c>
      <c r="H15" s="642"/>
      <c r="I15" s="790" t="s">
        <v>550</v>
      </c>
      <c r="J15" s="369"/>
      <c r="K15" s="790" t="s">
        <v>549</v>
      </c>
      <c r="L15" s="642"/>
      <c r="M15" s="790" t="s">
        <v>550</v>
      </c>
      <c r="O15" s="790" t="s">
        <v>551</v>
      </c>
      <c r="P15" s="642"/>
      <c r="Q15" s="790" t="s">
        <v>550</v>
      </c>
      <c r="S15" s="726" t="s">
        <v>31</v>
      </c>
      <c r="T15" s="935" t="s">
        <v>31</v>
      </c>
      <c r="U15" s="934" t="s">
        <v>31</v>
      </c>
      <c r="V15" s="935" t="s">
        <v>31</v>
      </c>
    </row>
    <row r="16" spans="2:22">
      <c r="B16" s="642"/>
      <c r="C16" s="928"/>
      <c r="D16" s="406"/>
      <c r="E16" s="642"/>
      <c r="G16" s="642"/>
      <c r="H16" s="642"/>
      <c r="I16" s="642"/>
      <c r="J16" s="369"/>
      <c r="K16" s="642"/>
      <c r="L16" s="642"/>
      <c r="M16" s="642"/>
      <c r="O16" s="642"/>
      <c r="P16" s="642"/>
      <c r="Q16" s="642"/>
      <c r="S16" s="953" t="s">
        <v>392</v>
      </c>
      <c r="T16" s="954"/>
      <c r="U16" s="954"/>
      <c r="V16" s="955"/>
    </row>
    <row r="17" spans="2:23">
      <c r="B17" s="407" t="s">
        <v>526</v>
      </c>
      <c r="C17" s="369"/>
      <c r="G17" s="369"/>
      <c r="H17" s="369"/>
      <c r="I17" s="369"/>
      <c r="J17" s="369"/>
      <c r="S17" s="956" t="s">
        <v>552</v>
      </c>
      <c r="T17" s="937">
        <f>'Exhibit No.__(RMM-11) p1-8'!D746</f>
        <v>26.63</v>
      </c>
      <c r="U17" s="934"/>
      <c r="V17" s="957">
        <f>'Exhibit No.__(RMM-11) p1-8'!G746</f>
        <v>26.61</v>
      </c>
    </row>
    <row r="18" spans="2:23">
      <c r="B18" s="438">
        <v>10</v>
      </c>
      <c r="D18" s="936">
        <v>200</v>
      </c>
      <c r="E18" s="936">
        <f>ROUND((B$18*D18),0)</f>
        <v>2000</v>
      </c>
      <c r="G18" s="439">
        <f>ROUND(((E18*$T$14/100))+(E18*$V$25/100),2)</f>
        <v>135.72</v>
      </c>
      <c r="H18" s="439"/>
      <c r="I18" s="439">
        <f>$B$18*$T$17+V27</f>
        <v>281.95</v>
      </c>
      <c r="J18" s="720"/>
      <c r="K18" s="439">
        <f>ROUND((($E18*$V$14/100))+(($E18*$V$26)/100),2)</f>
        <v>135.72</v>
      </c>
      <c r="L18" s="439"/>
      <c r="M18" s="439">
        <f>$B$18*$V$17+V28</f>
        <v>281.75</v>
      </c>
      <c r="O18" s="716">
        <f>ROUND((K18-G18)/G18,4)</f>
        <v>0</v>
      </c>
      <c r="P18" s="716"/>
      <c r="Q18" s="716">
        <f>ROUND((M18-I18)/I18,4)</f>
        <v>-6.9999999999999999E-4</v>
      </c>
      <c r="S18" s="956" t="s">
        <v>553</v>
      </c>
      <c r="T18" s="937">
        <f>'Exhibit No.__(RMM-11) p1-8'!D749</f>
        <v>18.53</v>
      </c>
      <c r="U18" s="934"/>
      <c r="V18" s="957">
        <f>'Exhibit No.__(RMM-11) p1-8'!G749</f>
        <v>18.540000000000003</v>
      </c>
    </row>
    <row r="19" spans="2:23">
      <c r="D19" s="936">
        <v>300</v>
      </c>
      <c r="E19" s="936">
        <f>ROUND((B$18*D19),0)</f>
        <v>3000</v>
      </c>
      <c r="G19" s="439">
        <f>ROUND(((E19*$T$14/100))+(E19*$V$25/100),2)</f>
        <v>203.58</v>
      </c>
      <c r="H19" s="439"/>
      <c r="I19" s="439">
        <f>$B$18*$T$17+V27</f>
        <v>281.95</v>
      </c>
      <c r="J19" s="720"/>
      <c r="K19" s="439">
        <f>ROUND((($E19*$V$14/100))+(($E19*$V$26)/100),2)</f>
        <v>203.58</v>
      </c>
      <c r="L19" s="439"/>
      <c r="M19" s="439">
        <f>$B$18*$V$17+V28</f>
        <v>281.75</v>
      </c>
      <c r="O19" s="716">
        <f>ROUND((K19-G19)/G19,4)</f>
        <v>0</v>
      </c>
      <c r="P19" s="716"/>
      <c r="Q19" s="716">
        <f>ROUND((M19-I19)/I19,4)</f>
        <v>-6.9999999999999999E-4</v>
      </c>
      <c r="S19" s="956" t="s">
        <v>554</v>
      </c>
      <c r="T19" s="937">
        <f>'Exhibit No.__(RMM-11) p1-8'!D750</f>
        <v>14.49</v>
      </c>
      <c r="U19" s="934"/>
      <c r="V19" s="957">
        <f>'Exhibit No.__(RMM-11) p1-8'!G750</f>
        <v>14.49</v>
      </c>
    </row>
    <row r="20" spans="2:23">
      <c r="D20" s="936">
        <v>500</v>
      </c>
      <c r="E20" s="936">
        <f>ROUND((B$18*D20),0)</f>
        <v>5000</v>
      </c>
      <c r="G20" s="439">
        <f>ROUND(((E20*$T$14/100))+(E20*$V$25/100),2)</f>
        <v>339.3</v>
      </c>
      <c r="H20" s="439"/>
      <c r="I20" s="439">
        <f>$B$18*$T$17+V27</f>
        <v>281.95</v>
      </c>
      <c r="J20" s="720"/>
      <c r="K20" s="439">
        <f>ROUND((($E20*$V$14/100))+(($E20*$V$26)/100),2)</f>
        <v>339.3</v>
      </c>
      <c r="L20" s="439"/>
      <c r="M20" s="439">
        <f>$B$18*$V$17+V28</f>
        <v>281.75</v>
      </c>
      <c r="O20" s="716">
        <f>ROUND((K20-G20)/G20,4)</f>
        <v>0</v>
      </c>
      <c r="P20" s="716"/>
      <c r="Q20" s="716">
        <f>ROUND((M20-I20)/I20,4)</f>
        <v>-6.9999999999999999E-4</v>
      </c>
      <c r="S20" s="956" t="s">
        <v>553</v>
      </c>
      <c r="T20" s="958">
        <f>'Exhibit No.__(RMM-11) p1-8'!D740</f>
        <v>379</v>
      </c>
      <c r="U20" s="934"/>
      <c r="V20" s="959">
        <f>'Exhibit No.__(RMM-11) p1-8'!G740</f>
        <v>379</v>
      </c>
    </row>
    <row r="21" spans="2:23">
      <c r="G21" s="439"/>
      <c r="H21" s="439"/>
      <c r="I21" s="439"/>
      <c r="J21" s="720"/>
      <c r="K21" s="439"/>
      <c r="L21" s="439"/>
      <c r="M21" s="439"/>
      <c r="S21" s="960" t="s">
        <v>554</v>
      </c>
      <c r="T21" s="961">
        <f>'Exhibit No.__(RMM-11) p1-8'!D741</f>
        <v>1539</v>
      </c>
      <c r="U21" s="949"/>
      <c r="V21" s="962">
        <f>'Exhibit No.__(RMM-11) p1-8'!G741</f>
        <v>1539</v>
      </c>
    </row>
    <row r="22" spans="2:23">
      <c r="B22" s="407" t="s">
        <v>527</v>
      </c>
      <c r="C22" s="369"/>
      <c r="G22" s="439"/>
      <c r="H22" s="439"/>
      <c r="I22" s="439"/>
      <c r="J22" s="720"/>
      <c r="K22" s="439"/>
      <c r="L22" s="439"/>
      <c r="M22" s="439"/>
      <c r="T22" s="438" t="s">
        <v>193</v>
      </c>
      <c r="V22" s="945">
        <v>0.33</v>
      </c>
    </row>
    <row r="23" spans="2:23">
      <c r="B23" s="438">
        <v>20</v>
      </c>
      <c r="D23" s="936">
        <v>200</v>
      </c>
      <c r="E23" s="936">
        <f>ROUND((B$23*D23),0)</f>
        <v>4000</v>
      </c>
      <c r="G23" s="439">
        <f>ROUND(((E23*$T$14/100))+(E23*$V$25/100),2)</f>
        <v>271.44</v>
      </c>
      <c r="H23" s="439"/>
      <c r="I23" s="439">
        <f>IF($B$23&lt;51,$B$23*$T$17,IF($B$23&lt;301,$B$23*$T$18+$T$20,$T$21+$T$19*$B$23))+V27</f>
        <v>548.25</v>
      </c>
      <c r="J23" s="720"/>
      <c r="K23" s="439">
        <f>ROUND((($E23*$V$14/100))+(($E23*$V$26)/100),2)</f>
        <v>271.44</v>
      </c>
      <c r="L23" s="439"/>
      <c r="M23" s="439">
        <f>IF($B$23&lt;51,$B$23*$V$17,IF($B$23&lt;301,$B$23*$V$18+$V$20,$V$21+$V$19*$B$23))+V28</f>
        <v>547.85</v>
      </c>
      <c r="O23" s="716">
        <f>ROUND((K23-G23)/G23,4)</f>
        <v>0</v>
      </c>
      <c r="P23" s="716"/>
      <c r="Q23" s="716">
        <f>ROUND((M23-I23)/I23,4)</f>
        <v>-6.9999999999999999E-4</v>
      </c>
      <c r="V23" s="945">
        <v>0.33</v>
      </c>
    </row>
    <row r="24" spans="2:23">
      <c r="D24" s="936">
        <v>300</v>
      </c>
      <c r="E24" s="936">
        <f>ROUND((B$23*D24),0)</f>
        <v>6000</v>
      </c>
      <c r="G24" s="439">
        <f>ROUND(((E24*$T$14/100))+(E24*$V$25/100),2)</f>
        <v>407.16</v>
      </c>
      <c r="H24" s="439"/>
      <c r="I24" s="439">
        <f>IF($B$23&lt;51,$B$23*$T$17,IF($B$23&lt;301,$B$23*$T$18+$T$20,$T$21+$T$19*$B$23))+V27</f>
        <v>548.25</v>
      </c>
      <c r="J24" s="720"/>
      <c r="K24" s="439">
        <f>ROUND((($E24*$V$14/100))+(($E24*$V$26)/100),2)</f>
        <v>407.16</v>
      </c>
      <c r="L24" s="439"/>
      <c r="M24" s="439">
        <f>IF($B$23&lt;51,$B$23*$V$17,IF($B$23&lt;301,$B$23*$V$18+$V$20,$V$21+$V$19*$B$23))+V28</f>
        <v>547.85</v>
      </c>
      <c r="O24" s="716">
        <f>ROUND((K24-G24)/G24,4)</f>
        <v>0</v>
      </c>
      <c r="P24" s="716"/>
      <c r="Q24" s="716">
        <f>ROUND((M24-I24)/I24,4)</f>
        <v>-6.9999999999999999E-4</v>
      </c>
      <c r="V24" s="946"/>
    </row>
    <row r="25" spans="2:23">
      <c r="D25" s="936">
        <v>500</v>
      </c>
      <c r="E25" s="936">
        <f>ROUND((B$23*D25),0)</f>
        <v>10000</v>
      </c>
      <c r="G25" s="439">
        <f>ROUND(((E25*$T$14/100))+(E25*$V$25/100),2)</f>
        <v>678.6</v>
      </c>
      <c r="H25" s="439"/>
      <c r="I25" s="439">
        <f>IF($B$23&lt;51,$B$23*$T$17,IF($B$23&lt;301,$B$23*$T$18+$T$20,$T$21+$T$19*$B$23))+V27</f>
        <v>548.25</v>
      </c>
      <c r="J25" s="720"/>
      <c r="K25" s="439">
        <f>ROUND((($E25*$V$14/100))+(($E25*$V$26)/100),2)</f>
        <v>678.6</v>
      </c>
      <c r="L25" s="439"/>
      <c r="M25" s="439">
        <f>IF($B$23&lt;51,$B$23*$V$17,IF($B$23&lt;301,$B$23*$V$18+$V$20,$V$21+$V$19*$B$23))+V28</f>
        <v>547.85</v>
      </c>
      <c r="O25" s="716">
        <f>ROUND((K25-G25)/G25,4)</f>
        <v>0</v>
      </c>
      <c r="P25" s="716"/>
      <c r="Q25" s="716">
        <f>ROUND((M25-I25)/I25,4)</f>
        <v>-6.9999999999999999E-4</v>
      </c>
      <c r="T25" s="438" t="s">
        <v>516</v>
      </c>
      <c r="V25" s="945">
        <v>-0.747</v>
      </c>
    </row>
    <row r="26" spans="2:23">
      <c r="G26" s="439"/>
      <c r="H26" s="439"/>
      <c r="I26" s="439"/>
      <c r="J26" s="720"/>
      <c r="K26" s="439"/>
      <c r="L26" s="439"/>
      <c r="M26" s="439"/>
      <c r="T26" s="438" t="s">
        <v>31</v>
      </c>
      <c r="U26" s="438" t="s">
        <v>31</v>
      </c>
      <c r="V26" s="945">
        <v>-0.747</v>
      </c>
    </row>
    <row r="27" spans="2:23">
      <c r="B27" s="438">
        <v>100</v>
      </c>
      <c r="D27" s="936">
        <v>200</v>
      </c>
      <c r="E27" s="936">
        <f>ROUND((B$27*D27),0)</f>
        <v>20000</v>
      </c>
      <c r="G27" s="439">
        <f>ROUND(((E27*$T$14/100))+(E27*$V$25/100),2)</f>
        <v>1357.2</v>
      </c>
      <c r="H27" s="439"/>
      <c r="I27" s="439">
        <f>IF($B$27&lt;51,$B$27*$T$17,IF($B$27&lt;301,$B$27*$T$18+$T$20,$T$21+$T$19*$B$27))+V27</f>
        <v>2247.65</v>
      </c>
      <c r="J27" s="720"/>
      <c r="K27" s="439">
        <f>ROUND((($E27*$V$14/100))+(($E27*$V$26)/100),2)</f>
        <v>1357.2</v>
      </c>
      <c r="L27" s="439"/>
      <c r="M27" s="439">
        <f>IF($B$27&lt;51,$B$27*$V$17,IF($B$27&lt;301,$B$27*$V$18+$V$20,$V$21+$V$19*$B$27))+V28</f>
        <v>2248.65</v>
      </c>
      <c r="O27" s="716">
        <f>ROUND((K27-G27)/G27,4)</f>
        <v>0</v>
      </c>
      <c r="P27" s="716"/>
      <c r="Q27" s="716">
        <f>ROUND((M27-I27)/I27,4)</f>
        <v>4.0000000000000002E-4</v>
      </c>
      <c r="T27" s="438" t="s">
        <v>615</v>
      </c>
      <c r="V27" s="947">
        <v>15.65</v>
      </c>
      <c r="W27" s="438" t="s">
        <v>31</v>
      </c>
    </row>
    <row r="28" spans="2:23">
      <c r="D28" s="936">
        <v>300</v>
      </c>
      <c r="E28" s="936">
        <f>ROUND((B$27*D28),0)</f>
        <v>30000</v>
      </c>
      <c r="G28" s="439">
        <f>ROUND(((E28*$T$14/100))+(E28*$V$25/100),2)</f>
        <v>2035.8</v>
      </c>
      <c r="H28" s="439"/>
      <c r="I28" s="439">
        <f>IF($B$27&lt;51,$B$27*$T$17,IF($B$27&lt;301,$B$27*$T$18+$T$20,$T$21+$T$19*$B$27))+V27</f>
        <v>2247.65</v>
      </c>
      <c r="J28" s="720"/>
      <c r="K28" s="439">
        <f>ROUND((($E28*$V$14/100))+(($E28*$V$26)/100),2)</f>
        <v>2035.8</v>
      </c>
      <c r="L28" s="439"/>
      <c r="M28" s="439">
        <f>IF($B$27&lt;51,$B$27*$V$17,IF($B$27&lt;301,$B$27*$V$18+$V$20,$V$21+$V$19*$B$27))+V28</f>
        <v>2248.65</v>
      </c>
      <c r="O28" s="716">
        <f>ROUND((K28-G28)/G28,4)</f>
        <v>0</v>
      </c>
      <c r="P28" s="716"/>
      <c r="Q28" s="716">
        <f>ROUND((M28-I28)/I28,4)</f>
        <v>4.0000000000000002E-4</v>
      </c>
      <c r="T28" s="438" t="s">
        <v>614</v>
      </c>
      <c r="V28" s="947">
        <f>V27</f>
        <v>15.65</v>
      </c>
    </row>
    <row r="29" spans="2:23">
      <c r="D29" s="936">
        <v>500</v>
      </c>
      <c r="E29" s="936">
        <f>ROUND((B$27*D29),0)</f>
        <v>50000</v>
      </c>
      <c r="G29" s="439">
        <f>ROUND(((E29*$T$14/100))+(E29*$V$25/100),2)</f>
        <v>3393</v>
      </c>
      <c r="H29" s="439"/>
      <c r="I29" s="439">
        <f>IF($B$27&lt;51,$B$27*$T$17,IF($B$27&lt;301,$B$27*$T$18+$T$20,$T$21+$T$19*$B$27))+V27</f>
        <v>2247.65</v>
      </c>
      <c r="J29" s="720"/>
      <c r="K29" s="439">
        <f>ROUND((($E29*$V$14/100))+(($E29*$V$26)/100),2)</f>
        <v>3393</v>
      </c>
      <c r="L29" s="439"/>
      <c r="M29" s="439">
        <f>IF($B$27&lt;51,$B$27*$V$17,IF($B$27&lt;301,$B$27*$V$18+$V$20,$V$21+$V$19*$B$27))+V28</f>
        <v>2248.65</v>
      </c>
      <c r="O29" s="716">
        <f>ROUND((K29-G29)/G29,4)</f>
        <v>0</v>
      </c>
      <c r="P29" s="716"/>
      <c r="Q29" s="716">
        <f>ROUND((M29-I29)/I29,4)</f>
        <v>4.0000000000000002E-4</v>
      </c>
    </row>
    <row r="30" spans="2:23">
      <c r="G30" s="439"/>
      <c r="H30" s="439"/>
      <c r="I30" s="439"/>
      <c r="J30" s="720"/>
      <c r="K30" s="439"/>
      <c r="L30" s="439"/>
      <c r="M30" s="439"/>
      <c r="T30" s="438" t="s">
        <v>302</v>
      </c>
      <c r="V30" s="438">
        <v>0</v>
      </c>
    </row>
    <row r="31" spans="2:23">
      <c r="B31" s="438">
        <v>300</v>
      </c>
      <c r="D31" s="936">
        <v>200</v>
      </c>
      <c r="E31" s="936">
        <f>ROUND((B$31*D31),0)</f>
        <v>60000</v>
      </c>
      <c r="G31" s="439">
        <f>ROUND(((E31*$T$14/100))+(E31*$V$25/100),2)</f>
        <v>4071.6</v>
      </c>
      <c r="H31" s="439"/>
      <c r="I31" s="439">
        <f>IF($B$31&lt;51,$B$31*$T$17,IF($B$31&lt;301,$B$31*$T$18+$T$20,$T$21+$T$19*$B$31))+V27</f>
        <v>5953.65</v>
      </c>
      <c r="J31" s="720"/>
      <c r="K31" s="439">
        <f>ROUND((($E31*$V$14/100))+(($E31*$V$26)/100),2)</f>
        <v>4071.6</v>
      </c>
      <c r="L31" s="439"/>
      <c r="M31" s="439">
        <f>IF($B$31&lt;51,$B$31*$V$17,IF($B$31&lt;301,$B$31*$V$18+$V$20,$V$21+$V$19*$B$31))+V28</f>
        <v>5956.6500000000005</v>
      </c>
      <c r="O31" s="716">
        <f>ROUND((K31-G31)/G31,4)</f>
        <v>0</v>
      </c>
      <c r="P31" s="716"/>
      <c r="Q31" s="716">
        <f>ROUND((M31-I31)/I31,4)</f>
        <v>5.0000000000000001E-4</v>
      </c>
    </row>
    <row r="32" spans="2:23">
      <c r="D32" s="936">
        <v>300</v>
      </c>
      <c r="E32" s="936">
        <f>ROUND((B$31*D32),0)</f>
        <v>90000</v>
      </c>
      <c r="G32" s="439">
        <f>ROUND(((E32*$T$14/100))+(E32*$V$25/100),2)</f>
        <v>6107.4</v>
      </c>
      <c r="H32" s="439"/>
      <c r="I32" s="439">
        <f>IF($B$31&lt;51,$B$31*$T$17,IF($B$31&lt;301,$B$31*$T$18+$T$20,$T$21+$T$19*$B$31))+V27</f>
        <v>5953.65</v>
      </c>
      <c r="J32" s="720"/>
      <c r="K32" s="439">
        <f>ROUND((($E32*$V$14/100))+(($E32*$V$26)/100),2)</f>
        <v>6107.4</v>
      </c>
      <c r="L32" s="439"/>
      <c r="M32" s="439">
        <f>IF($B$31&lt;51,$B$31*$V$17,IF($B$31&lt;301,$B$31*$V$18+$V$20,$V$21+$V$19*$B$31))+V28</f>
        <v>5956.6500000000005</v>
      </c>
      <c r="O32" s="716">
        <f>ROUND((K32-G32)/G32,4)</f>
        <v>0</v>
      </c>
      <c r="P32" s="716"/>
      <c r="Q32" s="716">
        <f>ROUND((M32-I32)/I32,4)</f>
        <v>5.0000000000000001E-4</v>
      </c>
    </row>
    <row r="33" spans="2:20">
      <c r="D33" s="936">
        <v>500</v>
      </c>
      <c r="E33" s="936">
        <f>ROUND((B$31*D33),0)</f>
        <v>150000</v>
      </c>
      <c r="G33" s="439">
        <f>ROUND(((E33*$T$14/100))+(E33*$V$25/100),2)</f>
        <v>10179</v>
      </c>
      <c r="H33" s="439"/>
      <c r="I33" s="439">
        <f>IF($B$31&lt;51,$B$31*$T$17,IF($B$31&lt;301,$B$31*$T$18+$T$20,$T$21+$T$19*$B$31))+V27</f>
        <v>5953.65</v>
      </c>
      <c r="J33" s="720"/>
      <c r="K33" s="439">
        <f>ROUND((($E33*$V$14/100))+(($E33*$V$26)/100),2)</f>
        <v>10179</v>
      </c>
      <c r="L33" s="439"/>
      <c r="M33" s="439">
        <f>IF($B$31&lt;51,$B$31*$V$17,IF($B$31&lt;301,$B$31*$V$18+$V$20,$V$21+$V$19*$B$31))+V28</f>
        <v>5956.6500000000005</v>
      </c>
      <c r="O33" s="716">
        <f>ROUND((K33-G33)/G33,4)</f>
        <v>0</v>
      </c>
      <c r="P33" s="716"/>
      <c r="Q33" s="716">
        <f>ROUND((M33-I33)/I33,4)</f>
        <v>5.0000000000000001E-4</v>
      </c>
      <c r="S33" s="719" t="s">
        <v>623</v>
      </c>
      <c r="T33" s="925">
        <f>'Exhibit No.__(RMM-10)'!Q26</f>
        <v>2.134541530877868E-4</v>
      </c>
    </row>
    <row r="34" spans="2:20">
      <c r="B34" s="949"/>
      <c r="C34" s="949"/>
      <c r="D34" s="949"/>
      <c r="E34" s="949"/>
      <c r="F34" s="949"/>
      <c r="G34" s="949"/>
      <c r="H34" s="949"/>
      <c r="I34" s="949"/>
      <c r="J34" s="949"/>
      <c r="K34" s="949"/>
      <c r="L34" s="949"/>
      <c r="M34" s="949"/>
      <c r="N34" s="949"/>
      <c r="O34" s="949"/>
      <c r="P34" s="949"/>
      <c r="Q34" s="949"/>
      <c r="T34" s="729" t="s">
        <v>31</v>
      </c>
    </row>
    <row r="36" spans="2:20">
      <c r="C36" s="370"/>
    </row>
    <row r="37" spans="2:20">
      <c r="B37" s="438" t="s">
        <v>517</v>
      </c>
      <c r="C37" s="370"/>
    </row>
    <row r="38" spans="2:20">
      <c r="B38" s="408" t="s">
        <v>778</v>
      </c>
      <c r="C38" s="370"/>
    </row>
    <row r="39" spans="2:20">
      <c r="B39" s="370" t="s">
        <v>705</v>
      </c>
      <c r="C39" s="370"/>
    </row>
    <row r="40" spans="2:20">
      <c r="B40" s="370"/>
      <c r="C40" s="370"/>
    </row>
    <row r="41" spans="2:20">
      <c r="B41" s="370"/>
      <c r="C41" s="370"/>
    </row>
    <row r="42" spans="2:20">
      <c r="B42" s="370"/>
      <c r="C42" s="370"/>
    </row>
    <row r="43" spans="2:20">
      <c r="B43" s="370"/>
      <c r="C43" s="370"/>
    </row>
    <row r="44" spans="2:20">
      <c r="B44" s="370"/>
      <c r="C44" s="370"/>
    </row>
    <row r="45" spans="2:20">
      <c r="B45" s="370"/>
      <c r="C45" s="370"/>
    </row>
    <row r="46" spans="2:20">
      <c r="B46" s="370"/>
      <c r="C46" s="370"/>
    </row>
    <row r="47" spans="2:20">
      <c r="B47" s="370"/>
      <c r="C47" s="370"/>
    </row>
    <row r="48" spans="2:20">
      <c r="B48" s="370"/>
      <c r="C48" s="370"/>
      <c r="P48" s="720"/>
    </row>
    <row r="49" spans="2:3">
      <c r="B49" s="370"/>
      <c r="C49" s="370"/>
    </row>
    <row r="50" spans="2:3">
      <c r="B50" s="370"/>
      <c r="C50" s="370"/>
    </row>
    <row r="51" spans="2:3">
      <c r="B51" s="370"/>
      <c r="C51" s="370"/>
    </row>
  </sheetData>
  <mergeCells count="3">
    <mergeCell ref="G12:I12"/>
    <mergeCell ref="K12:M12"/>
    <mergeCell ref="O12:Q12"/>
  </mergeCells>
  <phoneticPr fontId="0" type="noConversion"/>
  <printOptions horizontalCentered="1"/>
  <pageMargins left="0.5" right="0.5" top="0.5" bottom="0.5" header="0.5" footer="0.5"/>
  <pageSetup scale="9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T48"/>
  <sheetViews>
    <sheetView workbookViewId="0">
      <selection activeCell="B8" sqref="B8"/>
    </sheetView>
  </sheetViews>
  <sheetFormatPr defaultColWidth="8.5" defaultRowHeight="15"/>
  <cols>
    <col min="1" max="1" width="2" style="438" customWidth="1"/>
    <col min="2" max="2" width="8.5" style="438"/>
    <col min="3" max="3" width="8.5" style="438" hidden="1" customWidth="1"/>
    <col min="4" max="4" width="3.25" style="438" customWidth="1"/>
    <col min="5" max="5" width="9.75" style="438" customWidth="1"/>
    <col min="6" max="6" width="3.75" style="438" customWidth="1"/>
    <col min="7" max="7" width="19.875" style="438" customWidth="1"/>
    <col min="8" max="8" width="3.5" style="438" customWidth="1"/>
    <col min="9" max="9" width="19.5" style="438" customWidth="1"/>
    <col min="10" max="10" width="2.875" style="438" customWidth="1"/>
    <col min="11" max="11" width="12.125" style="438" customWidth="1"/>
    <col min="12" max="12" width="3.5" style="925" customWidth="1"/>
    <col min="13" max="13" width="16" style="438" customWidth="1"/>
    <col min="14" max="14" width="11" style="438" bestFit="1" customWidth="1"/>
    <col min="15" max="15" width="17.25" style="438" customWidth="1"/>
    <col min="16" max="16" width="5.25" style="438" customWidth="1"/>
    <col min="17" max="17" width="10.25" style="438" customWidth="1"/>
    <col min="18" max="18" width="7.375" style="438" customWidth="1"/>
    <col min="19" max="19" width="3.125" style="438" customWidth="1"/>
    <col min="20" max="16384" width="8.5" style="438"/>
  </cols>
  <sheetData>
    <row r="2" spans="1:18" ht="18.75">
      <c r="C2" s="638"/>
      <c r="D2" s="638"/>
      <c r="E2" s="638"/>
      <c r="F2" s="638"/>
      <c r="G2" s="638"/>
      <c r="H2" s="638"/>
      <c r="I2" s="638"/>
      <c r="J2" s="366" t="s">
        <v>31</v>
      </c>
      <c r="K2" s="405"/>
    </row>
    <row r="3" spans="1:18" ht="18.75">
      <c r="B3" s="367" t="s">
        <v>72</v>
      </c>
      <c r="C3" s="367"/>
      <c r="D3" s="367"/>
      <c r="E3" s="367"/>
      <c r="F3" s="367"/>
      <c r="G3" s="367"/>
      <c r="H3" s="367"/>
      <c r="I3" s="367"/>
      <c r="J3" s="367"/>
      <c r="K3" s="367"/>
    </row>
    <row r="4" spans="1:18" ht="18.75">
      <c r="B4" s="367" t="s">
        <v>508</v>
      </c>
      <c r="C4" s="367"/>
      <c r="D4" s="367"/>
      <c r="E4" s="367"/>
      <c r="F4" s="367"/>
      <c r="G4" s="367"/>
      <c r="H4" s="367"/>
      <c r="I4" s="367"/>
      <c r="J4" s="367"/>
      <c r="K4" s="367"/>
    </row>
    <row r="5" spans="1:18" ht="18.75">
      <c r="B5" s="367" t="s">
        <v>555</v>
      </c>
      <c r="C5" s="367"/>
      <c r="D5" s="367"/>
      <c r="E5" s="367"/>
      <c r="F5" s="367"/>
      <c r="G5" s="367"/>
      <c r="H5" s="367"/>
      <c r="I5" s="367"/>
      <c r="J5" s="367"/>
      <c r="K5" s="367"/>
    </row>
    <row r="6" spans="1:18" ht="18.75">
      <c r="B6" s="367" t="s">
        <v>556</v>
      </c>
      <c r="C6" s="367"/>
      <c r="D6" s="367"/>
      <c r="E6" s="367"/>
      <c r="F6" s="367"/>
      <c r="G6" s="367"/>
      <c r="H6" s="367"/>
      <c r="I6" s="367"/>
      <c r="J6" s="367"/>
      <c r="K6" s="367"/>
    </row>
    <row r="7" spans="1:18" ht="18.75">
      <c r="B7" s="367" t="s">
        <v>31</v>
      </c>
      <c r="C7" s="367"/>
      <c r="D7" s="367"/>
      <c r="E7" s="367"/>
      <c r="F7" s="367"/>
      <c r="G7" s="367"/>
      <c r="H7" s="367"/>
      <c r="I7" s="367"/>
      <c r="J7" s="367"/>
      <c r="K7" s="367"/>
    </row>
    <row r="8" spans="1:18" ht="18.75">
      <c r="A8" s="409"/>
      <c r="B8" s="638"/>
      <c r="C8" s="638"/>
      <c r="D8" s="638"/>
      <c r="E8" s="638"/>
      <c r="F8" s="638"/>
      <c r="G8" s="638"/>
      <c r="H8" s="638"/>
      <c r="I8" s="638"/>
      <c r="J8" s="638"/>
    </row>
    <row r="9" spans="1:18" ht="18.75">
      <c r="A9" s="409"/>
      <c r="B9" s="638"/>
      <c r="C9" s="638"/>
      <c r="D9" s="638"/>
      <c r="E9" s="638"/>
      <c r="F9" s="638"/>
      <c r="G9" s="638"/>
      <c r="H9" s="638"/>
      <c r="I9" s="638"/>
      <c r="J9" s="638"/>
    </row>
    <row r="11" spans="1:18">
      <c r="B11" s="926" t="s">
        <v>519</v>
      </c>
      <c r="G11" s="455" t="s">
        <v>520</v>
      </c>
      <c r="H11" s="455"/>
      <c r="I11" s="455"/>
    </row>
    <row r="12" spans="1:18" ht="15.75" thickBot="1">
      <c r="B12" s="927" t="s">
        <v>522</v>
      </c>
      <c r="C12" s="928" t="s">
        <v>523</v>
      </c>
      <c r="G12" s="638" t="s">
        <v>190</v>
      </c>
      <c r="I12" s="638" t="s">
        <v>296</v>
      </c>
      <c r="K12" s="638" t="s">
        <v>511</v>
      </c>
    </row>
    <row r="13" spans="1:18">
      <c r="B13" s="725" t="s">
        <v>394</v>
      </c>
      <c r="C13" s="406" t="s">
        <v>525</v>
      </c>
      <c r="D13" s="369"/>
      <c r="E13" s="790" t="s">
        <v>25</v>
      </c>
      <c r="F13" s="369"/>
      <c r="G13" s="455" t="s">
        <v>557</v>
      </c>
      <c r="I13" s="455" t="s">
        <v>558</v>
      </c>
      <c r="K13" s="929" t="s">
        <v>256</v>
      </c>
      <c r="M13" s="930" t="s">
        <v>512</v>
      </c>
      <c r="N13" s="931"/>
      <c r="O13" s="932"/>
      <c r="P13" s="933"/>
      <c r="Q13" s="931" t="s">
        <v>513</v>
      </c>
      <c r="R13" s="932"/>
    </row>
    <row r="14" spans="1:18">
      <c r="G14" s="406"/>
      <c r="H14" s="369"/>
      <c r="I14" s="406"/>
      <c r="M14" s="726" t="s">
        <v>392</v>
      </c>
      <c r="N14" s="934"/>
      <c r="O14" s="935"/>
      <c r="P14" s="934"/>
      <c r="Q14" s="934"/>
      <c r="R14" s="935"/>
    </row>
    <row r="15" spans="1:18">
      <c r="B15" s="936">
        <v>1000</v>
      </c>
      <c r="C15" s="438">
        <v>300</v>
      </c>
      <c r="E15" s="936">
        <f>ROUND((B$15*C15),0)</f>
        <v>300000</v>
      </c>
      <c r="F15" s="936"/>
      <c r="G15" s="439">
        <f>ROUND($E15*N$18/100+$B$15*N$17+IF($B$15&lt;3001,$B$15*O$15+N$15,$B$15*O$16+N$16),2)+Q24</f>
        <v>26300.5</v>
      </c>
      <c r="H15" s="439"/>
      <c r="I15" s="439">
        <f>ROUND($E15*Q$18/100+$B$15*Q$17+IF($B$15&lt;3001,$B$15*R$15+Q$15,$B$15*R$16+Q$16),2)+Q25</f>
        <v>26304.5</v>
      </c>
      <c r="K15" s="716">
        <f>(I15-G15)/G15</f>
        <v>1.5208836333910003E-4</v>
      </c>
      <c r="M15" s="726" t="s">
        <v>559</v>
      </c>
      <c r="N15" s="937">
        <f>'Exhibit No.__(RMM-11) p1-8'!D976</f>
        <v>1442</v>
      </c>
      <c r="O15" s="938">
        <f>'Exhibit No.__(RMM-11) p1-8'!D979</f>
        <v>1.1499999999999999</v>
      </c>
      <c r="P15" s="934"/>
      <c r="Q15" s="937">
        <f>'Exhibit No.__(RMM-11) p1-8'!G976</f>
        <v>1442</v>
      </c>
      <c r="R15" s="938">
        <f>'Exhibit No.__(RMM-11) p1-8'!G979</f>
        <v>1.1499999999999999</v>
      </c>
    </row>
    <row r="16" spans="1:18">
      <c r="C16" s="438">
        <v>500</v>
      </c>
      <c r="E16" s="936">
        <f>ROUND((B$15*C16),0)</f>
        <v>500000</v>
      </c>
      <c r="F16" s="936"/>
      <c r="G16" s="439">
        <f>ROUND($E16*N$18/100+$B$15*N$17+IF($B$15&lt;3001,$B$15*O$15+N$15,$B$15*O$16+N$16),2)+Q24</f>
        <v>36494.5</v>
      </c>
      <c r="H16" s="439"/>
      <c r="I16" s="439">
        <f>ROUND($E16*Q$18/100+$B$15*Q$17+IF($B$15&lt;3001,$B$15*R$15+Q$15,$B$15*R$16+Q$16),2)+Q25</f>
        <v>36494.5</v>
      </c>
      <c r="K16" s="716">
        <f>(I16-G16)/G16</f>
        <v>0</v>
      </c>
      <c r="M16" s="726" t="s">
        <v>560</v>
      </c>
      <c r="N16" s="937">
        <f>'Exhibit No.__(RMM-11) p1-8'!D977</f>
        <v>1743</v>
      </c>
      <c r="O16" s="938">
        <f>'Exhibit No.__(RMM-11) p1-8'!D980</f>
        <v>1.03</v>
      </c>
      <c r="P16" s="934"/>
      <c r="Q16" s="937">
        <f>'Exhibit No.__(RMM-11) p1-8'!G977</f>
        <v>1743</v>
      </c>
      <c r="R16" s="938">
        <f>'Exhibit No.__(RMM-11) p1-8'!G980</f>
        <v>1.03</v>
      </c>
    </row>
    <row r="17" spans="2:20">
      <c r="C17" s="438">
        <v>700</v>
      </c>
      <c r="E17" s="936">
        <f>ROUND((B$15*C17),0)</f>
        <v>700000</v>
      </c>
      <c r="F17" s="936"/>
      <c r="G17" s="439">
        <f>ROUND($E17*N$18/100+$B$15*N$17+IF($B$15&lt;3001,$B$15*O$15+N$15,$B$15*O$16+N$16),2)+Q24</f>
        <v>46688.5</v>
      </c>
      <c r="H17" s="439"/>
      <c r="I17" s="439">
        <f>ROUND($E17*Q$18/100+$B$15*Q$17+IF($B$15&lt;3001,$B$15*R$15+Q$15,$B$15*R$16+Q$16),2)+Q25</f>
        <v>46684.5</v>
      </c>
      <c r="K17" s="716">
        <f>(I17-G17)/G17</f>
        <v>-8.5674202426721781E-5</v>
      </c>
      <c r="M17" s="726" t="s">
        <v>394</v>
      </c>
      <c r="N17" s="937">
        <f>'Exhibit No.__(RMM-11) p1-8'!D981</f>
        <v>8.16</v>
      </c>
      <c r="O17" s="935"/>
      <c r="P17" s="934"/>
      <c r="Q17" s="937">
        <f>'Exhibit No.__(RMM-11) p1-8'!G981</f>
        <v>8.17</v>
      </c>
      <c r="R17" s="935"/>
      <c r="T17" s="939">
        <f>(Q17-N17)/N17</f>
        <v>1.2254901960784053E-3</v>
      </c>
    </row>
    <row r="18" spans="2:20">
      <c r="G18" s="439"/>
      <c r="H18" s="439"/>
      <c r="I18" s="439"/>
      <c r="K18" s="716"/>
      <c r="M18" s="726" t="s">
        <v>364</v>
      </c>
      <c r="N18" s="940">
        <f>'Exhibit No.__(RMM-11) p1-8'!D983+Q20+Q27</f>
        <v>5.0970000000000004</v>
      </c>
      <c r="O18" s="935"/>
      <c r="P18" s="934"/>
      <c r="Q18" s="940">
        <f>'Exhibit No.__(RMM-11) p1-8'!G983+'Exhibit No.__(RMM-11) p1-8'!G965+Q21+Q27</f>
        <v>5.0950000000000006</v>
      </c>
      <c r="R18" s="935"/>
      <c r="T18" s="939">
        <f>(Q18-N18)/N18</f>
        <v>-3.9238767902683531E-4</v>
      </c>
    </row>
    <row r="19" spans="2:20" ht="15.75" thickBot="1">
      <c r="B19" s="936">
        <v>2000</v>
      </c>
      <c r="C19" s="438">
        <v>300</v>
      </c>
      <c r="E19" s="936">
        <f>ROUND((B$19*C19),0)</f>
        <v>600000</v>
      </c>
      <c r="F19" s="936"/>
      <c r="G19" s="439">
        <f>ROUND($E19*N$18/100+$B$19*N$17+IF($B$19&lt;3001,$B$19*O$15+N$15,$B$19*O$16+N$16),2)+Q24</f>
        <v>50901.5</v>
      </c>
      <c r="H19" s="439"/>
      <c r="I19" s="439">
        <f>ROUND($E19*Q$18/100+$B$19*Q$17+IF($B$19&lt;3001,$B$19*R$15+Q$15,$B$19*R$16+Q$16),2)+Q25</f>
        <v>50909.5</v>
      </c>
      <c r="K19" s="716">
        <f>(I19-G19)/G19</f>
        <v>1.5716629175957487E-4</v>
      </c>
      <c r="M19" s="941" t="s">
        <v>31</v>
      </c>
      <c r="N19" s="942" t="s">
        <v>31</v>
      </c>
      <c r="O19" s="943"/>
      <c r="P19" s="944"/>
      <c r="Q19" s="942" t="s">
        <v>31</v>
      </c>
      <c r="R19" s="943"/>
    </row>
    <row r="20" spans="2:20">
      <c r="C20" s="438">
        <v>500</v>
      </c>
      <c r="E20" s="936">
        <f>ROUND((B$19*C20),0)</f>
        <v>1000000</v>
      </c>
      <c r="F20" s="936"/>
      <c r="G20" s="439">
        <f>ROUND($E20*N$18/100+$B$19*N$17+IF($B$19&lt;3001,$B$19*O$15+N$15,$B$19*O$16+N$16),2)+Q24</f>
        <v>71289.5</v>
      </c>
      <c r="H20" s="439"/>
      <c r="I20" s="439">
        <f>ROUND($E20*Q$18/100+$B$19*Q$17+IF($B$19&lt;3001,$B$19*R$15+Q$15,$B$19*R$16+Q$16),2)+Q25</f>
        <v>71289.5</v>
      </c>
      <c r="K20" s="716">
        <f>(I20-G20)/G20</f>
        <v>0</v>
      </c>
      <c r="O20" s="438" t="s">
        <v>193</v>
      </c>
      <c r="Q20" s="945">
        <v>0.245</v>
      </c>
    </row>
    <row r="21" spans="2:20">
      <c r="C21" s="438">
        <v>700</v>
      </c>
      <c r="E21" s="936">
        <f>ROUND((B$19*C21),0)</f>
        <v>1400000</v>
      </c>
      <c r="F21" s="936"/>
      <c r="G21" s="439">
        <f>ROUND($E21*N$18/100+$B$19*N$17+IF($B$19&lt;3001,$B$19*O$15+N$15,$B$19*O$16+N$16),2)+Q24</f>
        <v>91677.5</v>
      </c>
      <c r="H21" s="439"/>
      <c r="I21" s="439">
        <f>ROUND($E21*Q$18/100+$B$19*Q$17+IF($B$19&lt;3001,$B$19*R$15+Q$15,$B$19*R$16+Q$16),2)+Q25</f>
        <v>91669.5</v>
      </c>
      <c r="K21" s="716">
        <f>(I21-G21)/G21</f>
        <v>-8.7262414441929592E-5</v>
      </c>
      <c r="Q21" s="945">
        <v>0.245</v>
      </c>
    </row>
    <row r="22" spans="2:20">
      <c r="G22" s="439"/>
      <c r="H22" s="439"/>
      <c r="I22" s="439"/>
      <c r="K22" s="716"/>
      <c r="Q22" s="946"/>
    </row>
    <row r="23" spans="2:20">
      <c r="B23" s="936">
        <v>4000</v>
      </c>
      <c r="C23" s="438">
        <v>300</v>
      </c>
      <c r="E23" s="936">
        <f>ROUND((B$23*C23),0)</f>
        <v>1200000</v>
      </c>
      <c r="F23" s="936"/>
      <c r="G23" s="439">
        <f>ROUND($E23*N$18/100+$B$23*N$17+IF($B$23&lt;3001,$B$23*O$15+N$15,$B$23*O$16+N$16),2)+Q24</f>
        <v>99924.5</v>
      </c>
      <c r="H23" s="439"/>
      <c r="I23" s="439">
        <f>ROUND($E23*Q$18/100+$B$23*Q$17+IF($B$23&lt;3001,$B$23*R$15+Q$15,$B$23*R$16+Q$16),2)+Q25</f>
        <v>99940.5</v>
      </c>
      <c r="K23" s="716">
        <f>(I23-G23)/G23</f>
        <v>1.6012089127291106E-4</v>
      </c>
      <c r="O23" s="438" t="s">
        <v>31</v>
      </c>
      <c r="P23" s="438" t="s">
        <v>31</v>
      </c>
      <c r="Q23" s="438" t="s">
        <v>31</v>
      </c>
      <c r="T23" s="438" t="s">
        <v>31</v>
      </c>
    </row>
    <row r="24" spans="2:20">
      <c r="C24" s="438">
        <v>500</v>
      </c>
      <c r="E24" s="936">
        <f>ROUND((B$23*C24),0)</f>
        <v>2000000</v>
      </c>
      <c r="F24" s="936"/>
      <c r="G24" s="439">
        <f>ROUND($E24*N$18/100+$B$23*N$17+IF($B$23&lt;3001,$B$23*O$15+N$15,$B$23*O$16+N$16),2)+Q24</f>
        <v>140700.5</v>
      </c>
      <c r="H24" s="439"/>
      <c r="I24" s="439">
        <f>ROUND($E24*Q$18/100+$B$23*Q$17+IF($B$23&lt;3001,$B$23*R$15+Q$15,$B$23*R$16+Q$16),2)+Q25</f>
        <v>140700.5</v>
      </c>
      <c r="K24" s="716">
        <f>(I24-G24)/G24</f>
        <v>0</v>
      </c>
      <c r="O24" s="438" t="s">
        <v>615</v>
      </c>
      <c r="Q24" s="947">
        <v>257.5</v>
      </c>
      <c r="R24" s="438" t="s">
        <v>31</v>
      </c>
    </row>
    <row r="25" spans="2:20">
      <c r="C25" s="438">
        <v>700</v>
      </c>
      <c r="E25" s="936">
        <f>ROUND((B$23*C25),0)</f>
        <v>2800000</v>
      </c>
      <c r="F25" s="936"/>
      <c r="G25" s="439">
        <f>ROUND($E25*N$18/100+$B$23*N$17+IF($B$23&lt;3001,$B$23*O$15+N$15,$B$23*O$16+N$16),2)+Q24</f>
        <v>181476.5</v>
      </c>
      <c r="H25" s="439"/>
      <c r="I25" s="439">
        <f>ROUND($E25*Q$18/100+$B$23*Q$17+IF($B$23&lt;3001,$B$23*R$15+Q$15,$B$23*R$16+Q$16),2)+Q25</f>
        <v>181460.5</v>
      </c>
      <c r="K25" s="716">
        <f>(I25-G25)/G25</f>
        <v>-8.8165685364220706E-5</v>
      </c>
      <c r="O25" s="438" t="s">
        <v>614</v>
      </c>
      <c r="Q25" s="947">
        <f>Q24</f>
        <v>257.5</v>
      </c>
    </row>
    <row r="26" spans="2:20">
      <c r="G26" s="439"/>
      <c r="H26" s="439"/>
      <c r="I26" s="439"/>
      <c r="K26" s="716"/>
    </row>
    <row r="27" spans="2:20">
      <c r="B27" s="936">
        <v>6000</v>
      </c>
      <c r="C27" s="438">
        <v>300</v>
      </c>
      <c r="E27" s="936">
        <f>ROUND((B$27*C27),0)</f>
        <v>1800000</v>
      </c>
      <c r="F27" s="936"/>
      <c r="G27" s="439">
        <f>ROUND($E27*N$18/100+$B$27*N$17+IF($B$27&lt;3001,$B$27*O$15+N$15,$B$27*O$16+N$16),2)+Q24</f>
        <v>148886.5</v>
      </c>
      <c r="H27" s="439"/>
      <c r="I27" s="439">
        <f>ROUND($E27*Q$18/100+$B$27*Q$17+IF($B$27&lt;3001,$B$27*R$15+Q$15,$B$27*R$16+Q$16),2)+Q25</f>
        <v>148910.5</v>
      </c>
      <c r="K27" s="716">
        <f>(I27-G27)/G27</f>
        <v>1.6119661621436464E-4</v>
      </c>
      <c r="O27" s="438" t="s">
        <v>302</v>
      </c>
      <c r="Q27" s="438">
        <v>0</v>
      </c>
    </row>
    <row r="28" spans="2:20">
      <c r="C28" s="438">
        <v>500</v>
      </c>
      <c r="E28" s="936">
        <f>ROUND((B$27*C28),0)</f>
        <v>3000000</v>
      </c>
      <c r="F28" s="936"/>
      <c r="G28" s="439">
        <f>ROUND($E28*N$18/100+$B$27*N$17+IF($B$27&lt;3001,$B$27*O$15+N$15,$B$27*O$16+N$16),2)+Q24</f>
        <v>210050.5</v>
      </c>
      <c r="H28" s="439"/>
      <c r="I28" s="439">
        <f>ROUND($E28*Q$18/100+$B$27*Q$17+IF($B$27&lt;3001,$B$27*R$15+Q$15,$B$27*R$16+Q$16),2)+Q25</f>
        <v>210050.5</v>
      </c>
      <c r="K28" s="716">
        <f>(I28-G28)/G28</f>
        <v>0</v>
      </c>
    </row>
    <row r="29" spans="2:20">
      <c r="C29" s="438">
        <v>700</v>
      </c>
      <c r="E29" s="936">
        <f>ROUND((B$27*C29),0)</f>
        <v>4200000</v>
      </c>
      <c r="F29" s="936"/>
      <c r="G29" s="439">
        <f>ROUND($E29*N$18/100+$B$27*N$17+IF($B$27&lt;3001,$B$27*O$15+N$15,$B$27*O$16+N$16),2)+Q24</f>
        <v>271214.5</v>
      </c>
      <c r="H29" s="439"/>
      <c r="I29" s="439">
        <f>ROUND($E29*Q$18/100+$B$27*Q$17+IF($B$27&lt;3001,$B$27*R$15+Q$15,$B$27*R$16+Q$16),2)+Q25</f>
        <v>271190.5</v>
      </c>
      <c r="K29" s="716">
        <f>(I29-G29)/G29</f>
        <v>-8.8490843962988702E-5</v>
      </c>
    </row>
    <row r="30" spans="2:20">
      <c r="B30" s="949"/>
      <c r="C30" s="949"/>
      <c r="D30" s="949"/>
      <c r="E30" s="949"/>
      <c r="F30" s="949"/>
      <c r="G30" s="949"/>
      <c r="H30" s="949"/>
      <c r="I30" s="949"/>
      <c r="J30" s="949"/>
      <c r="K30" s="949"/>
      <c r="M30" s="719" t="s">
        <v>786</v>
      </c>
      <c r="N30" s="925">
        <f ca="1">'Exhibit No.__(RMM-10)'!Q28</f>
        <v>-2.6778198747832208E-5</v>
      </c>
    </row>
    <row r="31" spans="2:20">
      <c r="N31" s="720" t="s">
        <v>31</v>
      </c>
    </row>
    <row r="33" spans="2:16">
      <c r="B33" s="438" t="s">
        <v>517</v>
      </c>
    </row>
    <row r="34" spans="2:16">
      <c r="B34" s="399" t="s">
        <v>777</v>
      </c>
    </row>
    <row r="35" spans="2:16">
      <c r="B35" s="370"/>
    </row>
    <row r="36" spans="2:16">
      <c r="B36" s="370"/>
    </row>
    <row r="37" spans="2:16">
      <c r="B37" s="370"/>
    </row>
    <row r="38" spans="2:16">
      <c r="B38" s="370"/>
    </row>
    <row r="39" spans="2:16">
      <c r="B39" s="370"/>
    </row>
    <row r="40" spans="2:16">
      <c r="B40" s="370"/>
    </row>
    <row r="41" spans="2:16">
      <c r="B41" s="370"/>
    </row>
    <row r="42" spans="2:16">
      <c r="B42" s="370"/>
    </row>
    <row r="43" spans="2:16">
      <c r="B43" s="370"/>
    </row>
    <row r="44" spans="2:16">
      <c r="B44" s="370"/>
    </row>
    <row r="45" spans="2:16">
      <c r="B45" s="370"/>
    </row>
    <row r="46" spans="2:16">
      <c r="B46" s="370"/>
    </row>
    <row r="48" spans="2:16">
      <c r="P48" s="720"/>
    </row>
  </sheetData>
  <phoneticPr fontId="0" type="noConversion"/>
  <printOptions horizontalCentered="1"/>
  <pageMargins left="0.5" right="0.5" top="0.5" bottom="0.5" header="0.5" footer="0.5"/>
  <pageSetup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T49"/>
  <sheetViews>
    <sheetView workbookViewId="0">
      <selection activeCell="B8" sqref="B8"/>
    </sheetView>
  </sheetViews>
  <sheetFormatPr defaultColWidth="8.5" defaultRowHeight="15"/>
  <cols>
    <col min="1" max="1" width="2" style="438" customWidth="1"/>
    <col min="2" max="2" width="8.5" style="438"/>
    <col min="3" max="3" width="8.5" style="438" hidden="1" customWidth="1"/>
    <col min="4" max="4" width="3.25" style="438" customWidth="1"/>
    <col min="5" max="5" width="9.75" style="438" customWidth="1"/>
    <col min="6" max="6" width="3.75" style="438" customWidth="1"/>
    <col min="7" max="7" width="19.875" style="438" customWidth="1"/>
    <col min="8" max="8" width="3.5" style="438" customWidth="1"/>
    <col min="9" max="9" width="19.5" style="438" customWidth="1"/>
    <col min="10" max="10" width="2.875" style="438" customWidth="1"/>
    <col min="11" max="11" width="12.125" style="438" customWidth="1"/>
    <col min="12" max="12" width="3.5" style="925" customWidth="1"/>
    <col min="13" max="13" width="18.875" style="438" customWidth="1"/>
    <col min="14" max="14" width="11" style="438" bestFit="1" customWidth="1"/>
    <col min="15" max="15" width="20.375" style="438" customWidth="1"/>
    <col min="16" max="16" width="2.5" style="438" customWidth="1"/>
    <col min="17" max="17" width="9.875" style="438" bestFit="1" customWidth="1"/>
    <col min="18" max="18" width="7.375" style="438" customWidth="1"/>
    <col min="19" max="19" width="2.5" style="438" customWidth="1"/>
    <col min="20" max="16384" width="8.5" style="438"/>
  </cols>
  <sheetData>
    <row r="2" spans="1:18" ht="18.75">
      <c r="C2" s="638"/>
      <c r="D2" s="638"/>
      <c r="E2" s="638"/>
      <c r="F2" s="638"/>
      <c r="G2" s="638"/>
      <c r="H2" s="638"/>
      <c r="I2" s="638"/>
      <c r="J2" s="366" t="s">
        <v>31</v>
      </c>
      <c r="K2" s="405"/>
    </row>
    <row r="3" spans="1:18" ht="18.75">
      <c r="B3" s="367" t="s">
        <v>72</v>
      </c>
      <c r="C3" s="367"/>
      <c r="D3" s="367"/>
      <c r="E3" s="367"/>
      <c r="F3" s="367"/>
      <c r="G3" s="367"/>
      <c r="H3" s="367"/>
      <c r="I3" s="367"/>
      <c r="J3" s="367"/>
      <c r="K3" s="367"/>
    </row>
    <row r="4" spans="1:18" ht="18.75">
      <c r="B4" s="367" t="s">
        <v>508</v>
      </c>
      <c r="C4" s="367"/>
      <c r="D4" s="367"/>
      <c r="E4" s="367"/>
      <c r="F4" s="367"/>
      <c r="G4" s="367"/>
      <c r="H4" s="367"/>
      <c r="I4" s="367"/>
      <c r="J4" s="367"/>
      <c r="K4" s="367"/>
    </row>
    <row r="5" spans="1:18" ht="18.75">
      <c r="B5" s="367" t="s">
        <v>561</v>
      </c>
      <c r="C5" s="367"/>
      <c r="D5" s="367"/>
      <c r="E5" s="367"/>
      <c r="F5" s="367"/>
      <c r="G5" s="367"/>
      <c r="H5" s="367"/>
      <c r="I5" s="367"/>
      <c r="J5" s="367"/>
      <c r="K5" s="367"/>
    </row>
    <row r="6" spans="1:18" ht="18.75">
      <c r="B6" s="367" t="s">
        <v>556</v>
      </c>
      <c r="C6" s="367"/>
      <c r="D6" s="367"/>
      <c r="E6" s="367"/>
      <c r="F6" s="367"/>
      <c r="G6" s="367"/>
      <c r="H6" s="367"/>
      <c r="I6" s="367"/>
      <c r="J6" s="367"/>
      <c r="K6" s="367"/>
    </row>
    <row r="7" spans="1:18" ht="18.75">
      <c r="B7" s="367" t="s">
        <v>31</v>
      </c>
      <c r="C7" s="367"/>
      <c r="D7" s="367"/>
      <c r="E7" s="367"/>
      <c r="F7" s="367"/>
      <c r="G7" s="367"/>
      <c r="H7" s="367"/>
      <c r="I7" s="367"/>
      <c r="J7" s="367"/>
      <c r="K7" s="367"/>
    </row>
    <row r="8" spans="1:18" ht="18.75">
      <c r="A8" s="409"/>
      <c r="B8" s="638"/>
      <c r="C8" s="638"/>
      <c r="D8" s="638"/>
      <c r="E8" s="638"/>
      <c r="F8" s="638"/>
      <c r="G8" s="638"/>
      <c r="H8" s="638"/>
      <c r="I8" s="638"/>
      <c r="J8" s="638"/>
    </row>
    <row r="9" spans="1:18" ht="18.75">
      <c r="A9" s="409"/>
      <c r="B9" s="638"/>
      <c r="C9" s="638"/>
      <c r="D9" s="638"/>
      <c r="E9" s="638"/>
      <c r="F9" s="638"/>
      <c r="G9" s="638"/>
      <c r="H9" s="638"/>
      <c r="I9" s="638"/>
      <c r="J9" s="638"/>
    </row>
    <row r="11" spans="1:18">
      <c r="B11" s="926" t="s">
        <v>519</v>
      </c>
      <c r="G11" s="455" t="s">
        <v>520</v>
      </c>
      <c r="H11" s="455"/>
      <c r="I11" s="455"/>
    </row>
    <row r="12" spans="1:18" ht="15.75" thickBot="1">
      <c r="B12" s="927" t="s">
        <v>522</v>
      </c>
      <c r="C12" s="928" t="s">
        <v>523</v>
      </c>
      <c r="G12" s="638" t="s">
        <v>190</v>
      </c>
      <c r="I12" s="638" t="s">
        <v>296</v>
      </c>
      <c r="K12" s="638" t="s">
        <v>511</v>
      </c>
    </row>
    <row r="13" spans="1:18">
      <c r="B13" s="725" t="s">
        <v>394</v>
      </c>
      <c r="C13" s="406" t="s">
        <v>525</v>
      </c>
      <c r="D13" s="369"/>
      <c r="E13" s="790" t="s">
        <v>25</v>
      </c>
      <c r="F13" s="369"/>
      <c r="G13" s="455" t="s">
        <v>557</v>
      </c>
      <c r="I13" s="455" t="s">
        <v>558</v>
      </c>
      <c r="K13" s="929" t="s">
        <v>256</v>
      </c>
      <c r="M13" s="930" t="s">
        <v>512</v>
      </c>
      <c r="N13" s="931"/>
      <c r="O13" s="932"/>
      <c r="P13" s="933"/>
      <c r="Q13" s="931" t="s">
        <v>513</v>
      </c>
      <c r="R13" s="932"/>
    </row>
    <row r="14" spans="1:18">
      <c r="G14" s="406"/>
      <c r="H14" s="369"/>
      <c r="I14" s="406"/>
      <c r="M14" s="726" t="s">
        <v>392</v>
      </c>
      <c r="N14" s="934"/>
      <c r="O14" s="935"/>
      <c r="P14" s="934"/>
      <c r="Q14" s="934"/>
      <c r="R14" s="935"/>
    </row>
    <row r="15" spans="1:18">
      <c r="B15" s="936">
        <v>1000</v>
      </c>
      <c r="C15" s="438">
        <v>300</v>
      </c>
      <c r="E15" s="936">
        <f>ROUND((B$15*C15),0)</f>
        <v>300000</v>
      </c>
      <c r="F15" s="936"/>
      <c r="G15" s="439">
        <f>ROUND($E15*N$18/100+$B$15*N$17+IF($B$15&lt;3001,$B$15*O$15+N$15,$B$15*O$16+N$16),2)+$Q$24</f>
        <v>25423.5</v>
      </c>
      <c r="H15" s="439"/>
      <c r="I15" s="439">
        <f>ROUND($E15*Q$18/100+$B$15*Q$17+IF($B$15&lt;3001,$B$15*R$15+Q$15,$B$15*R$16+Q$16),2)+$Q$25</f>
        <v>25413.5</v>
      </c>
      <c r="K15" s="716">
        <f>(I15-G15)/G15</f>
        <v>-3.9333687336519363E-4</v>
      </c>
      <c r="M15" s="726" t="s">
        <v>559</v>
      </c>
      <c r="N15" s="937">
        <f>'Exhibit No.__(RMM-11) p1-8'!D1034</f>
        <v>1477</v>
      </c>
      <c r="O15" s="938">
        <f>'Exhibit No.__(RMM-11) p1-8'!D1037</f>
        <v>0.57999999999999996</v>
      </c>
      <c r="P15" s="934"/>
      <c r="Q15" s="937">
        <f>'Exhibit No.__(RMM-11) p1-8'!G1034</f>
        <v>1477</v>
      </c>
      <c r="R15" s="938">
        <f>'Exhibit No.__(RMM-11) p1-8'!G1037</f>
        <v>0.57999999999999996</v>
      </c>
    </row>
    <row r="16" spans="1:18">
      <c r="C16" s="438">
        <v>500</v>
      </c>
      <c r="E16" s="936">
        <f>ROUND((B$15*C16),0)</f>
        <v>500000</v>
      </c>
      <c r="F16" s="936"/>
      <c r="G16" s="439">
        <f t="shared" ref="G16:G17" si="0">ROUND($E16*N$18/100+$B$15*N$17+IF($B$15&lt;3001,$B$15*O$15+N$15,$B$15*O$16+N$16),2)+$Q$24</f>
        <v>35509.5</v>
      </c>
      <c r="H16" s="439"/>
      <c r="I16" s="439">
        <f>ROUND($E16*Q$18/100+$B$15*Q$17+IF($B$15&lt;3001,$B$15*R$15+Q$15,$B$15*R$16+Q$16),2)+$Q$25</f>
        <v>35499.5</v>
      </c>
      <c r="K16" s="716">
        <f>(I16-G16)/G16</f>
        <v>-2.8161477914360946E-4</v>
      </c>
      <c r="M16" s="726" t="s">
        <v>560</v>
      </c>
      <c r="N16" s="937">
        <f>'Exhibit No.__(RMM-11) p1-8'!D1035</f>
        <v>1777</v>
      </c>
      <c r="O16" s="938">
        <f>'Exhibit No.__(RMM-11) p1-8'!D1038</f>
        <v>0.47</v>
      </c>
      <c r="P16" s="934"/>
      <c r="Q16" s="937">
        <f>'Exhibit No.__(RMM-11) p1-8'!G1035</f>
        <v>1777</v>
      </c>
      <c r="R16" s="938">
        <f>'Exhibit No.__(RMM-11) p1-8'!G1038</f>
        <v>0.47</v>
      </c>
    </row>
    <row r="17" spans="2:20">
      <c r="C17" s="438">
        <v>700</v>
      </c>
      <c r="E17" s="936">
        <f>ROUND((B$15*C17),0)</f>
        <v>700000</v>
      </c>
      <c r="F17" s="936"/>
      <c r="G17" s="439">
        <f t="shared" si="0"/>
        <v>45595.5</v>
      </c>
      <c r="H17" s="439"/>
      <c r="I17" s="439">
        <f>ROUND($E17*Q$18/100+$B$15*Q$17+IF($B$15&lt;3001,$B$15*R$15+Q$15,$B$15*R$16+Q$16),2)+$Q$25</f>
        <v>45585.5</v>
      </c>
      <c r="K17" s="716">
        <f>(I17-G17)/G17</f>
        <v>-2.1931988902413615E-4</v>
      </c>
      <c r="M17" s="726" t="s">
        <v>394</v>
      </c>
      <c r="N17" s="937">
        <f>'Exhibit No.__(RMM-11) p1-8'!D1039</f>
        <v>7.98</v>
      </c>
      <c r="O17" s="935"/>
      <c r="P17" s="934"/>
      <c r="Q17" s="937">
        <f>'Exhibit No.__(RMM-11) p1-8'!G1039</f>
        <v>7.9700000000000006</v>
      </c>
      <c r="R17" s="935"/>
      <c r="T17" s="939">
        <f>(Q17-N17)/N17</f>
        <v>-1.2531328320801738E-3</v>
      </c>
    </row>
    <row r="18" spans="2:20">
      <c r="G18" s="439"/>
      <c r="H18" s="439"/>
      <c r="I18" s="439"/>
      <c r="K18" s="716"/>
      <c r="M18" s="726" t="s">
        <v>364</v>
      </c>
      <c r="N18" s="940">
        <f>'Exhibit No.__(RMM-11) p1-8'!D1041+Q20+Q27</f>
        <v>5.0430000000000001</v>
      </c>
      <c r="O18" s="935"/>
      <c r="P18" s="934"/>
      <c r="Q18" s="940">
        <f>'Exhibit No.__(RMM-11) p1-8'!G1041+'Exhibit No.__(RMM-11) p1-8'!G1043+Q21+Q27</f>
        <v>5.0430000000000001</v>
      </c>
      <c r="R18" s="935"/>
      <c r="T18" s="939">
        <f>(Q18-N18)/N18</f>
        <v>0</v>
      </c>
    </row>
    <row r="19" spans="2:20" ht="15.75" thickBot="1">
      <c r="B19" s="936">
        <v>2000</v>
      </c>
      <c r="C19" s="438">
        <v>300</v>
      </c>
      <c r="E19" s="936">
        <f>ROUND((B$19*C19),0)</f>
        <v>600000</v>
      </c>
      <c r="F19" s="936"/>
      <c r="G19" s="439">
        <f>ROUND($E19*N$18/100+$B$19*N$17+IF($B$19&lt;3001,$B$19*O$15+N$15,$B$19*O$16+N$16),2)+$Q$24</f>
        <v>49112.5</v>
      </c>
      <c r="H19" s="439"/>
      <c r="I19" s="439">
        <f>ROUND($E19*Q$18/100+$B$19*Q$17+IF($B$19&lt;3001,$B$19*R$15+Q$15,$B$19*R$16+Q$16),2)+$Q$25</f>
        <v>49092.5</v>
      </c>
      <c r="K19" s="716">
        <f>(I19-G19)/G19</f>
        <v>-4.0722830236701449E-4</v>
      </c>
      <c r="M19" s="941" t="s">
        <v>31</v>
      </c>
      <c r="N19" s="942" t="s">
        <v>31</v>
      </c>
      <c r="O19" s="943"/>
      <c r="P19" s="944"/>
      <c r="Q19" s="942" t="s">
        <v>31</v>
      </c>
      <c r="R19" s="943"/>
    </row>
    <row r="20" spans="2:20">
      <c r="C20" s="438">
        <v>500</v>
      </c>
      <c r="E20" s="936">
        <f>ROUND((B$19*C20),0)</f>
        <v>1000000</v>
      </c>
      <c r="F20" s="936"/>
      <c r="G20" s="439">
        <f t="shared" ref="G20:G21" si="1">ROUND($E20*N$18/100+$B$19*N$17+IF($B$19&lt;3001,$B$19*O$15+N$15,$B$19*O$16+N$16),2)+$Q$24</f>
        <v>69284.5</v>
      </c>
      <c r="H20" s="439"/>
      <c r="I20" s="439">
        <f>ROUND($E20*Q$18/100+$B$19*Q$17+IF($B$19&lt;3001,$B$19*R$15+Q$15,$B$19*R$16+Q$16),2)+$Q$25</f>
        <v>69264.5</v>
      </c>
      <c r="K20" s="716">
        <f>(I20-G20)/G20</f>
        <v>-2.8866485288917432E-4</v>
      </c>
      <c r="O20" s="438" t="s">
        <v>193</v>
      </c>
      <c r="Q20" s="945">
        <v>0.245</v>
      </c>
    </row>
    <row r="21" spans="2:20">
      <c r="C21" s="438">
        <v>700</v>
      </c>
      <c r="E21" s="936">
        <f>ROUND((B$19*C21),0)</f>
        <v>1400000</v>
      </c>
      <c r="F21" s="936"/>
      <c r="G21" s="439">
        <f t="shared" si="1"/>
        <v>89456.5</v>
      </c>
      <c r="H21" s="439"/>
      <c r="I21" s="439">
        <f>ROUND($E21*Q$18/100+$B$19*Q$17+IF($B$19&lt;3001,$B$19*R$15+Q$15,$B$19*R$16+Q$16),2)+$Q$25</f>
        <v>89436.5</v>
      </c>
      <c r="K21" s="716">
        <f>(I21-G21)/G21</f>
        <v>-2.2357235080737564E-4</v>
      </c>
      <c r="Q21" s="945">
        <v>0.245</v>
      </c>
    </row>
    <row r="22" spans="2:20">
      <c r="G22" s="439"/>
      <c r="H22" s="439"/>
      <c r="I22" s="439"/>
      <c r="K22" s="716"/>
      <c r="Q22" s="946"/>
    </row>
    <row r="23" spans="2:20">
      <c r="B23" s="936">
        <v>4000</v>
      </c>
      <c r="C23" s="438">
        <v>300</v>
      </c>
      <c r="E23" s="936">
        <f>ROUND((B$23*C23),0)</f>
        <v>1200000</v>
      </c>
      <c r="F23" s="936"/>
      <c r="G23" s="439">
        <f>ROUND($E23*N$18/100+$B$23*N$17+IF($B$23&lt;3001,$B$23*O$15+N$15,$B$23*O$16+N$16),2)+$Q$24</f>
        <v>96350.5</v>
      </c>
      <c r="H23" s="439"/>
      <c r="I23" s="439">
        <f>ROUND($E23*Q$18/100+$B$23*Q$17+IF($B$23&lt;3001,$B$23*R$15+Q$15,$B$23*R$16+Q$16),2)+$Q$25</f>
        <v>96310.5</v>
      </c>
      <c r="K23" s="716">
        <f>(I23-G23)/G23</f>
        <v>-4.1515093331119193E-4</v>
      </c>
      <c r="O23" s="438" t="s">
        <v>31</v>
      </c>
      <c r="P23" s="438" t="s">
        <v>31</v>
      </c>
      <c r="Q23" s="438" t="s">
        <v>31</v>
      </c>
    </row>
    <row r="24" spans="2:20">
      <c r="C24" s="438">
        <v>500</v>
      </c>
      <c r="E24" s="936">
        <f>ROUND((B$23*C24),0)</f>
        <v>2000000</v>
      </c>
      <c r="F24" s="936"/>
      <c r="G24" s="439">
        <f t="shared" ref="G24:G25" si="2">ROUND($E24*N$18/100+$B$23*N$17+IF($B$23&lt;3001,$B$23*O$15+N$15,$B$23*O$16+N$16),2)+$Q$24</f>
        <v>136694.5</v>
      </c>
      <c r="H24" s="439"/>
      <c r="I24" s="439">
        <f>ROUND($E24*Q$18/100+$B$23*Q$17+IF($B$23&lt;3001,$B$23*R$15+Q$15,$B$23*R$16+Q$16),2)+$Q$25</f>
        <v>136654.5</v>
      </c>
      <c r="K24" s="716">
        <f>(I24-G24)/G24</f>
        <v>-2.92623331589786E-4</v>
      </c>
      <c r="O24" s="438" t="s">
        <v>615</v>
      </c>
      <c r="Q24" s="947">
        <v>257.5</v>
      </c>
      <c r="R24" s="438" t="s">
        <v>31</v>
      </c>
    </row>
    <row r="25" spans="2:20">
      <c r="C25" s="438">
        <v>700</v>
      </c>
      <c r="E25" s="936">
        <f>ROUND((B$23*C25),0)</f>
        <v>2800000</v>
      </c>
      <c r="F25" s="936"/>
      <c r="G25" s="439">
        <f t="shared" si="2"/>
        <v>177038.5</v>
      </c>
      <c r="H25" s="439"/>
      <c r="I25" s="439">
        <f>ROUND($E25*Q$18/100+$B$23*Q$17+IF($B$23&lt;3001,$B$23*R$15+Q$15,$B$23*R$16+Q$16),2)+$Q$25</f>
        <v>176998.5</v>
      </c>
      <c r="K25" s="716">
        <f>(I25-G25)/G25</f>
        <v>-2.2593955552040941E-4</v>
      </c>
      <c r="O25" s="438" t="s">
        <v>614</v>
      </c>
      <c r="P25" s="948"/>
      <c r="Q25" s="947">
        <f>Q24</f>
        <v>257.5</v>
      </c>
    </row>
    <row r="26" spans="2:20">
      <c r="G26" s="439" t="s">
        <v>31</v>
      </c>
      <c r="H26" s="439"/>
      <c r="I26" s="439"/>
      <c r="K26" s="716"/>
    </row>
    <row r="27" spans="2:20">
      <c r="B27" s="936">
        <v>6000</v>
      </c>
      <c r="C27" s="438">
        <v>300</v>
      </c>
      <c r="E27" s="936">
        <f>ROUND((B$27*C27),0)</f>
        <v>1800000</v>
      </c>
      <c r="F27" s="936"/>
      <c r="G27" s="439">
        <f>ROUND($E27*N$18/100+$B$27*N$17+IF($B$27&lt;3001,$B$27*O$15+N$15,$B$27*O$16+N$16),2)+$Q$24</f>
        <v>143508.5</v>
      </c>
      <c r="H27" s="439"/>
      <c r="I27" s="439">
        <f>ROUND($E27*Q$18/100+$B$27*Q$17+IF($B$27&lt;3001,$B$27*R$15+Q$15,$B$27*R$16+Q$16),2)+$Q$25</f>
        <v>143448.5</v>
      </c>
      <c r="K27" s="716">
        <f>(I27-G27)/G27</f>
        <v>-4.1809370176679428E-4</v>
      </c>
      <c r="O27" s="438" t="s">
        <v>302</v>
      </c>
      <c r="Q27" s="438">
        <v>0</v>
      </c>
    </row>
    <row r="28" spans="2:20">
      <c r="C28" s="438">
        <v>500</v>
      </c>
      <c r="E28" s="936">
        <f>ROUND((B$27*C28),0)</f>
        <v>3000000</v>
      </c>
      <c r="F28" s="936"/>
      <c r="G28" s="439">
        <f t="shared" ref="G28:G29" si="3">ROUND($E28*N$18/100+$B$27*N$17+IF($B$27&lt;3001,$B$27*O$15+N$15,$B$27*O$16+N$16),2)+$Q$24</f>
        <v>204024.5</v>
      </c>
      <c r="H28" s="439"/>
      <c r="I28" s="439">
        <f>ROUND($E28*Q$18/100+$B$27*Q$17+IF($B$27&lt;3001,$B$27*R$15+Q$15,$B$27*R$16+Q$16),2)+$Q$25</f>
        <v>203964.5</v>
      </c>
      <c r="K28" s="716">
        <f>(I28-G28)/G28</f>
        <v>-2.9408232834782097E-4</v>
      </c>
    </row>
    <row r="29" spans="2:20">
      <c r="C29" s="438">
        <v>700</v>
      </c>
      <c r="E29" s="936">
        <f>ROUND((B$27*C29),0)</f>
        <v>4200000</v>
      </c>
      <c r="F29" s="936"/>
      <c r="G29" s="439">
        <f t="shared" si="3"/>
        <v>264540.5</v>
      </c>
      <c r="H29" s="439"/>
      <c r="I29" s="439">
        <f>ROUND($E29*Q$18/100+$B$27*Q$17+IF($B$27&lt;3001,$B$27*R$15+Q$15,$B$27*R$16+Q$16),2)+$Q$25</f>
        <v>264480.5</v>
      </c>
      <c r="K29" s="716">
        <f>(I29-G29)/G29</f>
        <v>-2.2680837149699194E-4</v>
      </c>
    </row>
    <row r="30" spans="2:20">
      <c r="B30" s="949"/>
      <c r="C30" s="949"/>
      <c r="D30" s="949"/>
      <c r="E30" s="949"/>
      <c r="F30" s="949"/>
      <c r="G30" s="949"/>
      <c r="H30" s="949"/>
      <c r="I30" s="949"/>
      <c r="J30" s="949"/>
      <c r="K30" s="949"/>
      <c r="M30" s="719" t="s">
        <v>786</v>
      </c>
      <c r="N30" s="925">
        <f ca="1">'Exhibit No.__(RMM-10)'!Q28</f>
        <v>-2.6778198747832208E-5</v>
      </c>
    </row>
    <row r="31" spans="2:20">
      <c r="N31" s="720" t="s">
        <v>31</v>
      </c>
    </row>
    <row r="33" spans="2:15">
      <c r="B33" s="438" t="s">
        <v>517</v>
      </c>
    </row>
    <row r="34" spans="2:15">
      <c r="B34" s="399" t="s">
        <v>777</v>
      </c>
      <c r="O34" s="438" t="s">
        <v>31</v>
      </c>
    </row>
    <row r="35" spans="2:15">
      <c r="B35" s="399"/>
    </row>
    <row r="36" spans="2:15">
      <c r="B36" s="370"/>
    </row>
    <row r="37" spans="2:15">
      <c r="B37" s="370"/>
    </row>
    <row r="38" spans="2:15">
      <c r="B38" s="370"/>
    </row>
    <row r="39" spans="2:15">
      <c r="B39" s="370"/>
    </row>
    <row r="40" spans="2:15">
      <c r="B40" s="370"/>
    </row>
    <row r="41" spans="2:15">
      <c r="B41" s="370"/>
    </row>
    <row r="42" spans="2:15">
      <c r="B42" s="370"/>
    </row>
    <row r="43" spans="2:15">
      <c r="B43" s="370"/>
    </row>
    <row r="44" spans="2:15">
      <c r="B44" s="370"/>
    </row>
    <row r="45" spans="2:15">
      <c r="B45" s="370"/>
    </row>
    <row r="46" spans="2:15">
      <c r="B46" s="370"/>
    </row>
    <row r="47" spans="2:15">
      <c r="B47" s="370"/>
    </row>
    <row r="49" spans="16:16">
      <c r="P49" s="720"/>
    </row>
  </sheetData>
  <phoneticPr fontId="0" type="noConversion"/>
  <printOptions horizontalCentered="1"/>
  <pageMargins left="0.5" right="0.5" top="0.5" bottom="0.5" header="0.5" footer="0.5"/>
  <pageSetup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V49"/>
  <sheetViews>
    <sheetView workbookViewId="0">
      <selection activeCell="B8" sqref="B8"/>
    </sheetView>
  </sheetViews>
  <sheetFormatPr defaultColWidth="8.5" defaultRowHeight="15"/>
  <cols>
    <col min="1" max="1" width="2" style="438" customWidth="1"/>
    <col min="2" max="2" width="8.5" style="438"/>
    <col min="3" max="3" width="8.5" style="438" hidden="1" customWidth="1"/>
    <col min="4" max="4" width="3.25" style="438" customWidth="1"/>
    <col min="5" max="5" width="10.75" style="438" bestFit="1" customWidth="1"/>
    <col min="6" max="6" width="3.75" style="438" customWidth="1"/>
    <col min="7" max="7" width="19.875" style="438" customWidth="1"/>
    <col min="8" max="8" width="3.5" style="438" customWidth="1"/>
    <col min="9" max="9" width="19.5" style="438" customWidth="1"/>
    <col min="10" max="10" width="2.875" style="438" customWidth="1"/>
    <col min="11" max="11" width="12.125" style="438" customWidth="1"/>
    <col min="12" max="12" width="3.5" style="925" customWidth="1"/>
    <col min="13" max="13" width="15.125" style="438" customWidth="1"/>
    <col min="14" max="14" width="12.25" style="438" customWidth="1"/>
    <col min="15" max="15" width="20.375" style="438" customWidth="1"/>
    <col min="16" max="16" width="2.5" style="438" customWidth="1"/>
    <col min="17" max="17" width="14.375" style="438" customWidth="1"/>
    <col min="18" max="18" width="10.375" style="438" bestFit="1" customWidth="1"/>
    <col min="19" max="19" width="7.375" style="438" customWidth="1"/>
    <col min="20" max="20" width="2.5" style="438" customWidth="1"/>
    <col min="21" max="16384" width="8.5" style="438"/>
  </cols>
  <sheetData>
    <row r="2" spans="1:22" ht="18.75">
      <c r="C2" s="638"/>
      <c r="D2" s="638"/>
      <c r="E2" s="638"/>
      <c r="F2" s="638"/>
      <c r="G2" s="638"/>
      <c r="H2" s="638"/>
      <c r="I2" s="638"/>
      <c r="J2" s="366" t="s">
        <v>31</v>
      </c>
      <c r="K2" s="405"/>
    </row>
    <row r="3" spans="1:22" ht="18.75">
      <c r="B3" s="367" t="s">
        <v>72</v>
      </c>
      <c r="C3" s="367"/>
      <c r="D3" s="367"/>
      <c r="E3" s="367"/>
      <c r="F3" s="367"/>
      <c r="G3" s="367"/>
      <c r="H3" s="367"/>
      <c r="I3" s="367"/>
      <c r="J3" s="367"/>
      <c r="K3" s="367"/>
    </row>
    <row r="4" spans="1:22" ht="18.75">
      <c r="B4" s="367" t="s">
        <v>508</v>
      </c>
      <c r="C4" s="367"/>
      <c r="D4" s="367"/>
      <c r="E4" s="367"/>
      <c r="F4" s="367"/>
      <c r="G4" s="367"/>
      <c r="H4" s="367"/>
      <c r="I4" s="367"/>
      <c r="J4" s="367"/>
      <c r="K4" s="367"/>
    </row>
    <row r="5" spans="1:22" ht="18.75">
      <c r="B5" s="367" t="s">
        <v>561</v>
      </c>
      <c r="C5" s="367"/>
      <c r="D5" s="367"/>
      <c r="E5" s="367"/>
      <c r="F5" s="367"/>
      <c r="G5" s="367"/>
      <c r="H5" s="367"/>
      <c r="I5" s="367"/>
      <c r="J5" s="367"/>
      <c r="K5" s="367"/>
    </row>
    <row r="6" spans="1:22" ht="18.75">
      <c r="B6" s="367" t="s">
        <v>624</v>
      </c>
      <c r="C6" s="367"/>
      <c r="D6" s="367"/>
      <c r="E6" s="367"/>
      <c r="F6" s="367"/>
      <c r="G6" s="367"/>
      <c r="H6" s="367"/>
      <c r="I6" s="367"/>
      <c r="J6" s="367"/>
      <c r="K6" s="367"/>
    </row>
    <row r="7" spans="1:22" ht="18.75">
      <c r="B7" s="367" t="s">
        <v>625</v>
      </c>
      <c r="C7" s="367"/>
      <c r="D7" s="367"/>
      <c r="E7" s="367"/>
      <c r="F7" s="367"/>
      <c r="G7" s="367"/>
      <c r="H7" s="367"/>
      <c r="I7" s="367"/>
      <c r="J7" s="367"/>
      <c r="K7" s="367"/>
      <c r="V7" s="438" t="s">
        <v>31</v>
      </c>
    </row>
    <row r="8" spans="1:22" ht="18.75">
      <c r="A8" s="409"/>
      <c r="B8" s="367" t="s">
        <v>31</v>
      </c>
      <c r="C8" s="367"/>
      <c r="D8" s="367"/>
      <c r="E8" s="367"/>
      <c r="F8" s="367"/>
      <c r="G8" s="367"/>
      <c r="H8" s="367"/>
      <c r="I8" s="367"/>
      <c r="J8" s="367"/>
      <c r="K8" s="367"/>
    </row>
    <row r="9" spans="1:22" ht="18.75">
      <c r="A9" s="409"/>
      <c r="B9" s="638"/>
      <c r="C9" s="638"/>
      <c r="D9" s="638"/>
      <c r="E9" s="638"/>
      <c r="F9" s="638"/>
      <c r="G9" s="638"/>
      <c r="H9" s="638"/>
      <c r="I9" s="638"/>
      <c r="J9" s="638"/>
    </row>
    <row r="11" spans="1:22">
      <c r="B11" s="926" t="s">
        <v>519</v>
      </c>
      <c r="G11" s="455" t="s">
        <v>520</v>
      </c>
      <c r="H11" s="455"/>
      <c r="I11" s="455"/>
    </row>
    <row r="12" spans="1:22" ht="15.75" thickBot="1">
      <c r="B12" s="927" t="s">
        <v>522</v>
      </c>
      <c r="C12" s="928" t="s">
        <v>523</v>
      </c>
      <c r="G12" s="638" t="s">
        <v>190</v>
      </c>
      <c r="I12" s="638" t="s">
        <v>296</v>
      </c>
      <c r="K12" s="638" t="s">
        <v>511</v>
      </c>
    </row>
    <row r="13" spans="1:22">
      <c r="B13" s="725" t="s">
        <v>394</v>
      </c>
      <c r="C13" s="406" t="s">
        <v>525</v>
      </c>
      <c r="D13" s="369"/>
      <c r="E13" s="790" t="s">
        <v>25</v>
      </c>
      <c r="F13" s="369"/>
      <c r="G13" s="455" t="s">
        <v>557</v>
      </c>
      <c r="I13" s="455" t="s">
        <v>558</v>
      </c>
      <c r="K13" s="929" t="s">
        <v>256</v>
      </c>
      <c r="M13" s="930" t="s">
        <v>512</v>
      </c>
      <c r="N13" s="931"/>
      <c r="O13" s="932"/>
      <c r="P13" s="933"/>
      <c r="Q13" s="933"/>
      <c r="R13" s="931" t="s">
        <v>513</v>
      </c>
      <c r="S13" s="932"/>
    </row>
    <row r="14" spans="1:22">
      <c r="G14" s="406"/>
      <c r="H14" s="369"/>
      <c r="I14" s="406"/>
      <c r="M14" s="726" t="s">
        <v>392</v>
      </c>
      <c r="N14" s="934"/>
      <c r="O14" s="935"/>
      <c r="P14" s="934"/>
      <c r="Q14" s="934"/>
      <c r="R14" s="934"/>
      <c r="S14" s="935"/>
    </row>
    <row r="15" spans="1:22">
      <c r="B15" s="936">
        <v>30000</v>
      </c>
      <c r="C15" s="438">
        <v>300</v>
      </c>
      <c r="E15" s="936">
        <f>ROUND((B$15*C15),0)</f>
        <v>9000000</v>
      </c>
      <c r="F15" s="936"/>
      <c r="G15" s="439">
        <f>ROUND($E15*N$18/100+$B$15*N$17+$B$15*O$16+N$16,2)+$R$24</f>
        <v>698776.5</v>
      </c>
      <c r="H15" s="439"/>
      <c r="I15" s="439">
        <f>ROUND($E15*R$18/100+$B$15*R$17+$B$15*S$16+R$16,2)+$R$25</f>
        <v>698563.5</v>
      </c>
      <c r="K15" s="716">
        <f>(I15-G15)/G15</f>
        <v>-3.048184934667952E-4</v>
      </c>
      <c r="M15" s="726" t="s">
        <v>31</v>
      </c>
      <c r="N15" s="937" t="str">
        <f>'Exhibit No.__(RMM-11) p1-8'!D1107</f>
        <v xml:space="preserve"> </v>
      </c>
      <c r="O15" s="938" t="s">
        <v>31</v>
      </c>
      <c r="P15" s="934"/>
      <c r="Q15" s="934" t="s">
        <v>31</v>
      </c>
      <c r="R15" s="937" t="s">
        <v>31</v>
      </c>
      <c r="S15" s="938" t="s">
        <v>31</v>
      </c>
    </row>
    <row r="16" spans="1:22">
      <c r="C16" s="438">
        <v>500</v>
      </c>
      <c r="E16" s="936">
        <f>ROUND((B$15*C16),0)</f>
        <v>15000000</v>
      </c>
      <c r="F16" s="936"/>
      <c r="G16" s="439">
        <f>ROUND($E16*N$18/100+$B$15*N$17+$B$15*O$16+N$16,2)+$R$24</f>
        <v>998956.5</v>
      </c>
      <c r="H16" s="439"/>
      <c r="I16" s="439">
        <f t="shared" ref="I16:I17" si="0">ROUND($E16*R$18/100+$B$15*R$17+$B$15*S$16+R$16,2)+$R$25</f>
        <v>998743.5</v>
      </c>
      <c r="K16" s="716">
        <f>(I16-G16)/G16</f>
        <v>-2.1322249767632525E-4</v>
      </c>
      <c r="M16" s="726" t="s">
        <v>622</v>
      </c>
      <c r="N16" s="937">
        <f>'Exhibit No.__(RMM-11) p1-8'!D1108</f>
        <v>2849</v>
      </c>
      <c r="O16" s="938">
        <f>'Exhibit No.__(RMM-11) p1-8'!D1111</f>
        <v>0.26</v>
      </c>
      <c r="P16" s="934"/>
      <c r="Q16" s="934" t="s">
        <v>622</v>
      </c>
      <c r="R16" s="937">
        <f>'Exhibit No.__(RMM-11) p1-8'!G1108</f>
        <v>2936</v>
      </c>
      <c r="S16" s="938">
        <f>'Exhibit No.__(RMM-11) p1-8'!G1111</f>
        <v>0.27</v>
      </c>
    </row>
    <row r="17" spans="2:21">
      <c r="C17" s="438">
        <v>700</v>
      </c>
      <c r="E17" s="936">
        <f>ROUND((B$15*C17),0)</f>
        <v>21000000</v>
      </c>
      <c r="F17" s="936"/>
      <c r="G17" s="439">
        <f>ROUND($E17*N$18/100+$B$15*N$17+$B$15*O$16+N$16,2)+$R$24</f>
        <v>1299136.5</v>
      </c>
      <c r="H17" s="439"/>
      <c r="I17" s="439">
        <f t="shared" si="0"/>
        <v>1298923.5</v>
      </c>
      <c r="K17" s="716">
        <f>(I17-G17)/G17</f>
        <v>-1.639550578403424E-4</v>
      </c>
      <c r="M17" s="726" t="s">
        <v>394</v>
      </c>
      <c r="N17" s="937">
        <f>'Exhibit No.__(RMM-11) p1-8'!D1112</f>
        <v>7.92</v>
      </c>
      <c r="O17" s="935"/>
      <c r="P17" s="934"/>
      <c r="Q17" s="934"/>
      <c r="R17" s="937">
        <f>'Exhibit No.__(RMM-11) p1-8'!G1112</f>
        <v>7.9</v>
      </c>
      <c r="S17" s="935"/>
      <c r="U17" s="939">
        <f>(R17-N17)/N17</f>
        <v>-2.5252525252524713E-3</v>
      </c>
    </row>
    <row r="18" spans="2:21">
      <c r="G18" s="439"/>
      <c r="H18" s="439"/>
      <c r="I18" s="439"/>
      <c r="K18" s="716"/>
      <c r="M18" s="726" t="s">
        <v>364</v>
      </c>
      <c r="N18" s="940">
        <f>'Exhibit No.__(RMM-11) p1-8'!D1114+R20+R27</f>
        <v>5.0030000000000001</v>
      </c>
      <c r="O18" s="935"/>
      <c r="P18" s="934"/>
      <c r="Q18" s="934"/>
      <c r="R18" s="940">
        <f>'Exhibit No.__(RMM-11) p1-8'!G1114+'Exhibit No.__(RMM-11) p1-8'!G1116+R21+R27</f>
        <v>5.0030000000000001</v>
      </c>
      <c r="S18" s="935"/>
      <c r="U18" s="939">
        <f>(R18-N18)/N18</f>
        <v>0</v>
      </c>
    </row>
    <row r="19" spans="2:21" ht="15.75" thickBot="1">
      <c r="B19" s="936">
        <v>40000</v>
      </c>
      <c r="C19" s="438">
        <v>300</v>
      </c>
      <c r="E19" s="936">
        <f>ROUND((B$19*C19),0)</f>
        <v>12000000</v>
      </c>
      <c r="F19" s="936"/>
      <c r="G19" s="439">
        <f>ROUND($E19*N$18/100+$B$19*N$17+$B$19*O$16+N$16,2)+$R$24</f>
        <v>930666.5</v>
      </c>
      <c r="H19" s="439"/>
      <c r="I19" s="439">
        <f>ROUND($E19*R$18/100+$B$19*R$17+$B$19*S$16+R$16,2)+$R$25</f>
        <v>930353.5</v>
      </c>
      <c r="K19" s="716">
        <f>(I19-G19)/G19</f>
        <v>-3.3631811180481947E-4</v>
      </c>
      <c r="M19" s="941" t="s">
        <v>31</v>
      </c>
      <c r="N19" s="942" t="s">
        <v>31</v>
      </c>
      <c r="O19" s="943"/>
      <c r="P19" s="944"/>
      <c r="Q19" s="944"/>
      <c r="R19" s="942" t="s">
        <v>31</v>
      </c>
      <c r="S19" s="943"/>
    </row>
    <row r="20" spans="2:21">
      <c r="C20" s="438">
        <v>500</v>
      </c>
      <c r="E20" s="936">
        <f>ROUND((B$19*C20),0)</f>
        <v>20000000</v>
      </c>
      <c r="F20" s="936"/>
      <c r="G20" s="439">
        <f t="shared" ref="G20:G21" si="1">ROUND($E20*N$18/100+$B$19*N$17+$B$19*O$16+N$16,2)+$R$24</f>
        <v>1330906.5</v>
      </c>
      <c r="H20" s="439"/>
      <c r="I20" s="439">
        <f t="shared" ref="I20:I21" si="2">ROUND($E20*R$18/100+$B$19*R$17+$B$19*S$16+R$16,2)+$R$25</f>
        <v>1330593.5</v>
      </c>
      <c r="K20" s="716">
        <f>(I20-G20)/G20</f>
        <v>-2.3517805345454396E-4</v>
      </c>
      <c r="O20" s="438" t="s">
        <v>193</v>
      </c>
      <c r="R20" s="945">
        <v>0.245</v>
      </c>
    </row>
    <row r="21" spans="2:21">
      <c r="C21" s="438">
        <v>700</v>
      </c>
      <c r="E21" s="936">
        <f>ROUND((B$19*C21),0)</f>
        <v>28000000</v>
      </c>
      <c r="F21" s="936"/>
      <c r="G21" s="439">
        <f t="shared" si="1"/>
        <v>1731146.5</v>
      </c>
      <c r="H21" s="439"/>
      <c r="I21" s="439">
        <f t="shared" si="2"/>
        <v>1730833.5</v>
      </c>
      <c r="K21" s="716">
        <f>(I21-G21)/G21</f>
        <v>-1.8080503296514768E-4</v>
      </c>
      <c r="R21" s="945">
        <v>0.245</v>
      </c>
    </row>
    <row r="22" spans="2:21">
      <c r="G22" s="439"/>
      <c r="H22" s="439"/>
      <c r="I22" s="439"/>
      <c r="K22" s="716"/>
      <c r="R22" s="946"/>
    </row>
    <row r="23" spans="2:21">
      <c r="B23" s="936">
        <v>50000</v>
      </c>
      <c r="C23" s="438">
        <v>300</v>
      </c>
      <c r="E23" s="936">
        <f>ROUND((B$23*C23),0)</f>
        <v>15000000</v>
      </c>
      <c r="F23" s="936"/>
      <c r="G23" s="439">
        <f>ROUND($E23*N$18/100+$B$23*N$17+$B$23*O$16+N$16,2)+$R$24</f>
        <v>1162556.5</v>
      </c>
      <c r="H23" s="439"/>
      <c r="I23" s="439">
        <f>ROUND($E23*R$18/100+$B$23*R$17+$B$23*S$16+R$16,2)+$R$25</f>
        <v>1162143.5</v>
      </c>
      <c r="K23" s="716">
        <f>(I23-G23)/G23</f>
        <v>-3.552515512149302E-4</v>
      </c>
      <c r="O23" s="438" t="s">
        <v>31</v>
      </c>
      <c r="P23" s="438" t="s">
        <v>31</v>
      </c>
      <c r="R23" s="438" t="s">
        <v>31</v>
      </c>
    </row>
    <row r="24" spans="2:21">
      <c r="C24" s="438">
        <v>500</v>
      </c>
      <c r="E24" s="936">
        <f>ROUND((B$23*C24),0)</f>
        <v>25000000</v>
      </c>
      <c r="F24" s="936"/>
      <c r="G24" s="439">
        <f t="shared" ref="G24:G25" si="3">ROUND($E24*N$18/100+$B$23*N$17+$B$23*O$16+N$16,2)+$R$24</f>
        <v>1662856.5</v>
      </c>
      <c r="H24" s="439"/>
      <c r="I24" s="439">
        <f t="shared" ref="I24:I25" si="4">ROUND($E24*R$18/100+$B$23*R$17+$B$23*S$16+R$16,2)+$R$25</f>
        <v>1662443.5</v>
      </c>
      <c r="K24" s="716">
        <f>(I24-G24)/G24</f>
        <v>-2.4836779361297865E-4</v>
      </c>
      <c r="O24" s="438" t="s">
        <v>615</v>
      </c>
      <c r="R24" s="947">
        <v>257.5</v>
      </c>
      <c r="S24" s="438" t="s">
        <v>31</v>
      </c>
    </row>
    <row r="25" spans="2:21">
      <c r="C25" s="438">
        <v>700</v>
      </c>
      <c r="E25" s="936">
        <f>ROUND((B$23*C25),0)</f>
        <v>35000000</v>
      </c>
      <c r="F25" s="936"/>
      <c r="G25" s="439">
        <f t="shared" si="3"/>
        <v>2163156.5</v>
      </c>
      <c r="H25" s="439"/>
      <c r="I25" s="439">
        <f t="shared" si="4"/>
        <v>2162743.5</v>
      </c>
      <c r="K25" s="716">
        <f>(I25-G25)/G25</f>
        <v>-1.909246973115445E-4</v>
      </c>
      <c r="O25" s="438" t="s">
        <v>614</v>
      </c>
      <c r="P25" s="948"/>
      <c r="Q25" s="948"/>
      <c r="R25" s="947">
        <f>R24</f>
        <v>257.5</v>
      </c>
    </row>
    <row r="26" spans="2:21">
      <c r="G26" s="439"/>
      <c r="H26" s="439"/>
      <c r="I26" s="439"/>
      <c r="K26" s="716"/>
    </row>
    <row r="27" spans="2:21">
      <c r="B27" s="936">
        <v>60000</v>
      </c>
      <c r="C27" s="438">
        <v>300</v>
      </c>
      <c r="E27" s="936">
        <f>ROUND((B$27*C27),0)</f>
        <v>18000000</v>
      </c>
      <c r="F27" s="936"/>
      <c r="G27" s="439">
        <f>ROUND($E27*N$18/100+$B$27*N$17+$B$27*O$16+N$16,2)+$R$24</f>
        <v>1394446.5</v>
      </c>
      <c r="H27" s="439"/>
      <c r="I27" s="439">
        <f>ROUND($E27*R$18/100+$B$27*R$17+$B$27*S$16+R$16,2)+$R$25</f>
        <v>1393933.5</v>
      </c>
      <c r="K27" s="716">
        <f>(I27-G27)/G27</f>
        <v>-3.6788790391026116E-4</v>
      </c>
      <c r="O27" s="438" t="s">
        <v>302</v>
      </c>
      <c r="R27" s="438">
        <v>0</v>
      </c>
    </row>
    <row r="28" spans="2:21">
      <c r="C28" s="438">
        <v>500</v>
      </c>
      <c r="E28" s="936">
        <f>ROUND((B$27*C28),0)</f>
        <v>30000000</v>
      </c>
      <c r="F28" s="936"/>
      <c r="G28" s="439">
        <f t="shared" ref="G28:G29" si="5">ROUND($E28*N$18/100+$B$27*N$17+$B$27*O$16+N$16,2)+$R$24</f>
        <v>1994806.5</v>
      </c>
      <c r="H28" s="439"/>
      <c r="I28" s="439">
        <f t="shared" ref="I28:I29" si="6">ROUND($E28*R$18/100+$B$27*R$17+$B$27*S$16+R$16,2)+$R$25</f>
        <v>1994293.5</v>
      </c>
      <c r="K28" s="716">
        <f>(I28-G28)/G28</f>
        <v>-2.5716780048591181E-4</v>
      </c>
    </row>
    <row r="29" spans="2:21">
      <c r="C29" s="438">
        <v>700</v>
      </c>
      <c r="E29" s="936">
        <f>ROUND((B$27*C29),0)</f>
        <v>42000000</v>
      </c>
      <c r="F29" s="936"/>
      <c r="G29" s="439">
        <f t="shared" si="5"/>
        <v>2595166.5</v>
      </c>
      <c r="H29" s="439"/>
      <c r="I29" s="439">
        <f t="shared" si="6"/>
        <v>2594653.5</v>
      </c>
      <c r="K29" s="716">
        <f>(I29-G29)/G29</f>
        <v>-1.976751780666096E-4</v>
      </c>
    </row>
    <row r="30" spans="2:21">
      <c r="B30" s="949"/>
      <c r="C30" s="949"/>
      <c r="D30" s="949"/>
      <c r="E30" s="949"/>
      <c r="F30" s="949"/>
      <c r="G30" s="949"/>
      <c r="H30" s="949"/>
      <c r="I30" s="949"/>
      <c r="J30" s="949"/>
      <c r="K30" s="949"/>
      <c r="M30" s="719" t="s">
        <v>786</v>
      </c>
      <c r="N30" s="925">
        <f ca="1">'Exhibit No.__(RMM-10)'!Q28</f>
        <v>-2.6778198747832208E-5</v>
      </c>
    </row>
    <row r="31" spans="2:21">
      <c r="N31" s="720" t="s">
        <v>31</v>
      </c>
    </row>
    <row r="32" spans="2:21">
      <c r="O32" s="438" t="s">
        <v>31</v>
      </c>
    </row>
    <row r="33" spans="2:11">
      <c r="B33" s="438" t="s">
        <v>517</v>
      </c>
    </row>
    <row r="34" spans="2:11">
      <c r="B34" s="399" t="s">
        <v>777</v>
      </c>
    </row>
    <row r="35" spans="2:11">
      <c r="B35" s="399"/>
    </row>
    <row r="36" spans="2:11">
      <c r="B36" s="370"/>
    </row>
    <row r="37" spans="2:11">
      <c r="B37" s="370"/>
    </row>
    <row r="38" spans="2:11">
      <c r="B38" s="370"/>
    </row>
    <row r="39" spans="2:11">
      <c r="B39" s="370"/>
    </row>
    <row r="40" spans="2:11">
      <c r="B40" s="370"/>
    </row>
    <row r="41" spans="2:11">
      <c r="B41" s="370"/>
    </row>
    <row r="42" spans="2:11">
      <c r="B42" s="370"/>
    </row>
    <row r="43" spans="2:11">
      <c r="B43" s="370"/>
      <c r="K43" s="438" t="s">
        <v>31</v>
      </c>
    </row>
    <row r="44" spans="2:11">
      <c r="B44" s="370"/>
    </row>
    <row r="45" spans="2:11">
      <c r="B45" s="370"/>
    </row>
    <row r="46" spans="2:11">
      <c r="B46" s="370"/>
    </row>
    <row r="47" spans="2:11">
      <c r="B47" s="370"/>
    </row>
    <row r="49" spans="16:17">
      <c r="P49" s="720"/>
      <c r="Q49" s="720"/>
    </row>
  </sheetData>
  <phoneticPr fontId="0" type="noConversion"/>
  <printOptions horizontalCentered="1"/>
  <pageMargins left="0.5" right="0.5" top="0.5" bottom="0.5" header="0.5" footer="0.5"/>
  <pageSetup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8" sqref="B8"/>
    </sheetView>
  </sheetViews>
  <sheetFormatPr defaultRowHeight="15.75"/>
  <cols>
    <col min="1" max="16384" width="9" style="4"/>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1:AD38"/>
  <sheetViews>
    <sheetView workbookViewId="0">
      <selection activeCell="B8" sqref="B8"/>
    </sheetView>
  </sheetViews>
  <sheetFormatPr defaultColWidth="9.625" defaultRowHeight="15.75"/>
  <cols>
    <col min="1" max="1" width="9.625" style="4" customWidth="1"/>
    <col min="2" max="2" width="14.5" style="4" customWidth="1"/>
    <col min="3" max="3" width="14.75" style="4" customWidth="1"/>
    <col min="4" max="4" width="17" style="4" customWidth="1"/>
    <col min="5" max="5" width="13.5" style="4" customWidth="1"/>
    <col min="6" max="6" width="15.875" style="4" customWidth="1"/>
    <col min="7" max="7" width="12.625" style="4" customWidth="1"/>
    <col min="8" max="8" width="9.625" style="4"/>
    <col min="9" max="11" width="15.625" style="4" customWidth="1"/>
    <col min="12" max="16384" width="9.625" style="4"/>
  </cols>
  <sheetData>
    <row r="1" spans="2:30">
      <c r="B1" s="305"/>
      <c r="C1" s="305"/>
      <c r="D1" s="305"/>
      <c r="E1" s="305"/>
      <c r="F1" s="305"/>
      <c r="G1" s="305" t="s">
        <v>88</v>
      </c>
      <c r="H1" s="305"/>
      <c r="I1" s="305"/>
      <c r="J1" s="305"/>
    </row>
    <row r="2" spans="2:30">
      <c r="B2" s="305"/>
      <c r="C2" s="305"/>
      <c r="D2" s="305"/>
      <c r="E2" s="305"/>
      <c r="F2" s="305"/>
      <c r="G2" s="305" t="s">
        <v>81</v>
      </c>
      <c r="H2" s="305"/>
      <c r="I2" s="305"/>
      <c r="J2" s="305"/>
    </row>
    <row r="3" spans="2:30" ht="23.25">
      <c r="B3" s="497" t="s">
        <v>717</v>
      </c>
      <c r="C3" s="498"/>
      <c r="D3" s="498"/>
      <c r="E3" s="498"/>
      <c r="F3" s="458"/>
      <c r="G3" s="305"/>
      <c r="H3" s="305"/>
      <c r="I3" s="305"/>
      <c r="J3" s="305"/>
    </row>
    <row r="4" spans="2:30" ht="23.25">
      <c r="B4" s="497" t="s">
        <v>47</v>
      </c>
      <c r="C4" s="498"/>
      <c r="D4" s="498"/>
      <c r="E4" s="498"/>
      <c r="F4" s="458"/>
      <c r="G4" s="305"/>
      <c r="H4" s="305"/>
      <c r="I4" s="305"/>
      <c r="J4" s="305"/>
    </row>
    <row r="5" spans="2:30" ht="23.25">
      <c r="B5" s="497" t="s">
        <v>2</v>
      </c>
      <c r="C5" s="498"/>
      <c r="D5" s="498"/>
      <c r="E5" s="498"/>
      <c r="F5" s="458"/>
      <c r="G5" s="305"/>
      <c r="H5" s="305"/>
      <c r="I5" s="305"/>
      <c r="J5" s="305"/>
    </row>
    <row r="6" spans="2:30" ht="23.25">
      <c r="B6" s="497" t="str">
        <f>'305 Inputs'!B4</f>
        <v>12 Months Ended June 2019</v>
      </c>
      <c r="C6" s="498"/>
      <c r="D6" s="498"/>
      <c r="E6" s="498"/>
      <c r="F6" s="458"/>
      <c r="G6" s="305"/>
      <c r="H6" s="305"/>
      <c r="I6" s="305"/>
      <c r="J6" s="305"/>
    </row>
    <row r="8" spans="2:30" ht="22.5">
      <c r="B8" s="49" t="s">
        <v>162</v>
      </c>
      <c r="C8" s="499"/>
      <c r="D8" s="499"/>
      <c r="E8" s="499"/>
      <c r="F8" s="499"/>
    </row>
    <row r="10" spans="2:30">
      <c r="B10" s="305"/>
      <c r="C10" s="305"/>
      <c r="D10" s="460" t="s">
        <v>3</v>
      </c>
      <c r="E10" s="460" t="s">
        <v>4</v>
      </c>
      <c r="F10" s="460" t="s">
        <v>5</v>
      </c>
      <c r="G10" s="305"/>
      <c r="H10" s="305"/>
      <c r="I10" s="305"/>
      <c r="J10" s="305"/>
    </row>
    <row r="11" spans="2:30">
      <c r="B11" s="305"/>
      <c r="C11" s="305"/>
      <c r="D11" s="458"/>
      <c r="E11" s="458"/>
      <c r="F11" s="458"/>
      <c r="G11" s="458"/>
      <c r="H11" s="458"/>
      <c r="I11" s="305"/>
      <c r="J11" s="305"/>
    </row>
    <row r="12" spans="2:30">
      <c r="B12" s="305"/>
      <c r="C12" s="305"/>
      <c r="D12" s="461"/>
      <c r="E12" s="500" t="s">
        <v>31</v>
      </c>
      <c r="F12" s="461" t="s">
        <v>31</v>
      </c>
      <c r="G12" s="305"/>
      <c r="H12" s="305"/>
      <c r="I12" s="305"/>
      <c r="J12" s="305"/>
    </row>
    <row r="13" spans="2:30">
      <c r="B13" s="305"/>
      <c r="C13" s="305"/>
      <c r="D13" s="466" t="s">
        <v>9</v>
      </c>
      <c r="E13" s="72" t="s">
        <v>9</v>
      </c>
      <c r="F13" s="467" t="s">
        <v>9</v>
      </c>
      <c r="G13" s="305"/>
      <c r="H13" s="305"/>
      <c r="I13" s="305"/>
      <c r="J13" s="460"/>
    </row>
    <row r="14" spans="2:30" ht="18.75">
      <c r="B14" s="305"/>
      <c r="C14" s="305"/>
      <c r="D14" s="466" t="s">
        <v>81</v>
      </c>
      <c r="E14" s="72" t="s">
        <v>169</v>
      </c>
      <c r="F14" s="467" t="s">
        <v>14</v>
      </c>
      <c r="G14" s="305"/>
      <c r="H14" s="305"/>
      <c r="I14" s="305"/>
      <c r="J14" s="305"/>
    </row>
    <row r="15" spans="2:30">
      <c r="B15" s="305"/>
      <c r="C15" s="305"/>
      <c r="D15" s="471"/>
      <c r="E15" s="471" t="s">
        <v>81</v>
      </c>
      <c r="F15" s="501" t="s">
        <v>162</v>
      </c>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2:30" ht="34.9" customHeight="1">
      <c r="B16" s="473" t="s">
        <v>17</v>
      </c>
      <c r="C16" s="474"/>
      <c r="D16" s="502">
        <f>'Table 2'!G38</f>
        <v>1608219052</v>
      </c>
      <c r="E16" s="503">
        <f>'Table 2'!K38</f>
        <v>-60426968.630040124</v>
      </c>
      <c r="F16" s="504">
        <f t="shared" ref="F16:F20" si="0">D16+E16</f>
        <v>1547792083.3699598</v>
      </c>
      <c r="G16" s="61"/>
      <c r="H16" s="305"/>
      <c r="I16" s="490"/>
      <c r="J16" s="61"/>
      <c r="K16" s="305"/>
      <c r="L16" s="305"/>
      <c r="M16" s="305"/>
      <c r="N16" s="305"/>
      <c r="O16" s="305"/>
      <c r="P16" s="305"/>
      <c r="Q16" s="305"/>
      <c r="R16" s="305"/>
      <c r="S16" s="305"/>
      <c r="T16" s="305"/>
      <c r="U16" s="305"/>
      <c r="V16" s="305"/>
      <c r="W16" s="305"/>
      <c r="X16" s="305"/>
      <c r="Y16" s="305"/>
      <c r="Z16" s="305"/>
      <c r="AA16" s="305"/>
      <c r="AB16" s="305"/>
      <c r="AC16" s="305"/>
      <c r="AD16" s="305"/>
    </row>
    <row r="17" spans="2:30" ht="34.9" customHeight="1">
      <c r="B17" s="476" t="s">
        <v>18</v>
      </c>
      <c r="C17" s="477"/>
      <c r="D17" s="504">
        <f ca="1">'Table 2'!G69</f>
        <v>1573280974</v>
      </c>
      <c r="E17" s="503">
        <f>'Table 2'!K69</f>
        <v>-13671621.495539933</v>
      </c>
      <c r="F17" s="504">
        <f t="shared" ca="1" si="0"/>
        <v>1559609352.5044601</v>
      </c>
      <c r="G17" s="61"/>
      <c r="H17" s="305"/>
      <c r="I17" s="490"/>
      <c r="J17" s="61"/>
      <c r="K17" s="305"/>
      <c r="L17" s="305"/>
      <c r="M17" s="305"/>
      <c r="N17" s="305"/>
      <c r="O17" s="305"/>
      <c r="P17" s="305"/>
      <c r="Q17" s="305"/>
      <c r="R17" s="305"/>
      <c r="S17" s="305"/>
      <c r="T17" s="305"/>
      <c r="U17" s="305"/>
      <c r="V17" s="305"/>
      <c r="W17" s="305"/>
      <c r="X17" s="305"/>
      <c r="Y17" s="305"/>
      <c r="Z17" s="305"/>
      <c r="AA17" s="305"/>
      <c r="AB17" s="305"/>
      <c r="AC17" s="305"/>
      <c r="AD17" s="305">
        <v>4.8740385218734944E-2</v>
      </c>
    </row>
    <row r="18" spans="2:30" ht="34.9" customHeight="1">
      <c r="B18" s="476" t="s">
        <v>30</v>
      </c>
      <c r="C18" s="477"/>
      <c r="D18" s="504">
        <f ca="1">'Table 2'!G100</f>
        <v>749630726</v>
      </c>
      <c r="E18" s="503">
        <f ca="1">'Table 2'!K100</f>
        <v>136255</v>
      </c>
      <c r="F18" s="504">
        <f t="shared" ca="1" si="0"/>
        <v>749766981</v>
      </c>
      <c r="G18" s="61"/>
      <c r="H18" s="305"/>
      <c r="I18" s="490"/>
      <c r="J18" s="61"/>
      <c r="K18" s="305"/>
      <c r="L18" s="305"/>
      <c r="M18" s="305"/>
      <c r="N18" s="305"/>
      <c r="O18" s="305"/>
      <c r="P18" s="305"/>
      <c r="Q18" s="305"/>
      <c r="R18" s="305"/>
      <c r="S18" s="305"/>
      <c r="T18" s="305"/>
      <c r="U18" s="305"/>
      <c r="V18" s="305"/>
      <c r="W18" s="305"/>
      <c r="X18" s="305"/>
      <c r="Y18" s="305"/>
      <c r="Z18" s="305"/>
      <c r="AA18" s="305"/>
      <c r="AB18" s="305"/>
      <c r="AC18" s="305"/>
      <c r="AD18" s="305"/>
    </row>
    <row r="19" spans="2:30" ht="34.9" customHeight="1">
      <c r="B19" s="476" t="s">
        <v>197</v>
      </c>
      <c r="C19" s="477"/>
      <c r="D19" s="504">
        <f ca="1">'Table 2'!G122</f>
        <v>167243151</v>
      </c>
      <c r="E19" s="503">
        <f ca="1">'Table 2'!K122</f>
        <v>-2447353.1598000005</v>
      </c>
      <c r="F19" s="504">
        <f t="shared" ca="1" si="0"/>
        <v>164795797.84020001</v>
      </c>
      <c r="G19" s="305"/>
      <c r="H19" s="305"/>
      <c r="I19" s="490"/>
      <c r="J19" s="61"/>
      <c r="K19" s="305"/>
      <c r="L19" s="305"/>
      <c r="M19" s="305"/>
      <c r="N19" s="305"/>
      <c r="O19" s="305"/>
      <c r="P19" s="305"/>
      <c r="Q19" s="305"/>
      <c r="R19" s="305"/>
      <c r="S19" s="305"/>
      <c r="T19" s="305"/>
      <c r="U19" s="305"/>
      <c r="V19" s="305"/>
      <c r="W19" s="305"/>
      <c r="X19" s="305"/>
      <c r="Y19" s="305"/>
      <c r="Z19" s="305"/>
      <c r="AA19" s="305"/>
      <c r="AB19" s="305"/>
      <c r="AC19" s="305"/>
      <c r="AD19" s="305"/>
    </row>
    <row r="20" spans="2:30" ht="34.9" customHeight="1">
      <c r="B20" s="505" t="s">
        <v>19</v>
      </c>
      <c r="C20" s="506"/>
      <c r="D20" s="507">
        <f ca="1">'Table 2'!G142</f>
        <v>9126707</v>
      </c>
      <c r="E20" s="508">
        <f ca="1">'Table 2'!K142</f>
        <v>42704.379941093735</v>
      </c>
      <c r="F20" s="507">
        <f t="shared" ca="1" si="0"/>
        <v>9169411.3799410947</v>
      </c>
      <c r="G20" s="305"/>
      <c r="H20" s="305"/>
      <c r="I20" s="490"/>
      <c r="J20" s="61"/>
      <c r="K20" s="305"/>
      <c r="L20" s="305"/>
      <c r="M20" s="305"/>
      <c r="N20" s="305"/>
      <c r="O20" s="305"/>
      <c r="P20" s="305"/>
      <c r="Q20" s="305"/>
      <c r="R20" s="305"/>
      <c r="S20" s="305"/>
      <c r="T20" s="305"/>
      <c r="U20" s="305"/>
      <c r="V20" s="305"/>
      <c r="W20" s="305"/>
      <c r="X20" s="305"/>
      <c r="Y20" s="305"/>
      <c r="Z20" s="305"/>
      <c r="AA20" s="305"/>
      <c r="AB20" s="305"/>
      <c r="AC20" s="305"/>
      <c r="AD20" s="305"/>
    </row>
    <row r="21" spans="2:30" ht="34.9" customHeight="1" thickBot="1">
      <c r="B21" s="487" t="s">
        <v>77</v>
      </c>
      <c r="C21" s="488"/>
      <c r="D21" s="509">
        <f ca="1">SUM(D16:D20)</f>
        <v>4107500610</v>
      </c>
      <c r="E21" s="509">
        <f ca="1">SUM(E16:E20)</f>
        <v>-76366983.905438974</v>
      </c>
      <c r="F21" s="509">
        <f ca="1">SUM(F16:F20)</f>
        <v>4031133626.0945611</v>
      </c>
      <c r="G21" s="305"/>
      <c r="H21" s="305"/>
      <c r="I21" s="490"/>
      <c r="J21" s="61"/>
      <c r="K21" s="305"/>
      <c r="L21" s="305"/>
      <c r="M21" s="305"/>
      <c r="N21" s="305"/>
      <c r="O21" s="305"/>
      <c r="P21" s="305"/>
      <c r="Q21" s="305"/>
      <c r="R21" s="305"/>
      <c r="S21" s="305"/>
      <c r="T21" s="305"/>
      <c r="U21" s="305"/>
      <c r="V21" s="305"/>
      <c r="W21" s="305"/>
      <c r="X21" s="305"/>
      <c r="Y21" s="305"/>
      <c r="Z21" s="305"/>
      <c r="AA21" s="305"/>
      <c r="AB21" s="305"/>
      <c r="AC21" s="305"/>
      <c r="AD21" s="305"/>
    </row>
    <row r="22" spans="2:30" ht="16.5" hidden="1" thickTop="1">
      <c r="B22" s="476" t="s">
        <v>92</v>
      </c>
      <c r="C22" s="477"/>
      <c r="D22" s="504"/>
      <c r="E22" s="510"/>
      <c r="F22" s="504"/>
      <c r="G22" s="305"/>
      <c r="H22" s="305"/>
      <c r="I22" s="490"/>
      <c r="J22" s="61"/>
      <c r="K22" s="305"/>
      <c r="L22" s="305"/>
      <c r="M22" s="305"/>
      <c r="N22" s="305"/>
      <c r="O22" s="305"/>
      <c r="P22" s="305"/>
      <c r="Q22" s="305"/>
      <c r="R22" s="305"/>
      <c r="S22" s="305"/>
      <c r="T22" s="305"/>
      <c r="U22" s="305"/>
      <c r="V22" s="305"/>
      <c r="W22" s="305"/>
      <c r="X22" s="305"/>
      <c r="Y22" s="305"/>
      <c r="Z22" s="305"/>
      <c r="AA22" s="305"/>
      <c r="AB22" s="305"/>
      <c r="AC22" s="305"/>
      <c r="AD22" s="305"/>
    </row>
    <row r="23" spans="2:30" ht="34.9" hidden="1" customHeight="1">
      <c r="B23" s="476" t="s">
        <v>89</v>
      </c>
      <c r="C23" s="477"/>
      <c r="D23" s="504">
        <v>0</v>
      </c>
      <c r="E23" s="503">
        <v>0</v>
      </c>
      <c r="F23" s="504">
        <f>D23+E23</f>
        <v>0</v>
      </c>
      <c r="G23" s="305"/>
      <c r="H23" s="305"/>
      <c r="I23" s="490"/>
      <c r="J23" s="61"/>
      <c r="K23" s="305"/>
      <c r="L23" s="305"/>
      <c r="M23" s="305"/>
      <c r="N23" s="305"/>
      <c r="O23" s="305"/>
      <c r="P23" s="305"/>
      <c r="Q23" s="305"/>
      <c r="R23" s="305"/>
      <c r="S23" s="305"/>
      <c r="T23" s="305"/>
      <c r="U23" s="305"/>
      <c r="V23" s="305"/>
      <c r="W23" s="305"/>
      <c r="X23" s="305"/>
      <c r="Y23" s="305"/>
      <c r="Z23" s="305"/>
      <c r="AA23" s="305"/>
      <c r="AB23" s="305"/>
      <c r="AC23" s="305"/>
      <c r="AD23" s="305"/>
    </row>
    <row r="24" spans="2:30" ht="34.9" hidden="1" customHeight="1" thickBot="1">
      <c r="B24" s="511" t="s">
        <v>90</v>
      </c>
      <c r="C24" s="512"/>
      <c r="D24" s="513">
        <v>0</v>
      </c>
      <c r="E24" s="514">
        <v>0</v>
      </c>
      <c r="F24" s="513">
        <f>D24+E24</f>
        <v>0</v>
      </c>
      <c r="G24" s="305"/>
      <c r="H24" s="305"/>
      <c r="I24" s="490"/>
      <c r="J24" s="61"/>
      <c r="K24" s="305"/>
      <c r="L24" s="305"/>
      <c r="M24" s="305"/>
      <c r="N24" s="305"/>
      <c r="O24" s="305"/>
      <c r="P24" s="305"/>
      <c r="Q24" s="305"/>
      <c r="R24" s="305"/>
      <c r="S24" s="305"/>
      <c r="T24" s="305"/>
      <c r="U24" s="305"/>
      <c r="V24" s="305"/>
      <c r="W24" s="305"/>
      <c r="X24" s="305"/>
      <c r="Y24" s="305"/>
      <c r="Z24" s="305"/>
      <c r="AA24" s="305"/>
      <c r="AB24" s="305"/>
      <c r="AC24" s="305"/>
      <c r="AD24" s="305"/>
    </row>
    <row r="25" spans="2:30" ht="34.9" hidden="1" customHeight="1" thickTop="1">
      <c r="B25" s="476" t="s">
        <v>91</v>
      </c>
      <c r="C25" s="477"/>
      <c r="D25" s="504">
        <f ca="1">SUM(D21:D24)</f>
        <v>4107500610</v>
      </c>
      <c r="E25" s="510">
        <f ca="1">SUM(E21:E24)</f>
        <v>-76366983.905438974</v>
      </c>
      <c r="F25" s="504">
        <f ca="1">SUM(F21:F24)</f>
        <v>4031133626.0945611</v>
      </c>
      <c r="G25" s="305"/>
      <c r="H25" s="305"/>
      <c r="I25" s="490"/>
      <c r="J25" s="61"/>
      <c r="K25" s="305"/>
      <c r="L25" s="305"/>
      <c r="M25" s="305"/>
      <c r="N25" s="305"/>
      <c r="O25" s="305"/>
      <c r="P25" s="305"/>
      <c r="Q25" s="305"/>
      <c r="R25" s="305"/>
      <c r="S25" s="305"/>
      <c r="T25" s="305"/>
      <c r="U25" s="305"/>
      <c r="V25" s="305"/>
      <c r="W25" s="305"/>
      <c r="X25" s="305"/>
      <c r="Y25" s="305"/>
      <c r="Z25" s="305"/>
      <c r="AA25" s="305"/>
      <c r="AB25" s="305"/>
      <c r="AC25" s="305"/>
      <c r="AD25" s="305"/>
    </row>
    <row r="26" spans="2:30" ht="16.5" thickTop="1">
      <c r="B26" s="478"/>
      <c r="C26" s="479"/>
      <c r="D26" s="73"/>
      <c r="E26" s="72"/>
      <c r="F26" s="72"/>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2:30">
      <c r="B27" s="478" t="s">
        <v>21</v>
      </c>
      <c r="C27" s="479"/>
      <c r="D27" s="73" t="s">
        <v>163</v>
      </c>
      <c r="E27" s="72" t="s">
        <v>98</v>
      </c>
      <c r="F27" s="72" t="s">
        <v>662</v>
      </c>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2:30" ht="15" customHeight="1">
      <c r="B28" s="478"/>
      <c r="C28" s="479"/>
      <c r="D28" s="73"/>
      <c r="E28" s="72" t="s">
        <v>31</v>
      </c>
      <c r="F28" s="72"/>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2:30" ht="16.5" customHeight="1">
      <c r="B29" s="476"/>
      <c r="C29" s="477"/>
      <c r="D29" s="74"/>
      <c r="E29" s="74" t="s">
        <v>31</v>
      </c>
      <c r="F29" s="74"/>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2:30">
      <c r="B30" s="423"/>
    </row>
    <row r="31" spans="2:30">
      <c r="B31" s="423"/>
    </row>
    <row r="32" spans="2:30" ht="18" customHeight="1">
      <c r="B32" s="43" t="s">
        <v>919</v>
      </c>
      <c r="C32" s="305"/>
      <c r="D32" s="305"/>
      <c r="E32" s="305"/>
      <c r="F32" s="305"/>
    </row>
    <row r="33" spans="2:9">
      <c r="B33" s="515" t="s">
        <v>918</v>
      </c>
      <c r="F33" s="419"/>
    </row>
    <row r="34" spans="2:9">
      <c r="B34" s="456"/>
    </row>
    <row r="35" spans="2:9" ht="18" customHeight="1">
      <c r="B35" s="516" t="s">
        <v>31</v>
      </c>
      <c r="C35" s="305"/>
      <c r="D35" s="305"/>
      <c r="E35" s="305"/>
      <c r="F35" s="305"/>
    </row>
    <row r="36" spans="2:9" ht="18" customHeight="1">
      <c r="B36" s="516" t="s">
        <v>31</v>
      </c>
      <c r="C36" s="305"/>
      <c r="D36" s="305"/>
      <c r="E36" s="305"/>
      <c r="F36" s="305"/>
      <c r="I36" s="4" t="s">
        <v>31</v>
      </c>
    </row>
    <row r="37" spans="2:9" ht="18" customHeight="1">
      <c r="B37" s="458"/>
      <c r="C37" s="305"/>
      <c r="D37" s="305"/>
      <c r="E37" s="305"/>
      <c r="F37" s="305"/>
    </row>
    <row r="38" spans="2:9">
      <c r="B38" s="305"/>
      <c r="C38" s="305"/>
      <c r="D38" s="494"/>
      <c r="E38" s="305"/>
      <c r="F38" s="305"/>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AD65"/>
  <sheetViews>
    <sheetView topLeftCell="B1" workbookViewId="0">
      <selection activeCell="B8" sqref="B8"/>
    </sheetView>
  </sheetViews>
  <sheetFormatPr defaultColWidth="10.25" defaultRowHeight="15.75"/>
  <cols>
    <col min="1" max="1" width="0" style="639" hidden="1" customWidth="1"/>
    <col min="2" max="2" width="4.625" style="639" customWidth="1"/>
    <col min="3" max="3" width="2.125" style="639" customWidth="1"/>
    <col min="4" max="4" width="35.875" style="639" customWidth="1"/>
    <col min="5" max="5" width="2.125" style="639" customWidth="1"/>
    <col min="6" max="6" width="5.625" style="639" bestFit="1" customWidth="1"/>
    <col min="7" max="7" width="2.125" style="639" customWidth="1"/>
    <col min="8" max="8" width="9.25" style="639" hidden="1" customWidth="1"/>
    <col min="9" max="9" width="9.75" style="639" bestFit="1" customWidth="1"/>
    <col min="10" max="10" width="2" style="639" customWidth="1"/>
    <col min="11" max="11" width="11" style="639" hidden="1" customWidth="1"/>
    <col min="12" max="12" width="12" style="639" bestFit="1" customWidth="1"/>
    <col min="13" max="13" width="2.125" style="639" customWidth="1"/>
    <col min="14" max="14" width="10.25" style="639" hidden="1" customWidth="1"/>
    <col min="15" max="15" width="11.375" style="639" customWidth="1"/>
    <col min="16" max="16" width="3.75" style="639" customWidth="1"/>
    <col min="17" max="17" width="17" style="639" customWidth="1"/>
    <col min="18" max="18" width="2.25" style="639" hidden="1" customWidth="1"/>
    <col min="19" max="19" width="1.5" style="639" hidden="1" customWidth="1"/>
    <col min="20" max="20" width="3" style="639" customWidth="1"/>
    <col min="21" max="21" width="16.125" style="639" customWidth="1"/>
    <col min="22" max="22" width="11.375" style="639" customWidth="1"/>
    <col min="23" max="23" width="3.5" style="639" customWidth="1"/>
    <col min="24" max="24" width="8.25" style="639" customWidth="1"/>
    <col min="25" max="25" width="3.125" style="639" customWidth="1"/>
    <col min="26" max="26" width="9" style="639" bestFit="1" customWidth="1"/>
    <col min="27" max="27" width="0.125" style="639" hidden="1" customWidth="1"/>
    <col min="28" max="28" width="10.25" style="639" customWidth="1"/>
    <col min="29" max="29" width="13.5" style="639" bestFit="1" customWidth="1"/>
    <col min="30" max="16384" width="10.25" style="639"/>
  </cols>
  <sheetData>
    <row r="1" spans="2:30">
      <c r="Q1" s="639" t="s">
        <v>31</v>
      </c>
    </row>
    <row r="2" spans="2:30">
      <c r="B2" s="120" t="s">
        <v>607</v>
      </c>
      <c r="C2" s="120"/>
      <c r="D2" s="120"/>
      <c r="E2" s="120"/>
      <c r="F2" s="120"/>
      <c r="G2" s="120"/>
      <c r="H2" s="120"/>
      <c r="I2" s="120"/>
      <c r="J2" s="120"/>
      <c r="K2" s="120"/>
      <c r="L2" s="120"/>
      <c r="M2" s="120"/>
      <c r="N2" s="120"/>
      <c r="O2" s="120"/>
      <c r="P2" s="120"/>
      <c r="Q2" s="120"/>
      <c r="R2" s="120"/>
      <c r="S2" s="120"/>
      <c r="T2" s="120"/>
      <c r="U2" s="120"/>
      <c r="V2" s="120"/>
      <c r="W2" s="120"/>
      <c r="X2" s="788"/>
    </row>
    <row r="3" spans="2:30">
      <c r="B3" s="121" t="s">
        <v>178</v>
      </c>
      <c r="C3" s="121"/>
      <c r="D3" s="121"/>
      <c r="E3" s="121"/>
      <c r="F3" s="121"/>
      <c r="G3" s="121"/>
      <c r="H3" s="121"/>
      <c r="I3" s="121"/>
      <c r="J3" s="121"/>
      <c r="K3" s="121"/>
      <c r="L3" s="121"/>
      <c r="M3" s="121"/>
      <c r="N3" s="121"/>
      <c r="O3" s="121"/>
      <c r="P3" s="121"/>
      <c r="Q3" s="121"/>
      <c r="R3" s="121"/>
      <c r="S3" s="121"/>
      <c r="T3" s="121"/>
      <c r="U3" s="121"/>
      <c r="V3" s="121"/>
      <c r="W3" s="121"/>
      <c r="X3" s="789"/>
      <c r="Y3" s="122"/>
      <c r="Z3" s="122"/>
      <c r="AA3" s="122"/>
    </row>
    <row r="4" spans="2:30">
      <c r="B4" s="121" t="s">
        <v>290</v>
      </c>
      <c r="C4" s="121"/>
      <c r="D4" s="121"/>
      <c r="E4" s="121"/>
      <c r="F4" s="121"/>
      <c r="G4" s="121"/>
      <c r="H4" s="121"/>
      <c r="I4" s="121"/>
      <c r="J4" s="121"/>
      <c r="K4" s="121"/>
      <c r="L4" s="121"/>
      <c r="M4" s="121"/>
      <c r="N4" s="121"/>
      <c r="O4" s="121"/>
      <c r="P4" s="121"/>
      <c r="Q4" s="121"/>
      <c r="R4" s="121"/>
      <c r="S4" s="121"/>
      <c r="T4" s="121"/>
      <c r="U4" s="121"/>
      <c r="V4" s="121"/>
      <c r="W4" s="121"/>
      <c r="X4" s="789"/>
      <c r="Y4" s="122"/>
      <c r="Z4" s="122"/>
      <c r="AA4" s="122"/>
    </row>
    <row r="5" spans="2:30">
      <c r="B5" s="121" t="s">
        <v>291</v>
      </c>
      <c r="C5" s="121"/>
      <c r="D5" s="121"/>
      <c r="E5" s="121"/>
      <c r="F5" s="121"/>
      <c r="G5" s="121"/>
      <c r="H5" s="121"/>
      <c r="I5" s="121"/>
      <c r="J5" s="121"/>
      <c r="K5" s="121"/>
      <c r="L5" s="121"/>
      <c r="M5" s="121"/>
      <c r="N5" s="121"/>
      <c r="O5" s="121"/>
      <c r="P5" s="121"/>
      <c r="Q5" s="121"/>
      <c r="R5" s="121"/>
      <c r="S5" s="121"/>
      <c r="T5" s="121"/>
      <c r="U5" s="121"/>
      <c r="V5" s="121"/>
      <c r="W5" s="121"/>
      <c r="X5" s="789"/>
      <c r="Y5" s="122"/>
      <c r="Z5" s="122"/>
      <c r="AA5" s="122"/>
    </row>
    <row r="6" spans="2:30">
      <c r="B6" s="121" t="s">
        <v>292</v>
      </c>
      <c r="C6" s="121"/>
      <c r="D6" s="121"/>
      <c r="E6" s="121"/>
      <c r="F6" s="121"/>
      <c r="G6" s="121"/>
      <c r="H6" s="121"/>
      <c r="I6" s="121"/>
      <c r="J6" s="121"/>
      <c r="K6" s="121"/>
      <c r="L6" s="121"/>
      <c r="M6" s="121"/>
      <c r="N6" s="121"/>
      <c r="O6" s="121"/>
      <c r="P6" s="121"/>
      <c r="Q6" s="121"/>
      <c r="R6" s="121"/>
      <c r="S6" s="121"/>
      <c r="T6" s="121"/>
      <c r="U6" s="121"/>
      <c r="V6" s="121"/>
      <c r="W6" s="121"/>
      <c r="X6" s="789"/>
      <c r="Y6" s="122"/>
      <c r="Z6" s="122"/>
      <c r="AA6" s="122"/>
    </row>
    <row r="7" spans="2:30">
      <c r="B7" s="120" t="s">
        <v>899</v>
      </c>
      <c r="C7" s="120"/>
      <c r="D7" s="120"/>
      <c r="E7" s="120"/>
      <c r="F7" s="120"/>
      <c r="G7" s="120"/>
      <c r="H7" s="120"/>
      <c r="I7" s="120"/>
      <c r="J7" s="120"/>
      <c r="K7" s="120"/>
      <c r="L7" s="120"/>
      <c r="M7" s="120"/>
      <c r="N7" s="120"/>
      <c r="O7" s="120"/>
      <c r="P7" s="120"/>
      <c r="Q7" s="120"/>
      <c r="R7" s="120"/>
      <c r="S7" s="120"/>
      <c r="T7" s="120"/>
      <c r="U7" s="120"/>
      <c r="V7" s="120"/>
      <c r="W7" s="120"/>
      <c r="X7" s="788"/>
      <c r="Y7" s="123"/>
      <c r="Z7" s="123"/>
      <c r="AA7" s="123"/>
    </row>
    <row r="8" spans="2:30">
      <c r="B8" s="120"/>
      <c r="C8" s="120"/>
      <c r="D8" s="120"/>
      <c r="E8" s="120"/>
      <c r="F8" s="120"/>
      <c r="G8" s="120"/>
      <c r="H8" s="120"/>
      <c r="I8" s="120"/>
      <c r="J8" s="120"/>
      <c r="K8" s="120"/>
      <c r="L8" s="120"/>
      <c r="M8" s="120"/>
      <c r="N8" s="120"/>
      <c r="O8" s="120"/>
      <c r="P8" s="120"/>
      <c r="Q8" s="120"/>
      <c r="R8" s="120"/>
      <c r="S8" s="120"/>
      <c r="T8" s="120"/>
      <c r="U8" s="120"/>
      <c r="V8" s="120"/>
      <c r="W8" s="120"/>
      <c r="X8" s="788"/>
      <c r="Y8" s="123"/>
      <c r="Z8" s="123"/>
      <c r="AA8" s="123"/>
    </row>
    <row r="9" spans="2:30">
      <c r="B9" s="120"/>
      <c r="C9" s="120"/>
      <c r="D9" s="120"/>
      <c r="E9" s="120"/>
      <c r="F9" s="120"/>
      <c r="G9" s="120"/>
      <c r="H9" s="120"/>
      <c r="I9" s="120"/>
      <c r="J9" s="120"/>
      <c r="K9" s="120"/>
      <c r="L9" s="120"/>
      <c r="M9" s="120"/>
      <c r="N9" s="120"/>
      <c r="O9" s="120"/>
      <c r="P9" s="120"/>
      <c r="Q9" s="120"/>
      <c r="R9" s="120"/>
      <c r="S9" s="120"/>
      <c r="T9" s="120"/>
      <c r="U9" s="120"/>
      <c r="V9" s="120"/>
      <c r="W9" s="120"/>
      <c r="X9" s="788"/>
      <c r="Y9" s="123"/>
      <c r="Z9" s="123"/>
      <c r="AA9" s="123"/>
    </row>
    <row r="10" spans="2:30">
      <c r="M10" s="756"/>
      <c r="N10" s="124"/>
      <c r="O10" s="124"/>
      <c r="P10" s="125"/>
      <c r="R10" s="124"/>
      <c r="S10" s="124"/>
      <c r="T10" s="124"/>
      <c r="W10" s="750"/>
      <c r="X10" s="125"/>
      <c r="Y10" s="125"/>
      <c r="Z10" s="125"/>
      <c r="AA10" s="125"/>
      <c r="AB10" s="756"/>
      <c r="AC10" s="756"/>
      <c r="AD10" s="756"/>
    </row>
    <row r="11" spans="2:30">
      <c r="N11" s="871" t="s">
        <v>294</v>
      </c>
      <c r="O11" s="871" t="s">
        <v>190</v>
      </c>
      <c r="P11" s="872"/>
      <c r="Q11" s="751" t="s">
        <v>295</v>
      </c>
      <c r="R11" s="640"/>
      <c r="S11" s="640"/>
      <c r="T11" s="722"/>
      <c r="U11" s="847" t="s">
        <v>164</v>
      </c>
      <c r="V11" s="847"/>
      <c r="W11" s="124"/>
      <c r="X11" s="640" t="s">
        <v>296</v>
      </c>
      <c r="Y11" s="872"/>
      <c r="Z11" s="872"/>
      <c r="AA11" s="872"/>
    </row>
    <row r="12" spans="2:30">
      <c r="F12" s="871" t="s">
        <v>297</v>
      </c>
      <c r="G12" s="871"/>
      <c r="H12" s="871" t="s">
        <v>298</v>
      </c>
      <c r="N12" s="640" t="s">
        <v>180</v>
      </c>
      <c r="O12" s="640" t="s">
        <v>180</v>
      </c>
      <c r="P12" s="873"/>
      <c r="Q12" s="640" t="s">
        <v>180</v>
      </c>
      <c r="R12" s="640"/>
      <c r="S12" s="640" t="s">
        <v>194</v>
      </c>
      <c r="T12" s="640"/>
      <c r="U12" s="874" t="s">
        <v>180</v>
      </c>
      <c r="V12" s="874"/>
      <c r="W12" s="640"/>
      <c r="X12" s="640" t="s">
        <v>164</v>
      </c>
      <c r="Y12" s="871"/>
      <c r="Z12" s="722"/>
      <c r="AA12" s="871"/>
    </row>
    <row r="13" spans="2:30">
      <c r="B13" s="871" t="s">
        <v>179</v>
      </c>
      <c r="F13" s="871" t="s">
        <v>299</v>
      </c>
      <c r="G13" s="871"/>
      <c r="H13" s="871" t="s">
        <v>300</v>
      </c>
      <c r="I13" s="871" t="s">
        <v>298</v>
      </c>
      <c r="K13" s="871" t="s">
        <v>301</v>
      </c>
      <c r="N13" s="871" t="s">
        <v>37</v>
      </c>
      <c r="O13" s="871" t="s">
        <v>37</v>
      </c>
      <c r="P13" s="871"/>
      <c r="Q13" s="871" t="s">
        <v>37</v>
      </c>
      <c r="R13" s="871"/>
      <c r="S13" s="871" t="s">
        <v>37</v>
      </c>
      <c r="T13" s="871"/>
      <c r="U13" s="641" t="s">
        <v>245</v>
      </c>
      <c r="V13" s="871" t="s">
        <v>180</v>
      </c>
      <c r="W13" s="871"/>
      <c r="X13" s="871" t="s">
        <v>303</v>
      </c>
      <c r="Y13" s="871"/>
      <c r="Z13" s="640"/>
      <c r="AA13" s="640"/>
      <c r="AB13" s="756"/>
    </row>
    <row r="14" spans="2:30">
      <c r="B14" s="875" t="s">
        <v>181</v>
      </c>
      <c r="D14" s="875" t="s">
        <v>195</v>
      </c>
      <c r="F14" s="875" t="s">
        <v>181</v>
      </c>
      <c r="G14" s="640"/>
      <c r="H14" s="875" t="s">
        <v>294</v>
      </c>
      <c r="I14" s="876" t="s">
        <v>300</v>
      </c>
      <c r="K14" s="875" t="s">
        <v>294</v>
      </c>
      <c r="L14" s="876" t="s">
        <v>301</v>
      </c>
      <c r="N14" s="877" t="s">
        <v>191</v>
      </c>
      <c r="O14" s="877" t="s">
        <v>191</v>
      </c>
      <c r="P14" s="640"/>
      <c r="Q14" s="877" t="s">
        <v>191</v>
      </c>
      <c r="R14" s="878"/>
      <c r="S14" s="877" t="s">
        <v>191</v>
      </c>
      <c r="T14" s="878"/>
      <c r="U14" s="879" t="s">
        <v>191</v>
      </c>
      <c r="V14" s="876" t="s">
        <v>304</v>
      </c>
      <c r="W14" s="640"/>
      <c r="X14" s="876" t="s">
        <v>25</v>
      </c>
      <c r="Y14" s="640"/>
      <c r="Z14" s="640"/>
      <c r="AA14" s="640"/>
      <c r="AB14" s="756"/>
    </row>
    <row r="15" spans="2:30">
      <c r="B15" s="880"/>
      <c r="D15" s="641" t="s">
        <v>306</v>
      </c>
      <c r="F15" s="641" t="s">
        <v>307</v>
      </c>
      <c r="G15" s="871"/>
      <c r="H15" s="641"/>
      <c r="I15" s="641" t="s">
        <v>308</v>
      </c>
      <c r="K15" s="641"/>
      <c r="L15" s="641" t="s">
        <v>309</v>
      </c>
      <c r="N15" s="641"/>
      <c r="O15" s="641" t="s">
        <v>310</v>
      </c>
      <c r="P15" s="641"/>
      <c r="Q15" s="641" t="s">
        <v>311</v>
      </c>
      <c r="R15" s="641"/>
      <c r="S15" s="641"/>
      <c r="T15" s="641"/>
      <c r="U15" s="641" t="s">
        <v>312</v>
      </c>
      <c r="V15" s="641" t="s">
        <v>313</v>
      </c>
      <c r="W15" s="641"/>
      <c r="X15" s="641" t="s">
        <v>314</v>
      </c>
      <c r="Y15" s="641"/>
      <c r="Z15" s="873"/>
      <c r="AA15" s="873"/>
      <c r="AB15" s="756"/>
    </row>
    <row r="16" spans="2:30">
      <c r="P16" s="641"/>
      <c r="Q16" s="641" t="s">
        <v>315</v>
      </c>
      <c r="V16" s="641" t="s">
        <v>31</v>
      </c>
      <c r="W16" s="641"/>
      <c r="X16" s="641" t="s">
        <v>317</v>
      </c>
      <c r="Z16" s="756"/>
      <c r="AA16" s="756"/>
      <c r="AB16" s="756"/>
    </row>
    <row r="17" spans="2:30">
      <c r="D17" s="881" t="s">
        <v>17</v>
      </c>
      <c r="Z17" s="756"/>
      <c r="AA17" s="756"/>
      <c r="AB17" s="756"/>
    </row>
    <row r="18" spans="2:30">
      <c r="B18" s="871">
        <v>1</v>
      </c>
      <c r="D18" s="639" t="s">
        <v>318</v>
      </c>
      <c r="F18" s="641" t="s">
        <v>319</v>
      </c>
      <c r="G18" s="641"/>
      <c r="H18" s="882">
        <v>101336.91666666667</v>
      </c>
      <c r="I18" s="882">
        <f>'Exhibit No.__(RMM-11) p1-8'!C89/12</f>
        <v>107789.70430107282</v>
      </c>
      <c r="K18" s="882">
        <v>1569938.6044392167</v>
      </c>
      <c r="L18" s="882">
        <f>'Exhibit No.__(RMM-11) p1-8'!C101/1000</f>
        <v>1524718.2118738822</v>
      </c>
      <c r="N18" s="883">
        <v>102672.94442530281</v>
      </c>
      <c r="O18" s="883">
        <f>'Exhibit No.__(RMM-11) p1-8'!F101/1000</f>
        <v>148284.96506268738</v>
      </c>
      <c r="P18" s="884"/>
      <c r="Q18" s="885">
        <f ca="1">O18+U18</f>
        <v>150811.65164526104</v>
      </c>
      <c r="R18" s="883"/>
      <c r="S18" s="885" t="e">
        <f ca="1">Q18+#REF!</f>
        <v>#REF!</v>
      </c>
      <c r="T18" s="883"/>
      <c r="U18" s="883">
        <f ca="1">O18*V18</f>
        <v>2526.6865825736477</v>
      </c>
      <c r="V18" s="884">
        <f ca="1">$V$52</f>
        <v>1.7039398306534264E-2</v>
      </c>
      <c r="W18" s="884"/>
      <c r="X18" s="126">
        <f ca="1">(U18/L18)*100</f>
        <v>0.16571498673635859</v>
      </c>
      <c r="Y18" s="884"/>
      <c r="Z18" s="883"/>
      <c r="AA18" s="886"/>
      <c r="AB18" s="887" t="s">
        <v>31</v>
      </c>
      <c r="AC18" s="639" t="s">
        <v>31</v>
      </c>
    </row>
    <row r="19" spans="2:30">
      <c r="H19" s="888"/>
      <c r="I19" s="888"/>
      <c r="K19" s="888"/>
      <c r="L19" s="888"/>
      <c r="N19" s="888"/>
      <c r="O19" s="888"/>
      <c r="P19" s="756"/>
      <c r="Q19" s="889"/>
      <c r="R19" s="756"/>
      <c r="S19" s="889"/>
      <c r="T19" s="756"/>
      <c r="U19" s="888"/>
      <c r="V19" s="890"/>
      <c r="W19" s="453"/>
      <c r="X19" s="891"/>
      <c r="Y19" s="756"/>
      <c r="Z19" s="883"/>
      <c r="AA19" s="756"/>
      <c r="AB19" s="756"/>
    </row>
    <row r="20" spans="2:30">
      <c r="V20" s="892"/>
      <c r="W20" s="892"/>
      <c r="X20" s="893"/>
      <c r="Z20" s="883"/>
      <c r="AA20" s="756"/>
      <c r="AB20" s="756"/>
    </row>
    <row r="21" spans="2:30">
      <c r="B21" s="83">
        <f>MAX(B$15:B20)+1</f>
        <v>2</v>
      </c>
      <c r="D21" s="881" t="s">
        <v>320</v>
      </c>
      <c r="H21" s="882">
        <f>SUM(H18:H18)</f>
        <v>101336.91666666667</v>
      </c>
      <c r="I21" s="882">
        <f>SUM(I18:I18)</f>
        <v>107789.70430107282</v>
      </c>
      <c r="K21" s="882">
        <f>SUM(K18:K18)</f>
        <v>1569938.6044392167</v>
      </c>
      <c r="L21" s="882">
        <f>SUM(L18:L18)</f>
        <v>1524718.2118738822</v>
      </c>
      <c r="M21" s="882"/>
      <c r="N21" s="894">
        <f>SUM(N18:N18)</f>
        <v>102672.94442530281</v>
      </c>
      <c r="O21" s="894">
        <f>SUM(O18:O18)</f>
        <v>148284.96506268738</v>
      </c>
      <c r="P21" s="884"/>
      <c r="Q21" s="894">
        <f ca="1">SUM(Q18:Q18)</f>
        <v>150811.65164526104</v>
      </c>
      <c r="R21" s="894"/>
      <c r="S21" s="894" t="e">
        <f ca="1">SUM(S18:S18)</f>
        <v>#REF!</v>
      </c>
      <c r="T21" s="894"/>
      <c r="U21" s="883">
        <f ca="1">SUM(U18)</f>
        <v>2526.6865825736477</v>
      </c>
      <c r="V21" s="884">
        <f ca="1">U21/O21</f>
        <v>1.7039398306534264E-2</v>
      </c>
      <c r="W21" s="884"/>
      <c r="X21" s="126">
        <f ca="1">(U21/L21)*100</f>
        <v>0.16571498673635859</v>
      </c>
      <c r="Y21" s="884"/>
      <c r="Z21" s="883"/>
      <c r="AA21" s="886"/>
      <c r="AB21" s="756"/>
    </row>
    <row r="22" spans="2:30">
      <c r="L22" s="639" t="s">
        <v>31</v>
      </c>
      <c r="V22" s="892"/>
      <c r="W22" s="892"/>
      <c r="X22" s="893"/>
      <c r="Z22" s="883"/>
      <c r="AA22" s="756"/>
      <c r="AB22" s="756"/>
    </row>
    <row r="23" spans="2:30">
      <c r="D23" s="881" t="s">
        <v>321</v>
      </c>
      <c r="H23" s="895"/>
      <c r="I23" s="895"/>
      <c r="V23" s="892"/>
      <c r="W23" s="892"/>
      <c r="X23" s="893"/>
      <c r="Z23" s="883"/>
      <c r="AA23" s="756"/>
      <c r="AB23" s="756"/>
    </row>
    <row r="24" spans="2:30">
      <c r="B24" s="83">
        <f>MAX(B$15:B23)+1</f>
        <v>3</v>
      </c>
      <c r="D24" s="639" t="s">
        <v>322</v>
      </c>
      <c r="F24" s="871">
        <v>24</v>
      </c>
      <c r="G24" s="871"/>
      <c r="H24" s="882">
        <v>17306.416666666664</v>
      </c>
      <c r="I24" s="882">
        <f>'Exhibit No.__(RMM-11) p1-8'!C193/12</f>
        <v>19928.640555555456</v>
      </c>
      <c r="K24" s="882">
        <v>513041.74113523914</v>
      </c>
      <c r="L24" s="882">
        <f ca="1">'Exhibit No.__(RMM-11) p1-8'!C221/1000</f>
        <v>554739.13183022395</v>
      </c>
      <c r="N24" s="894">
        <v>33647.646251191611</v>
      </c>
      <c r="O24" s="883">
        <f ca="1">'Exhibit No.__(RMM-11) p1-8'!F221/1000</f>
        <v>52501.06519913939</v>
      </c>
      <c r="P24" s="884"/>
      <c r="Q24" s="885">
        <f t="shared" ref="Q24:Q31" ca="1" si="0">O24+U24</f>
        <v>53395.651760584849</v>
      </c>
      <c r="R24" s="883"/>
      <c r="S24" s="885" t="e">
        <f ca="1">Q24+#REF!</f>
        <v>#REF!</v>
      </c>
      <c r="T24" s="883"/>
      <c r="U24" s="883">
        <f t="shared" ref="U24:U31" ca="1" si="1">O24*V24</f>
        <v>894.58656144546069</v>
      </c>
      <c r="V24" s="884">
        <f t="shared" ref="V24:V31" ca="1" si="2">$V$52</f>
        <v>1.7039398306534264E-2</v>
      </c>
      <c r="W24" s="884"/>
      <c r="X24" s="126">
        <f ca="1">(U24/L24)*100</f>
        <v>0.16126256651374035</v>
      </c>
      <c r="Y24" s="884"/>
      <c r="Z24" s="883"/>
      <c r="AA24" s="886"/>
      <c r="AB24" s="756"/>
      <c r="AC24" s="437"/>
      <c r="AD24" s="54"/>
    </row>
    <row r="25" spans="2:30">
      <c r="B25" s="83">
        <f>MAX(B$15:B24)+1</f>
        <v>4</v>
      </c>
      <c r="D25" s="51" t="s">
        <v>323</v>
      </c>
      <c r="E25" s="51"/>
      <c r="F25" s="871">
        <v>33</v>
      </c>
      <c r="G25" s="871"/>
      <c r="H25" s="882">
        <v>0</v>
      </c>
      <c r="I25" s="882">
        <v>0</v>
      </c>
      <c r="K25" s="882">
        <v>0</v>
      </c>
      <c r="L25" s="882">
        <v>0</v>
      </c>
      <c r="N25" s="883">
        <v>0</v>
      </c>
      <c r="O25" s="883">
        <v>0</v>
      </c>
      <c r="P25" s="884"/>
      <c r="Q25" s="885">
        <f t="shared" ca="1" si="0"/>
        <v>0</v>
      </c>
      <c r="R25" s="883"/>
      <c r="S25" s="885" t="e">
        <f ca="1">Q25+#REF!</f>
        <v>#REF!</v>
      </c>
      <c r="T25" s="883"/>
      <c r="U25" s="883">
        <f t="shared" ca="1" si="1"/>
        <v>0</v>
      </c>
      <c r="V25" s="884">
        <f t="shared" ca="1" si="2"/>
        <v>1.7039398306534264E-2</v>
      </c>
      <c r="W25" s="884"/>
      <c r="X25" s="126">
        <f ca="1">X26</f>
        <v>0.13665271487687777</v>
      </c>
      <c r="Y25" s="884"/>
      <c r="Z25" s="883"/>
      <c r="AA25" s="886"/>
      <c r="AB25" s="756"/>
      <c r="AC25" s="437"/>
      <c r="AD25" s="54"/>
    </row>
    <row r="26" spans="2:30">
      <c r="B26" s="83">
        <f>MAX(B$15:B25)+1</f>
        <v>5</v>
      </c>
      <c r="D26" s="639" t="s">
        <v>324</v>
      </c>
      <c r="F26" s="871">
        <v>36</v>
      </c>
      <c r="G26" s="871"/>
      <c r="H26" s="882">
        <v>1058.6666666666667</v>
      </c>
      <c r="I26" s="882">
        <f>'Exhibit No.__(RMM-11) p1-8'!C622/12</f>
        <v>1076.1138888888891</v>
      </c>
      <c r="K26" s="882">
        <v>901191.51506367233</v>
      </c>
      <c r="L26" s="882">
        <f ca="1">'Exhibit No.__(RMM-11) p1-8'!C653/1000</f>
        <v>950741.26118410239</v>
      </c>
      <c r="N26" s="894">
        <v>49005.26783999426</v>
      </c>
      <c r="O26" s="883">
        <f ca="1">'Exhibit No.__(RMM-11) p1-8'!F653/1000</f>
        <v>76247.630432145073</v>
      </c>
      <c r="P26" s="884"/>
      <c r="Q26" s="896">
        <f t="shared" ca="1" si="0"/>
        <v>77546.844177007821</v>
      </c>
      <c r="R26" s="883"/>
      <c r="S26" s="885" t="e">
        <f ca="1">Q26+#REF!</f>
        <v>#REF!</v>
      </c>
      <c r="T26" s="883"/>
      <c r="U26" s="883">
        <f t="shared" ca="1" si="1"/>
        <v>1299.2137448627432</v>
      </c>
      <c r="V26" s="884">
        <f t="shared" ca="1" si="2"/>
        <v>1.7039398306534264E-2</v>
      </c>
      <c r="W26" s="884"/>
      <c r="X26" s="126">
        <f t="shared" ref="X26:X31" ca="1" si="3">(U26/L26)*100</f>
        <v>0.13665271487687777</v>
      </c>
      <c r="Y26" s="884"/>
      <c r="Z26" s="883"/>
      <c r="AA26" s="886"/>
      <c r="AB26" s="756"/>
      <c r="AC26" s="437"/>
      <c r="AD26" s="54"/>
    </row>
    <row r="27" spans="2:30">
      <c r="B27" s="83">
        <f>MAX(B$15:B26)+1</f>
        <v>6</v>
      </c>
      <c r="D27" s="639" t="s">
        <v>189</v>
      </c>
      <c r="F27" s="871" t="s">
        <v>325</v>
      </c>
      <c r="G27" s="871"/>
      <c r="H27" s="882">
        <v>5259</v>
      </c>
      <c r="I27" s="882">
        <f>'Exhibit No.__(RMM-11) p1-8'!C742</f>
        <v>5135.6966195907062</v>
      </c>
      <c r="K27" s="882">
        <v>168033.04399999999</v>
      </c>
      <c r="L27" s="882">
        <f ca="1">'Exhibit No.__(RMM-11) p1-8'!C785/1000</f>
        <v>164795.79784020002</v>
      </c>
      <c r="N27" s="894">
        <v>10140.337</v>
      </c>
      <c r="O27" s="883">
        <f>'Exhibit No.__(RMM-11) p1-8'!F785/1000</f>
        <v>15164.849</v>
      </c>
      <c r="P27" s="884"/>
      <c r="Q27" s="885">
        <f t="shared" ca="1" si="0"/>
        <v>15423.248902369449</v>
      </c>
      <c r="R27" s="883"/>
      <c r="S27" s="885" t="e">
        <f ca="1">Q27+#REF!</f>
        <v>#REF!</v>
      </c>
      <c r="T27" s="883"/>
      <c r="U27" s="883">
        <f t="shared" ca="1" si="1"/>
        <v>258.39990236944783</v>
      </c>
      <c r="V27" s="884">
        <f t="shared" ca="1" si="2"/>
        <v>1.7039398306534264E-2</v>
      </c>
      <c r="W27" s="884"/>
      <c r="X27" s="126">
        <f t="shared" ca="1" si="3"/>
        <v>0.15680005543588815</v>
      </c>
      <c r="Y27" s="884"/>
      <c r="Z27" s="883"/>
      <c r="AA27" s="886"/>
      <c r="AB27" s="756"/>
    </row>
    <row r="28" spans="2:30">
      <c r="B28" s="83">
        <f>MAX(B$15:B27)+1</f>
        <v>7</v>
      </c>
      <c r="D28" s="639" t="s">
        <v>326</v>
      </c>
      <c r="F28" s="871">
        <v>47</v>
      </c>
      <c r="G28" s="871"/>
      <c r="H28" s="882">
        <v>1.0833333333333333</v>
      </c>
      <c r="I28" s="882">
        <f>'Exhibit No.__(RMM-11) p1-8'!C899/12</f>
        <v>1</v>
      </c>
      <c r="K28" s="882">
        <v>1616.6904507017675</v>
      </c>
      <c r="L28" s="882">
        <f ca="1">'Exhibit No.__(RMM-11) p1-8'!C913/1000</f>
        <v>2679.157633181796</v>
      </c>
      <c r="N28" s="894">
        <v>165.62561725051643</v>
      </c>
      <c r="O28" s="883">
        <f ca="1">'Exhibit No.__(RMM-11) p1-8'!F913/1000</f>
        <v>385.00168424682397</v>
      </c>
      <c r="P28" s="884"/>
      <c r="Q28" s="885">
        <f t="shared" ca="1" si="0"/>
        <v>391.56188129339216</v>
      </c>
      <c r="R28" s="883"/>
      <c r="S28" s="885" t="e">
        <f ca="1">Q28+#REF!</f>
        <v>#REF!</v>
      </c>
      <c r="T28" s="883"/>
      <c r="U28" s="883">
        <f t="shared" ca="1" si="1"/>
        <v>6.560197046568172</v>
      </c>
      <c r="V28" s="884">
        <f t="shared" ca="1" si="2"/>
        <v>1.7039398306534264E-2</v>
      </c>
      <c r="W28" s="884"/>
      <c r="X28" s="126">
        <f t="shared" ca="1" si="3"/>
        <v>0.24486043543384986</v>
      </c>
      <c r="Y28" s="884"/>
      <c r="Z28" s="883"/>
      <c r="AA28" s="886"/>
      <c r="AB28" s="756"/>
    </row>
    <row r="29" spans="2:30">
      <c r="B29" s="83">
        <f>MAX(B$15:B27)+1</f>
        <v>7</v>
      </c>
      <c r="D29" s="639" t="s">
        <v>327</v>
      </c>
      <c r="F29" s="871">
        <v>48</v>
      </c>
      <c r="G29" s="871"/>
      <c r="H29" s="882">
        <v>63.666666666666671</v>
      </c>
      <c r="I29" s="882">
        <f>('Exhibit No.__(RMM-11) p1-8'!C940)/12</f>
        <v>64.477272727272748</v>
      </c>
      <c r="K29" s="882">
        <v>856497.09877425549</v>
      </c>
      <c r="L29" s="882">
        <f ca="1">('Exhibit No.__(RMM-11) p1-8'!C950)/1000</f>
        <v>400185.56350036786</v>
      </c>
      <c r="N29" s="894">
        <v>38996.209349631463</v>
      </c>
      <c r="O29" s="883">
        <f ca="1">('Exhibit No.__(RMM-11) p1-8'!F950)/1000</f>
        <v>29165.516596440317</v>
      </c>
      <c r="P29" s="884"/>
      <c r="Q29" s="885">
        <f t="shared" ca="1" si="0"/>
        <v>29662.479450542898</v>
      </c>
      <c r="R29" s="883"/>
      <c r="S29" s="885" t="e">
        <f ca="1">Q29+#REF!</f>
        <v>#REF!</v>
      </c>
      <c r="T29" s="883"/>
      <c r="U29" s="883">
        <f t="shared" ca="1" si="1"/>
        <v>496.96285410258213</v>
      </c>
      <c r="V29" s="884">
        <f t="shared" ca="1" si="2"/>
        <v>1.7039398306534264E-2</v>
      </c>
      <c r="W29" s="884"/>
      <c r="X29" s="126">
        <f t="shared" ca="1" si="3"/>
        <v>0.12418310389703134</v>
      </c>
      <c r="Y29" s="884"/>
      <c r="Z29" s="883"/>
      <c r="AA29" s="886"/>
      <c r="AB29" s="756"/>
    </row>
    <row r="30" spans="2:30">
      <c r="B30" s="83">
        <f>MAX(B$15:B28)+1</f>
        <v>8</v>
      </c>
      <c r="D30" s="639" t="s">
        <v>616</v>
      </c>
      <c r="F30" s="641" t="s">
        <v>617</v>
      </c>
      <c r="G30" s="871"/>
      <c r="H30" s="882">
        <v>63.666666666666671</v>
      </c>
      <c r="I30" s="882">
        <f>('Exhibit No.__(RMM-11) p1-8'!C1109)/12</f>
        <v>1</v>
      </c>
      <c r="K30" s="882">
        <v>856497.09877425549</v>
      </c>
      <c r="L30" s="882">
        <f ca="1">('Exhibit No.__(RMM-11) p1-8'!C1120)/1000</f>
        <v>420782.10087353742</v>
      </c>
      <c r="N30" s="894">
        <v>38996.209349631463</v>
      </c>
      <c r="O30" s="883">
        <f ca="1">('Exhibit No.__(RMM-11) p1-8'!F1120)/1000</f>
        <v>25129.406740602793</v>
      </c>
      <c r="P30" s="884"/>
      <c r="Q30" s="885">
        <f t="shared" ref="Q30" ca="1" si="4">O30+U30</f>
        <v>25557.596711262831</v>
      </c>
      <c r="R30" s="883"/>
      <c r="S30" s="885" t="e">
        <f ca="1">Q30+#REF!</f>
        <v>#REF!</v>
      </c>
      <c r="T30" s="883"/>
      <c r="U30" s="883">
        <f ca="1">O30*V30</f>
        <v>428.18997066003794</v>
      </c>
      <c r="V30" s="884">
        <f t="shared" ca="1" si="2"/>
        <v>1.7039398306534264E-2</v>
      </c>
      <c r="W30" s="884"/>
      <c r="X30" s="126">
        <f t="shared" ca="1" si="3"/>
        <v>0.10176050021403521</v>
      </c>
      <c r="Y30" s="884"/>
      <c r="Z30" s="883"/>
      <c r="AA30" s="886"/>
      <c r="AB30" s="756"/>
    </row>
    <row r="31" spans="2:30">
      <c r="B31" s="83">
        <f>MAX(B$15:B30)+1</f>
        <v>9</v>
      </c>
      <c r="D31" s="639" t="s">
        <v>185</v>
      </c>
      <c r="F31" s="871" t="s">
        <v>186</v>
      </c>
      <c r="G31" s="871"/>
      <c r="H31" s="882">
        <v>28</v>
      </c>
      <c r="I31" s="882">
        <f>'Exhibit No.__(RMM-11) p1-8'!C1249/12</f>
        <v>27</v>
      </c>
      <c r="K31" s="882">
        <v>233.86177246899351</v>
      </c>
      <c r="L31" s="882">
        <f>'Exhibit No.__(RMM-11) p1-8'!C1255/1000</f>
        <v>285.28140758938906</v>
      </c>
      <c r="N31" s="894">
        <v>18.659249899021408</v>
      </c>
      <c r="O31" s="883">
        <f>'Exhibit No.__(RMM-11) p1-8'!F1255/1000</f>
        <v>26.428895606556154</v>
      </c>
      <c r="P31" s="884"/>
      <c r="Q31" s="885">
        <f t="shared" ca="1" si="0"/>
        <v>26.879228085598076</v>
      </c>
      <c r="R31" s="883"/>
      <c r="S31" s="885" t="e">
        <f ca="1">Q31+#REF!</f>
        <v>#REF!</v>
      </c>
      <c r="T31" s="883"/>
      <c r="U31" s="883">
        <f t="shared" ca="1" si="1"/>
        <v>0.45033247904192375</v>
      </c>
      <c r="V31" s="884">
        <f t="shared" ca="1" si="2"/>
        <v>1.7039398306534264E-2</v>
      </c>
      <c r="W31" s="884"/>
      <c r="X31" s="126">
        <f t="shared" ca="1" si="3"/>
        <v>0.15785553038566599</v>
      </c>
      <c r="Y31" s="884"/>
      <c r="Z31" s="883"/>
      <c r="AA31" s="886"/>
      <c r="AB31" s="756"/>
    </row>
    <row r="32" spans="2:30">
      <c r="B32" s="871"/>
      <c r="F32" s="871"/>
      <c r="G32" s="871"/>
      <c r="H32" s="888"/>
      <c r="I32" s="888"/>
      <c r="K32" s="888"/>
      <c r="L32" s="888"/>
      <c r="N32" s="888"/>
      <c r="O32" s="888"/>
      <c r="P32" s="756"/>
      <c r="Q32" s="889"/>
      <c r="R32" s="756"/>
      <c r="S32" s="889"/>
      <c r="T32" s="756"/>
      <c r="U32" s="888"/>
      <c r="V32" s="897"/>
      <c r="W32" s="898"/>
      <c r="X32" s="891"/>
      <c r="Y32" s="756"/>
      <c r="Z32" s="883"/>
      <c r="AA32" s="756"/>
      <c r="AB32" s="756"/>
    </row>
    <row r="33" spans="2:30">
      <c r="B33" s="871"/>
      <c r="V33" s="892"/>
      <c r="W33" s="892"/>
      <c r="X33" s="893"/>
      <c r="Z33" s="883"/>
      <c r="AA33" s="756"/>
      <c r="AB33" s="756"/>
    </row>
    <row r="34" spans="2:30">
      <c r="B34" s="83">
        <f>MAX(B$15:B33)+1</f>
        <v>10</v>
      </c>
      <c r="D34" s="881" t="s">
        <v>328</v>
      </c>
      <c r="H34" s="882">
        <f>SUM(H24:H31)</f>
        <v>23780.5</v>
      </c>
      <c r="I34" s="882">
        <f>SUM(I24:I31)</f>
        <v>26233.928336762321</v>
      </c>
      <c r="K34" s="882">
        <f>SUM(K24:K31)</f>
        <v>3297111.0499705928</v>
      </c>
      <c r="L34" s="882">
        <f ca="1">SUM(L24:L31)</f>
        <v>2494208.2942692027</v>
      </c>
      <c r="M34" s="882"/>
      <c r="N34" s="883">
        <f>SUM(N24:N31)</f>
        <v>170969.95465759834</v>
      </c>
      <c r="O34" s="883">
        <f ca="1">SUM(O24:O31)</f>
        <v>198619.89854818094</v>
      </c>
      <c r="P34" s="884"/>
      <c r="Q34" s="885">
        <f ca="1">SUM(Q24:Q31)</f>
        <v>202004.26211114682</v>
      </c>
      <c r="R34" s="894"/>
      <c r="S34" s="885" t="e">
        <f ca="1">SUM(S24:S31)</f>
        <v>#REF!</v>
      </c>
      <c r="T34" s="894"/>
      <c r="U34" s="883">
        <f ca="1">SUM(U24:U31)</f>
        <v>3384.363562965882</v>
      </c>
      <c r="V34" s="884">
        <f ca="1">U34/O34</f>
        <v>1.7039398306534267E-2</v>
      </c>
      <c r="W34" s="884"/>
      <c r="X34" s="126">
        <f ca="1">(U34/L34)*100</f>
        <v>0.13568889056868014</v>
      </c>
      <c r="Y34" s="884"/>
      <c r="Z34" s="883"/>
      <c r="AA34" s="886"/>
      <c r="AB34" s="756"/>
    </row>
    <row r="35" spans="2:30">
      <c r="B35" s="871"/>
      <c r="V35" s="892"/>
      <c r="W35" s="892"/>
      <c r="X35" s="893"/>
      <c r="Z35" s="883"/>
      <c r="AA35" s="756"/>
      <c r="AB35" s="756"/>
      <c r="AC35" s="639" t="s">
        <v>31</v>
      </c>
    </row>
    <row r="36" spans="2:30">
      <c r="B36" s="871"/>
      <c r="D36" s="881" t="s">
        <v>187</v>
      </c>
      <c r="V36" s="892"/>
      <c r="W36" s="892"/>
      <c r="X36" s="893"/>
      <c r="Z36" s="883"/>
      <c r="AA36" s="756"/>
      <c r="AB36" s="756"/>
    </row>
    <row r="37" spans="2:30">
      <c r="B37" s="83">
        <f>MAX(B$15:B36)+1</f>
        <v>11</v>
      </c>
      <c r="D37" s="639" t="s">
        <v>183</v>
      </c>
      <c r="F37" s="871" t="s">
        <v>184</v>
      </c>
      <c r="G37" s="871"/>
      <c r="H37" s="882">
        <v>2828</v>
      </c>
      <c r="I37" s="882">
        <f>'Exhibit No.__(RMM-11) p1-8'!C24/12</f>
        <v>2323.8333333333335</v>
      </c>
      <c r="K37" s="882">
        <v>3735.0893644456642</v>
      </c>
      <c r="L37" s="882">
        <f ca="1">'Exhibit No.__(RMM-11) p1-8'!C27/1000</f>
        <v>3037.7085715346157</v>
      </c>
      <c r="N37" s="894">
        <v>473.92026673033644</v>
      </c>
      <c r="O37" s="883">
        <f ca="1">'Exhibit No.__(RMM-11) p1-8'!F27/1000</f>
        <v>461.99903817280517</v>
      </c>
      <c r="P37" s="884"/>
      <c r="Q37" s="885">
        <f ca="1">O37+U37</f>
        <v>469.87122380146735</v>
      </c>
      <c r="R37" s="883"/>
      <c r="S37" s="885" t="e">
        <f ca="1">Q37+#REF!</f>
        <v>#REF!</v>
      </c>
      <c r="T37" s="883"/>
      <c r="U37" s="883">
        <f ca="1">O37*V37</f>
        <v>7.8721856286621552</v>
      </c>
      <c r="V37" s="884">
        <f ca="1">$V$52</f>
        <v>1.7039398306534264E-2</v>
      </c>
      <c r="W37" s="884"/>
      <c r="X37" s="126">
        <f ca="1">(U37/L37)*100</f>
        <v>0.25914881046950522</v>
      </c>
      <c r="Y37" s="884"/>
      <c r="Z37" s="883"/>
      <c r="AA37" s="886"/>
      <c r="AB37" s="756"/>
    </row>
    <row r="38" spans="2:30">
      <c r="B38" s="83">
        <f>MAX(B$15:B37)+1</f>
        <v>12</v>
      </c>
      <c r="D38" s="639" t="s">
        <v>329</v>
      </c>
      <c r="F38" s="871" t="s">
        <v>330</v>
      </c>
      <c r="G38" s="871"/>
      <c r="H38" s="882">
        <v>178</v>
      </c>
      <c r="I38" s="882">
        <f>'Exhibit No.__(RMM-11) p1-8'!C1160/12</f>
        <v>244</v>
      </c>
      <c r="K38" s="882">
        <v>2902.2385934150548</v>
      </c>
      <c r="L38" s="882">
        <f ca="1">'Exhibit No.__(RMM-11) p1-8'!C1164/1000</f>
        <v>3719.2891179099606</v>
      </c>
      <c r="N38" s="894">
        <v>522.31224201957195</v>
      </c>
      <c r="O38" s="883">
        <f>'Exhibit No.__(RMM-11) p1-8'!F1164/1000</f>
        <v>814.23974911082337</v>
      </c>
      <c r="P38" s="884"/>
      <c r="Q38" s="885">
        <f ca="1">O38+U38</f>
        <v>828.11390451293516</v>
      </c>
      <c r="R38" s="883"/>
      <c r="S38" s="885" t="e">
        <f ca="1">Q38+#REF!</f>
        <v>#REF!</v>
      </c>
      <c r="T38" s="883"/>
      <c r="U38" s="883">
        <f ca="1">O38*V38</f>
        <v>13.874155402111848</v>
      </c>
      <c r="V38" s="884">
        <f ca="1">$V$52</f>
        <v>1.7039398306534264E-2</v>
      </c>
      <c r="W38" s="884"/>
      <c r="X38" s="126">
        <f ca="1">(U38/L38)*100</f>
        <v>0.37303245223131171</v>
      </c>
      <c r="Y38" s="884"/>
      <c r="Z38" s="883"/>
      <c r="AA38" s="886"/>
      <c r="AB38" s="756"/>
    </row>
    <row r="39" spans="2:30">
      <c r="B39" s="83">
        <f>MAX(B$15:B38)+1</f>
        <v>13</v>
      </c>
      <c r="D39" s="639" t="s">
        <v>329</v>
      </c>
      <c r="F39" s="871">
        <v>52</v>
      </c>
      <c r="G39" s="871"/>
      <c r="H39" s="882">
        <v>30</v>
      </c>
      <c r="I39" s="882">
        <f>'Exhibit No.__(RMM-11) p1-8'!C1176/12</f>
        <v>1.1666666666666667</v>
      </c>
      <c r="K39" s="882">
        <v>466.2387672357238</v>
      </c>
      <c r="L39" s="882">
        <f ca="1">'Exhibit No.__(RMM-11) p1-8'!C1181/1000</f>
        <v>144.69014087256477</v>
      </c>
      <c r="N39" s="894">
        <v>60.670270195709442</v>
      </c>
      <c r="O39" s="883">
        <f>'Exhibit No.__(RMM-11) p1-8'!F1181/1000</f>
        <v>30.891402130665071</v>
      </c>
      <c r="P39" s="884"/>
      <c r="Q39" s="885">
        <f ca="1">O39+U39</f>
        <v>31.417773035816793</v>
      </c>
      <c r="R39" s="883"/>
      <c r="S39" s="885" t="e">
        <f ca="1">Q39+#REF!</f>
        <v>#REF!</v>
      </c>
      <c r="T39" s="883"/>
      <c r="U39" s="883">
        <f ca="1">O39*V39</f>
        <v>0.52637090515172336</v>
      </c>
      <c r="V39" s="884">
        <f ca="1">$V$52</f>
        <v>1.7039398306534264E-2</v>
      </c>
      <c r="W39" s="884"/>
      <c r="X39" s="126">
        <f ca="1">(U39/L39)*100</f>
        <v>0.36379182574389934</v>
      </c>
      <c r="Y39" s="884"/>
      <c r="Z39" s="883"/>
      <c r="AA39" s="886"/>
      <c r="AB39" s="756"/>
    </row>
    <row r="40" spans="2:30">
      <c r="B40" s="83">
        <f>MAX(B$15:B39)+1</f>
        <v>14</v>
      </c>
      <c r="D40" s="639" t="s">
        <v>329</v>
      </c>
      <c r="F40" s="871">
        <v>53</v>
      </c>
      <c r="G40" s="871"/>
      <c r="H40" s="882">
        <v>272.33333333333337</v>
      </c>
      <c r="I40" s="882">
        <f>'Exhibit No.__(RMM-11) p1-8'!C1191/12</f>
        <v>232.66666666666666</v>
      </c>
      <c r="K40" s="882">
        <v>4499.9316487570059</v>
      </c>
      <c r="L40" s="882">
        <f ca="1">'Exhibit No.__(RMM-11) p1-8'!C1195/1000</f>
        <v>3796.1347231696864</v>
      </c>
      <c r="N40" s="882">
        <v>278.83306975907675</v>
      </c>
      <c r="O40" s="883">
        <f>'Exhibit No.__(RMM-11) p1-8'!F1195/1000</f>
        <v>272.48921113049425</v>
      </c>
      <c r="P40" s="884"/>
      <c r="Q40" s="885">
        <f ca="1">O40+U40</f>
        <v>277.13226333318005</v>
      </c>
      <c r="R40" s="883"/>
      <c r="S40" s="885" t="e">
        <f ca="1">Q40+#REF!</f>
        <v>#REF!</v>
      </c>
      <c r="T40" s="883"/>
      <c r="U40" s="883">
        <f ca="1">O40*V40</f>
        <v>4.6430522026858014</v>
      </c>
      <c r="V40" s="884">
        <f ca="1">$V$52</f>
        <v>1.7039398306534264E-2</v>
      </c>
      <c r="W40" s="884"/>
      <c r="X40" s="126">
        <f ca="1">(U40/L40)*100</f>
        <v>0.12230999533148702</v>
      </c>
      <c r="Y40" s="884"/>
      <c r="Z40" s="883"/>
      <c r="AA40" s="886"/>
      <c r="AB40" s="756"/>
    </row>
    <row r="41" spans="2:30">
      <c r="B41" s="83">
        <f>MAX(B$15:B40)+1</f>
        <v>15</v>
      </c>
      <c r="D41" s="639" t="s">
        <v>329</v>
      </c>
      <c r="F41" s="871">
        <v>57</v>
      </c>
      <c r="G41" s="871"/>
      <c r="H41" s="882">
        <v>50.666666666666664</v>
      </c>
      <c r="I41" s="882">
        <f>'Exhibit No.__(RMM-11) p1-8'!C1291/12</f>
        <v>32.166666666666664</v>
      </c>
      <c r="K41" s="882">
        <v>2174.0459905922153</v>
      </c>
      <c r="L41" s="882">
        <f ca="1">'Exhibit No.__(RMM-11) p1-8'!C1295/1000</f>
        <v>1509.2973979888825</v>
      </c>
      <c r="N41" s="882">
        <v>235.8029580256418</v>
      </c>
      <c r="O41" s="883">
        <f>'Exhibit No.__(RMM-11) p1-8'!F1295/1000</f>
        <v>194.31967386953477</v>
      </c>
      <c r="P41" s="884"/>
      <c r="Q41" s="885">
        <f ca="1">O41+U41</f>
        <v>197.63076419139361</v>
      </c>
      <c r="R41" s="883"/>
      <c r="S41" s="885" t="e">
        <f ca="1">Q41+#REF!</f>
        <v>#REF!</v>
      </c>
      <c r="T41" s="883"/>
      <c r="U41" s="883">
        <f ca="1">O41*V41</f>
        <v>3.311090321858841</v>
      </c>
      <c r="V41" s="884">
        <f ca="1">$V$52</f>
        <v>1.7039398306534264E-2</v>
      </c>
      <c r="W41" s="884"/>
      <c r="X41" s="126">
        <f ca="1">(U41/L41)*100</f>
        <v>0.21937958193466855</v>
      </c>
      <c r="Y41" s="884"/>
      <c r="Z41" s="883"/>
      <c r="AA41" s="886"/>
      <c r="AB41" s="756"/>
    </row>
    <row r="42" spans="2:30">
      <c r="B42" s="871"/>
      <c r="H42" s="888"/>
      <c r="I42" s="888"/>
      <c r="K42" s="888"/>
      <c r="L42" s="888"/>
      <c r="N42" s="888"/>
      <c r="O42" s="888"/>
      <c r="P42" s="756"/>
      <c r="Q42" s="889"/>
      <c r="R42" s="756"/>
      <c r="S42" s="889"/>
      <c r="T42" s="756"/>
      <c r="U42" s="888"/>
      <c r="V42" s="897"/>
      <c r="W42" s="898"/>
      <c r="X42" s="891"/>
      <c r="Y42" s="756"/>
      <c r="Z42" s="883"/>
      <c r="AA42" s="756"/>
      <c r="AB42" s="756"/>
    </row>
    <row r="43" spans="2:30">
      <c r="B43" s="871"/>
      <c r="V43" s="892"/>
      <c r="W43" s="892"/>
      <c r="X43" s="893"/>
      <c r="Z43" s="883"/>
      <c r="AA43" s="756"/>
      <c r="AB43" s="756"/>
    </row>
    <row r="44" spans="2:30">
      <c r="B44" s="83">
        <f>MAX(B$15:B43)+1</f>
        <v>16</v>
      </c>
      <c r="D44" s="881" t="s">
        <v>331</v>
      </c>
      <c r="H44" s="899">
        <f>SUM(H37:H41)</f>
        <v>3359</v>
      </c>
      <c r="I44" s="899">
        <f>SUM(I37:I41)</f>
        <v>2833.833333333333</v>
      </c>
      <c r="K44" s="899">
        <f>SUM(K37:K41)</f>
        <v>13777.544364445665</v>
      </c>
      <c r="L44" s="899">
        <f ca="1">SUM(L37:L41)</f>
        <v>12207.11995147571</v>
      </c>
      <c r="M44" s="882"/>
      <c r="N44" s="900">
        <f>SUM(N37:N41)</f>
        <v>1571.5388067303365</v>
      </c>
      <c r="O44" s="900">
        <f ca="1">SUM(O37:O41)</f>
        <v>1773.9390744143225</v>
      </c>
      <c r="P44" s="886"/>
      <c r="Q44" s="900">
        <f ca="1">SUM(Q37:Q41)</f>
        <v>1804.1659288747928</v>
      </c>
      <c r="R44" s="901"/>
      <c r="S44" s="900" t="e">
        <f ca="1">SUM(S37:S41)</f>
        <v>#REF!</v>
      </c>
      <c r="T44" s="901"/>
      <c r="U44" s="900">
        <f ca="1">SUM(U37:U41)</f>
        <v>30.226854460470371</v>
      </c>
      <c r="V44" s="902">
        <f ca="1">U44/O44</f>
        <v>1.7039398306534267E-2</v>
      </c>
      <c r="W44" s="886"/>
      <c r="X44" s="903">
        <f ca="1">(U44/L44)*100</f>
        <v>0.24761659245280265</v>
      </c>
      <c r="Y44" s="886"/>
      <c r="Z44" s="883"/>
      <c r="AA44" s="886"/>
      <c r="AB44" s="756"/>
    </row>
    <row r="45" spans="2:30">
      <c r="B45" s="871"/>
      <c r="D45" s="881"/>
      <c r="H45" s="904"/>
      <c r="I45" s="904"/>
      <c r="K45" s="904"/>
      <c r="L45" s="904"/>
      <c r="M45" s="882"/>
      <c r="N45" s="901"/>
      <c r="O45" s="901"/>
      <c r="P45" s="901"/>
      <c r="Q45" s="901"/>
      <c r="R45" s="901"/>
      <c r="S45" s="901"/>
      <c r="T45" s="901"/>
      <c r="U45" s="901"/>
      <c r="V45" s="905"/>
      <c r="W45" s="905"/>
      <c r="X45" s="906"/>
      <c r="Y45" s="901"/>
      <c r="Z45" s="883"/>
      <c r="AA45" s="901"/>
      <c r="AB45" s="756"/>
    </row>
    <row r="46" spans="2:30" ht="16.5" thickBot="1">
      <c r="B46" s="83">
        <f>MAX(B$15:B45)+1</f>
        <v>17</v>
      </c>
      <c r="D46" s="907" t="s">
        <v>332</v>
      </c>
      <c r="H46" s="908">
        <f>H44+H34+H21</f>
        <v>128476.41666666667</v>
      </c>
      <c r="I46" s="908">
        <f>I44+I34+I21</f>
        <v>136857.46597116848</v>
      </c>
      <c r="K46" s="908">
        <f>K44+K34+K21</f>
        <v>4880827.1987742558</v>
      </c>
      <c r="L46" s="908">
        <f ca="1">L44+L34+L21</f>
        <v>4031133.6260945611</v>
      </c>
      <c r="N46" s="909">
        <f>N44+N34+N21</f>
        <v>275214.43788963149</v>
      </c>
      <c r="O46" s="909">
        <f ca="1">O44+O34+O21</f>
        <v>348678.80268528266</v>
      </c>
      <c r="P46" s="886"/>
      <c r="Q46" s="909">
        <f ca="1">Q44+Q34+Q21</f>
        <v>354620.07968528266</v>
      </c>
      <c r="R46" s="727"/>
      <c r="S46" s="909" t="e">
        <f ca="1">S44+S34+S21</f>
        <v>#REF!</v>
      </c>
      <c r="T46" s="727"/>
      <c r="U46" s="909">
        <f ca="1">U44+U34+U21</f>
        <v>5941.277</v>
      </c>
      <c r="V46" s="910">
        <f ca="1">U46/O46</f>
        <v>1.7039398306534264E-2</v>
      </c>
      <c r="W46" s="886"/>
      <c r="X46" s="911">
        <f ca="1">(U46/L46)*100</f>
        <v>0.14738476942417864</v>
      </c>
      <c r="Y46" s="886"/>
      <c r="Z46" s="883"/>
      <c r="AA46" s="886"/>
      <c r="AB46" s="887" t="s">
        <v>31</v>
      </c>
      <c r="AD46" s="639" t="s">
        <v>31</v>
      </c>
    </row>
    <row r="47" spans="2:30" ht="16.5" thickTop="1">
      <c r="B47" s="912" t="s">
        <v>31</v>
      </c>
      <c r="C47" s="913"/>
      <c r="D47" s="913"/>
      <c r="H47" s="914"/>
      <c r="I47" s="914"/>
      <c r="K47" s="914"/>
      <c r="L47" s="914"/>
      <c r="N47" s="727"/>
      <c r="O47" s="727"/>
      <c r="P47" s="886"/>
      <c r="Q47" s="727"/>
      <c r="R47" s="727"/>
      <c r="S47" s="727"/>
      <c r="T47" s="727"/>
      <c r="U47" s="727"/>
      <c r="V47" s="915"/>
      <c r="W47" s="915"/>
      <c r="X47" s="126"/>
      <c r="Y47" s="886"/>
      <c r="Z47" s="883"/>
      <c r="AA47" s="886"/>
      <c r="AB47" s="756"/>
    </row>
    <row r="48" spans="2:30">
      <c r="B48" s="83">
        <v>18</v>
      </c>
      <c r="D48" s="639" t="s">
        <v>333</v>
      </c>
      <c r="H48" s="914"/>
      <c r="I48" s="914"/>
      <c r="K48" s="914"/>
      <c r="L48" s="914"/>
      <c r="N48" s="727">
        <v>311.00673999999998</v>
      </c>
      <c r="O48" s="885">
        <f ca="1">'Exhibit No.__(RMM-11) p1-8'!F1302/1000</f>
        <v>727.80209999999988</v>
      </c>
      <c r="P48" s="916"/>
      <c r="Q48" s="885">
        <f ca="1">O48</f>
        <v>727.80209999999988</v>
      </c>
      <c r="R48" s="727"/>
      <c r="S48" s="885">
        <f ca="1">Q48</f>
        <v>727.80209999999988</v>
      </c>
      <c r="T48" s="727"/>
      <c r="U48" s="437" t="s">
        <v>31</v>
      </c>
      <c r="V48" s="917"/>
      <c r="W48" s="917"/>
      <c r="X48" s="126"/>
      <c r="Y48" s="886"/>
      <c r="Z48" s="126"/>
      <c r="AA48" s="886"/>
      <c r="AB48" s="756"/>
    </row>
    <row r="49" spans="2:28">
      <c r="B49" s="83"/>
      <c r="H49" s="914"/>
      <c r="I49" s="914"/>
      <c r="K49" s="914"/>
      <c r="L49" s="914"/>
      <c r="N49" s="727"/>
      <c r="O49" s="727"/>
      <c r="P49" s="916"/>
      <c r="Q49" s="885"/>
      <c r="R49" s="727"/>
      <c r="S49" s="885"/>
      <c r="T49" s="727"/>
      <c r="U49" s="437"/>
      <c r="V49" s="917"/>
      <c r="W49" s="917"/>
      <c r="X49" s="126"/>
      <c r="Y49" s="886"/>
      <c r="Z49" s="126"/>
      <c r="AA49" s="886"/>
      <c r="AB49" s="756"/>
    </row>
    <row r="50" spans="2:28" ht="16.5" thickBot="1">
      <c r="B50" s="83">
        <v>19</v>
      </c>
      <c r="D50" s="84" t="s">
        <v>188</v>
      </c>
      <c r="H50" s="918">
        <f>SUM(H46:H48)</f>
        <v>128476.41666666667</v>
      </c>
      <c r="I50" s="918">
        <f>SUM(I46:I48)</f>
        <v>136857.46597116848</v>
      </c>
      <c r="K50" s="918">
        <f>SUM(K46:K48)</f>
        <v>4880827.1987742558</v>
      </c>
      <c r="L50" s="918">
        <f ca="1">SUM(L46:L48)</f>
        <v>4031133.6260945611</v>
      </c>
      <c r="N50" s="909">
        <f>SUM(N46:N48)</f>
        <v>275525.44462963147</v>
      </c>
      <c r="O50" s="909">
        <f ca="1">SUM(O46:O48)</f>
        <v>349406.60478528263</v>
      </c>
      <c r="Q50" s="919">
        <f ca="1">SUM(Q46:Q48)</f>
        <v>355347.88178528263</v>
      </c>
      <c r="R50" s="727"/>
      <c r="S50" s="919" t="e">
        <f ca="1">SUM(S46:S48)</f>
        <v>#REF!</v>
      </c>
      <c r="T50" s="727"/>
      <c r="U50" s="909">
        <f ca="1">SUM(U46:U48)</f>
        <v>5941.277</v>
      </c>
      <c r="V50" s="910">
        <f ca="1">U50/O50</f>
        <v>1.7003905818125661E-2</v>
      </c>
      <c r="W50" s="886"/>
      <c r="X50" s="126">
        <f ca="1">(U50/L50)*100</f>
        <v>0.14738476942417864</v>
      </c>
      <c r="Z50" s="756"/>
      <c r="AA50" s="756"/>
      <c r="AB50" s="756"/>
    </row>
    <row r="51" spans="2:28" ht="18.75" customHeight="1" thickTop="1">
      <c r="V51" s="437" t="s">
        <v>31</v>
      </c>
      <c r="W51" s="437"/>
    </row>
    <row r="52" spans="2:28" ht="18.75" customHeight="1">
      <c r="V52" s="886">
        <f ca="1">5941.277/O46</f>
        <v>1.7039398306534264E-2</v>
      </c>
      <c r="W52" s="446"/>
    </row>
    <row r="53" spans="2:28" ht="18.75" customHeight="1">
      <c r="U53" s="450"/>
      <c r="V53" s="446"/>
      <c r="W53" s="446"/>
    </row>
    <row r="54" spans="2:28" ht="18.75" customHeight="1">
      <c r="U54" s="715"/>
      <c r="V54" s="446"/>
      <c r="W54" s="446"/>
    </row>
    <row r="55" spans="2:28">
      <c r="N55" s="920"/>
      <c r="O55" s="920"/>
      <c r="P55" s="756"/>
      <c r="S55" s="437"/>
      <c r="U55" s="437"/>
      <c r="V55" s="446"/>
      <c r="W55" s="446"/>
      <c r="X55" s="756"/>
      <c r="Y55" s="756"/>
      <c r="Z55" s="756"/>
      <c r="AA55" s="756"/>
    </row>
    <row r="56" spans="2:28">
      <c r="P56" s="756"/>
      <c r="U56" s="446"/>
      <c r="X56" s="756"/>
      <c r="Y56" s="756"/>
      <c r="Z56" s="756"/>
      <c r="AA56" s="756"/>
    </row>
    <row r="57" spans="2:28">
      <c r="P57" s="756"/>
      <c r="U57" s="921"/>
      <c r="W57" s="922"/>
    </row>
    <row r="58" spans="2:28">
      <c r="P58" s="756"/>
      <c r="U58" s="923"/>
      <c r="V58" s="454"/>
      <c r="W58" s="454"/>
    </row>
    <row r="59" spans="2:28" hidden="1">
      <c r="P59" s="880"/>
      <c r="U59" s="923"/>
      <c r="V59" s="54"/>
      <c r="W59" s="54"/>
    </row>
    <row r="60" spans="2:28" hidden="1">
      <c r="P60" s="880"/>
      <c r="U60" s="923"/>
      <c r="V60" s="54"/>
      <c r="W60" s="54"/>
    </row>
    <row r="61" spans="2:28">
      <c r="U61" s="923"/>
      <c r="V61" s="54"/>
      <c r="W61" s="54"/>
    </row>
    <row r="62" spans="2:28">
      <c r="P62" s="924"/>
      <c r="V62" s="915"/>
      <c r="W62" s="915"/>
    </row>
    <row r="63" spans="2:28">
      <c r="V63" s="54"/>
      <c r="W63" s="54"/>
    </row>
    <row r="65" spans="22:23">
      <c r="V65" s="54"/>
      <c r="W65" s="54"/>
    </row>
  </sheetData>
  <mergeCells count="2">
    <mergeCell ref="U11:V11"/>
    <mergeCell ref="B47:D47"/>
  </mergeCells>
  <printOptions horizontalCentered="1"/>
  <pageMargins left="0.25" right="0.25" top="0.5" bottom="0.25" header="0.5" footer="0.25"/>
  <pageSetup scale="7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K69"/>
  <sheetViews>
    <sheetView workbookViewId="0">
      <selection sqref="A1:N1"/>
    </sheetView>
  </sheetViews>
  <sheetFormatPr defaultColWidth="10.25" defaultRowHeight="15.75"/>
  <cols>
    <col min="1" max="1" width="21.625" style="3" customWidth="1"/>
    <col min="2" max="2" width="5.875" style="3" customWidth="1"/>
    <col min="3" max="3" width="14.875" style="3" customWidth="1"/>
    <col min="4" max="4" width="14.875" style="3" hidden="1" customWidth="1"/>
    <col min="5" max="5" width="2.125" style="3" hidden="1" customWidth="1"/>
    <col min="6" max="6" width="16.875" style="3" hidden="1" customWidth="1"/>
    <col min="7" max="7" width="10.5" style="3" bestFit="1" customWidth="1"/>
    <col min="8" max="8" width="2.625" style="3" customWidth="1"/>
    <col min="9" max="9" width="15" style="3" customWidth="1"/>
    <col min="10" max="10" width="16.25" style="3" bestFit="1" customWidth="1"/>
    <col min="11" max="12" width="16.625" style="3" bestFit="1" customWidth="1"/>
    <col min="13" max="13" width="15.75" style="3" bestFit="1" customWidth="1"/>
    <col min="14" max="14" width="16.25" style="3" bestFit="1" customWidth="1"/>
    <col min="15" max="15" width="16.625" style="3" bestFit="1" customWidth="1"/>
    <col min="16" max="16" width="16.625" style="66" bestFit="1" customWidth="1"/>
    <col min="17" max="18" width="16.25" style="66" bestFit="1" customWidth="1"/>
    <col min="19" max="19" width="16.625" style="3" bestFit="1" customWidth="1"/>
    <col min="20" max="20" width="15.75" style="3" bestFit="1" customWidth="1"/>
    <col min="21" max="21" width="16.625" style="3" bestFit="1" customWidth="1"/>
    <col min="22" max="22" width="18.75" style="3" bestFit="1" customWidth="1"/>
    <col min="23" max="23" width="14.75" style="3" customWidth="1"/>
    <col min="24" max="24" width="13.25" style="3" bestFit="1" customWidth="1"/>
    <col min="25" max="25" width="13" style="3" bestFit="1" customWidth="1"/>
    <col min="26" max="26" width="12.25" style="3" bestFit="1" customWidth="1"/>
    <col min="27" max="27" width="5.5" style="3" bestFit="1" customWidth="1"/>
    <col min="28" max="28" width="18" style="3" customWidth="1"/>
    <col min="29" max="29" width="10.25" style="3" customWidth="1"/>
    <col min="30" max="30" width="12.125" style="3" customWidth="1"/>
    <col min="31" max="16384" width="10.25" style="3"/>
  </cols>
  <sheetData>
    <row r="1" spans="1:37" ht="18">
      <c r="A1" s="842" t="s">
        <v>178</v>
      </c>
      <c r="B1" s="842"/>
      <c r="C1" s="842"/>
      <c r="D1" s="842"/>
      <c r="E1" s="842"/>
      <c r="F1" s="842"/>
      <c r="G1" s="842"/>
      <c r="H1" s="842"/>
      <c r="I1" s="842"/>
      <c r="J1" s="842"/>
      <c r="K1" s="842"/>
      <c r="L1" s="842"/>
      <c r="M1" s="842"/>
      <c r="N1" s="842"/>
      <c r="O1" s="20"/>
      <c r="P1" s="71"/>
      <c r="Q1" s="71"/>
      <c r="R1" s="71"/>
      <c r="S1" s="20"/>
      <c r="T1" s="20"/>
      <c r="U1" s="20"/>
      <c r="V1" s="20"/>
      <c r="W1" s="20"/>
      <c r="X1" s="20"/>
      <c r="Y1" s="20"/>
      <c r="Z1" s="20"/>
      <c r="AA1" s="20"/>
      <c r="AB1" s="20"/>
      <c r="AC1" s="20"/>
      <c r="AD1" s="20"/>
      <c r="AE1" s="20"/>
      <c r="AF1" s="20"/>
      <c r="AG1" s="20"/>
      <c r="AH1" s="20"/>
      <c r="AI1" s="20"/>
    </row>
    <row r="2" spans="1:37" ht="18">
      <c r="A2" s="842" t="s">
        <v>334</v>
      </c>
      <c r="B2" s="842"/>
      <c r="C2" s="842"/>
      <c r="D2" s="842"/>
      <c r="E2" s="842"/>
      <c r="F2" s="842"/>
      <c r="G2" s="842"/>
      <c r="H2" s="842"/>
      <c r="I2" s="842"/>
      <c r="J2" s="842"/>
      <c r="K2" s="842"/>
      <c r="L2" s="842"/>
      <c r="M2" s="842"/>
      <c r="N2" s="842"/>
      <c r="O2" s="20"/>
      <c r="P2" s="71"/>
      <c r="Q2" s="71"/>
      <c r="R2" s="71"/>
      <c r="S2" s="20"/>
      <c r="T2" s="20"/>
      <c r="U2" s="20"/>
      <c r="V2" s="20"/>
      <c r="W2" s="20"/>
      <c r="X2" s="20"/>
      <c r="Y2" s="20"/>
      <c r="Z2" s="20"/>
      <c r="AA2" s="20"/>
      <c r="AB2" s="20"/>
      <c r="AC2" s="20"/>
      <c r="AD2" s="20"/>
      <c r="AE2" s="20"/>
      <c r="AF2" s="20"/>
      <c r="AG2" s="20"/>
      <c r="AH2" s="20"/>
      <c r="AI2" s="20"/>
    </row>
    <row r="3" spans="1:37" ht="18">
      <c r="A3" s="848" t="s">
        <v>831</v>
      </c>
      <c r="B3" s="842"/>
      <c r="C3" s="842"/>
      <c r="D3" s="842"/>
      <c r="E3" s="842"/>
      <c r="F3" s="842"/>
      <c r="G3" s="842"/>
      <c r="H3" s="842"/>
      <c r="I3" s="842"/>
      <c r="J3" s="842"/>
      <c r="K3" s="842"/>
      <c r="L3" s="842"/>
      <c r="M3" s="842"/>
      <c r="N3" s="842"/>
      <c r="O3" s="20"/>
      <c r="P3" s="71"/>
      <c r="Q3" s="71"/>
      <c r="R3" s="71"/>
      <c r="S3" s="20"/>
      <c r="T3" s="20"/>
      <c r="U3" s="20"/>
      <c r="V3" s="20"/>
      <c r="W3" s="20"/>
      <c r="X3" s="20"/>
      <c r="Y3" s="20"/>
      <c r="Z3" s="20"/>
      <c r="AA3" s="20"/>
      <c r="AB3" s="20"/>
      <c r="AC3" s="20"/>
      <c r="AD3" s="20"/>
      <c r="AE3" s="20"/>
      <c r="AF3" s="20"/>
      <c r="AG3" s="20"/>
      <c r="AH3" s="20"/>
      <c r="AI3" s="20"/>
    </row>
    <row r="4" spans="1:37" ht="18">
      <c r="A4" s="842"/>
      <c r="B4" s="842"/>
      <c r="C4" s="842"/>
      <c r="D4" s="842"/>
      <c r="E4" s="842"/>
      <c r="F4" s="842"/>
      <c r="G4" s="842"/>
      <c r="H4" s="842"/>
      <c r="I4" s="842"/>
      <c r="J4" s="842"/>
      <c r="K4" s="842"/>
      <c r="L4" s="842"/>
      <c r="M4" s="842"/>
      <c r="N4" s="842"/>
      <c r="O4" s="20"/>
      <c r="P4" s="71"/>
      <c r="Q4" s="71"/>
      <c r="R4" s="71"/>
      <c r="S4" s="20"/>
      <c r="T4" s="20"/>
      <c r="U4" s="20"/>
      <c r="V4" s="20"/>
      <c r="W4" s="20"/>
      <c r="X4" s="20"/>
      <c r="Y4" s="20"/>
      <c r="Z4" s="20"/>
      <c r="AA4" s="20"/>
      <c r="AB4" s="20"/>
      <c r="AC4" s="20"/>
      <c r="AD4" s="20"/>
      <c r="AE4" s="20"/>
      <c r="AF4" s="20"/>
      <c r="AG4" s="20"/>
      <c r="AH4" s="20"/>
      <c r="AI4" s="20"/>
    </row>
    <row r="5" spans="1:37">
      <c r="A5" s="136"/>
      <c r="B5" s="134"/>
      <c r="C5" s="134"/>
      <c r="D5" s="135"/>
      <c r="E5" s="135"/>
      <c r="F5" s="134"/>
      <c r="G5" s="135"/>
      <c r="H5" s="135"/>
      <c r="I5" s="134"/>
      <c r="J5" s="134"/>
      <c r="K5" s="134"/>
      <c r="L5" s="134"/>
      <c r="M5" s="134"/>
      <c r="N5" s="134"/>
      <c r="O5" s="20"/>
      <c r="P5" s="71"/>
      <c r="Q5" s="71"/>
      <c r="R5" s="71"/>
      <c r="S5" s="20"/>
      <c r="T5" s="20"/>
      <c r="U5" s="20"/>
      <c r="V5" s="20"/>
      <c r="W5" s="20"/>
      <c r="X5" s="20"/>
      <c r="Y5" s="20"/>
      <c r="Z5" s="20"/>
      <c r="AA5" s="20"/>
      <c r="AB5" s="20"/>
      <c r="AC5" s="20"/>
      <c r="AD5" s="20"/>
      <c r="AE5" s="20"/>
      <c r="AF5" s="20"/>
      <c r="AG5" s="20"/>
      <c r="AH5" s="20"/>
      <c r="AI5" s="20"/>
    </row>
    <row r="6" spans="1:37" hidden="1">
      <c r="A6" s="136"/>
      <c r="B6" s="134"/>
      <c r="C6" s="134"/>
      <c r="D6" s="135"/>
      <c r="E6" s="135"/>
      <c r="F6" s="134"/>
      <c r="G6" s="135"/>
      <c r="H6" s="135"/>
      <c r="I6" s="134"/>
      <c r="J6" s="134"/>
      <c r="K6" s="134"/>
      <c r="L6" s="134"/>
      <c r="M6" s="134"/>
      <c r="N6" s="134"/>
      <c r="O6" s="20"/>
      <c r="P6" s="71"/>
      <c r="Q6" s="71"/>
      <c r="R6" s="71"/>
      <c r="S6" s="71"/>
      <c r="T6" s="20"/>
      <c r="U6" s="20"/>
      <c r="V6" s="20"/>
      <c r="W6" s="20"/>
      <c r="X6" s="20"/>
      <c r="Y6" s="20"/>
      <c r="Z6" s="20"/>
      <c r="AA6" s="20"/>
      <c r="AB6" s="20"/>
      <c r="AC6" s="20"/>
      <c r="AD6" s="20"/>
      <c r="AE6" s="20"/>
      <c r="AF6" s="20"/>
      <c r="AG6" s="20"/>
      <c r="AH6" s="20"/>
      <c r="AI6" s="20"/>
    </row>
    <row r="7" spans="1:37" hidden="1">
      <c r="A7" s="134"/>
      <c r="B7" s="134"/>
      <c r="C7" s="134"/>
      <c r="D7" s="135"/>
      <c r="E7" s="135"/>
      <c r="F7" s="134"/>
      <c r="G7" s="135"/>
      <c r="H7" s="135"/>
      <c r="I7" s="134"/>
      <c r="J7" s="134"/>
      <c r="K7" s="134"/>
      <c r="L7" s="134"/>
      <c r="M7" s="134"/>
      <c r="N7" s="134"/>
      <c r="O7" s="20"/>
      <c r="P7" s="71"/>
      <c r="Q7" s="71"/>
      <c r="S7" s="20"/>
      <c r="T7" s="20"/>
      <c r="U7" s="20"/>
      <c r="V7" s="20"/>
      <c r="W7" s="20"/>
      <c r="X7" s="20"/>
      <c r="Y7" s="20"/>
      <c r="Z7" s="20"/>
      <c r="AA7" s="20"/>
      <c r="AB7" s="20"/>
      <c r="AC7" s="20"/>
      <c r="AD7" s="20"/>
      <c r="AE7" s="20"/>
      <c r="AF7" s="20"/>
      <c r="AG7" s="20"/>
      <c r="AH7" s="20"/>
      <c r="AI7" s="20"/>
    </row>
    <row r="8" spans="1:37">
      <c r="A8" s="137"/>
      <c r="B8" s="137"/>
      <c r="C8" s="138"/>
      <c r="D8" s="139"/>
      <c r="E8" s="139"/>
      <c r="F8" s="140" t="s">
        <v>570</v>
      </c>
      <c r="G8" s="139"/>
      <c r="H8" s="139"/>
      <c r="I8" s="430" t="s">
        <v>190</v>
      </c>
      <c r="J8" s="430"/>
      <c r="K8" s="430"/>
      <c r="L8" s="430"/>
      <c r="M8" s="430"/>
      <c r="N8" s="430"/>
      <c r="O8" s="20"/>
      <c r="P8" s="71"/>
      <c r="Q8" s="71"/>
      <c r="R8" s="71"/>
      <c r="S8" s="20"/>
      <c r="T8" s="20"/>
      <c r="U8" s="20"/>
      <c r="V8" s="20"/>
      <c r="W8" s="20"/>
      <c r="X8" s="20"/>
      <c r="Y8" s="20"/>
      <c r="Z8" s="20"/>
      <c r="AA8" s="20"/>
      <c r="AB8" s="20"/>
      <c r="AC8" s="20"/>
      <c r="AD8" s="20"/>
      <c r="AE8" s="20"/>
      <c r="AF8" s="20"/>
      <c r="AG8" s="20"/>
      <c r="AH8" s="20"/>
      <c r="AI8" s="20"/>
    </row>
    <row r="9" spans="1:37">
      <c r="A9" s="137"/>
      <c r="B9" s="137"/>
      <c r="C9" s="138" t="s">
        <v>336</v>
      </c>
      <c r="D9" s="140" t="s">
        <v>608</v>
      </c>
      <c r="E9" s="139"/>
      <c r="F9" s="142" t="s">
        <v>337</v>
      </c>
      <c r="G9" s="140" t="s">
        <v>190</v>
      </c>
      <c r="H9" s="140"/>
      <c r="I9" s="430" t="s">
        <v>337</v>
      </c>
      <c r="J9" s="430"/>
      <c r="K9" s="430"/>
      <c r="L9" s="430"/>
      <c r="M9" s="430"/>
      <c r="N9" s="430"/>
      <c r="O9" s="20"/>
      <c r="P9" s="71"/>
      <c r="Q9" s="71"/>
      <c r="R9" s="71"/>
      <c r="S9" s="20"/>
      <c r="T9" s="20"/>
      <c r="U9" s="20"/>
      <c r="V9" s="20"/>
      <c r="W9" s="20"/>
      <c r="X9" s="20"/>
      <c r="Y9" s="20"/>
      <c r="Z9" s="20"/>
      <c r="AA9" s="20"/>
      <c r="AB9" s="20"/>
      <c r="AC9" s="20"/>
      <c r="AD9" s="20"/>
      <c r="AE9" s="20"/>
      <c r="AF9" s="20"/>
      <c r="AG9" s="20"/>
      <c r="AH9" s="20"/>
      <c r="AI9" s="20"/>
    </row>
    <row r="10" spans="1:37">
      <c r="A10" s="137"/>
      <c r="B10" s="137"/>
      <c r="C10" s="143" t="s">
        <v>294</v>
      </c>
      <c r="D10" s="144" t="s">
        <v>13</v>
      </c>
      <c r="E10" s="145"/>
      <c r="F10" s="144" t="s">
        <v>294</v>
      </c>
      <c r="G10" s="144" t="s">
        <v>13</v>
      </c>
      <c r="H10" s="142"/>
      <c r="I10" s="140" t="s">
        <v>294</v>
      </c>
      <c r="J10" s="140"/>
      <c r="K10" s="140"/>
      <c r="L10" s="140"/>
      <c r="M10" s="140"/>
      <c r="N10" s="140"/>
      <c r="O10" s="20"/>
      <c r="P10" s="71"/>
      <c r="Q10" s="71"/>
      <c r="R10" s="71"/>
      <c r="S10" s="20"/>
      <c r="T10" s="20"/>
      <c r="U10" s="20"/>
      <c r="V10" s="20"/>
      <c r="W10" s="20"/>
      <c r="X10" s="20"/>
      <c r="Y10" s="20"/>
      <c r="Z10" s="20"/>
      <c r="AA10" s="20"/>
      <c r="AB10" s="20"/>
      <c r="AC10" s="20"/>
      <c r="AD10" s="20"/>
      <c r="AE10" s="20"/>
      <c r="AF10" s="20"/>
      <c r="AG10" s="20"/>
      <c r="AH10" s="20"/>
      <c r="AI10" s="20"/>
    </row>
    <row r="11" spans="1:37">
      <c r="A11" s="146"/>
      <c r="F11" s="147"/>
      <c r="I11" s="147"/>
      <c r="J11" s="147"/>
      <c r="K11" s="147"/>
      <c r="L11" s="147"/>
      <c r="M11" s="147"/>
      <c r="N11" s="147"/>
      <c r="O11" s="20"/>
      <c r="P11" s="71"/>
      <c r="Q11" s="71"/>
      <c r="R11" s="71"/>
      <c r="S11" s="20"/>
      <c r="T11" s="20"/>
      <c r="U11" s="20"/>
      <c r="V11" s="20"/>
      <c r="W11" s="20"/>
      <c r="X11" s="20"/>
      <c r="Y11" s="20"/>
      <c r="Z11" s="20"/>
      <c r="AA11" s="20"/>
      <c r="AB11" s="20"/>
      <c r="AC11" s="20"/>
      <c r="AD11" s="20"/>
      <c r="AE11" s="20"/>
      <c r="AF11" s="20"/>
      <c r="AG11" s="20"/>
      <c r="AH11" s="20"/>
      <c r="AI11" s="20"/>
    </row>
    <row r="12" spans="1:37">
      <c r="A12" s="735" t="s">
        <v>835</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1"/>
    </row>
    <row r="13" spans="1:37">
      <c r="A13" s="1" t="s">
        <v>318</v>
      </c>
      <c r="B13" s="1"/>
      <c r="C13" s="1" t="s">
        <v>31</v>
      </c>
      <c r="D13" s="21"/>
      <c r="E13" s="21"/>
      <c r="F13" s="1"/>
      <c r="G13" s="21"/>
      <c r="H13" s="1"/>
      <c r="I13" s="1"/>
      <c r="J13" s="1"/>
      <c r="K13" s="1"/>
      <c r="L13" s="1"/>
      <c r="M13" s="1"/>
      <c r="N13" s="1"/>
      <c r="O13" s="20"/>
      <c r="P13" s="71"/>
      <c r="Q13" s="71"/>
      <c r="R13" s="71"/>
      <c r="S13" s="20"/>
      <c r="T13" s="20"/>
      <c r="U13" s="20"/>
      <c r="V13" s="20"/>
      <c r="W13" s="20"/>
      <c r="X13" s="20"/>
      <c r="Y13" s="20"/>
      <c r="Z13" s="20"/>
      <c r="AA13" s="20"/>
      <c r="AB13" s="20"/>
      <c r="AC13" s="20"/>
      <c r="AD13" s="20"/>
      <c r="AE13" s="20"/>
      <c r="AF13" s="20"/>
      <c r="AG13" s="20"/>
      <c r="AH13" s="20"/>
      <c r="AI13" s="20"/>
      <c r="AK13" s="81"/>
    </row>
    <row r="14" spans="1:37">
      <c r="A14" s="232" t="s">
        <v>834</v>
      </c>
      <c r="B14" s="1"/>
      <c r="C14" s="1"/>
      <c r="D14" s="21"/>
      <c r="E14" s="21"/>
      <c r="F14" s="1"/>
      <c r="G14" s="21"/>
      <c r="H14" s="1"/>
      <c r="I14" s="1"/>
      <c r="J14" s="1"/>
      <c r="K14" s="1"/>
      <c r="L14" s="1"/>
      <c r="M14" s="1"/>
      <c r="N14" s="1"/>
      <c r="O14" s="20"/>
      <c r="P14" s="71"/>
      <c r="Q14" s="71"/>
      <c r="R14" s="71"/>
      <c r="S14" s="7" t="s">
        <v>31</v>
      </c>
      <c r="T14" s="20"/>
      <c r="U14" s="20"/>
      <c r="V14" s="20"/>
      <c r="W14" s="20"/>
      <c r="X14" s="20"/>
      <c r="Y14" s="20"/>
      <c r="Z14" s="20"/>
      <c r="AA14" s="20"/>
      <c r="AB14" s="20"/>
      <c r="AC14" s="20"/>
      <c r="AD14" s="20"/>
      <c r="AE14" s="20"/>
      <c r="AF14" s="20"/>
      <c r="AG14" s="20"/>
      <c r="AH14" s="20"/>
      <c r="AI14" s="20"/>
      <c r="AK14" s="81"/>
    </row>
    <row r="15" spans="1:37">
      <c r="A15" s="1" t="s">
        <v>358</v>
      </c>
      <c r="B15" s="1"/>
      <c r="C15" s="21" t="e">
        <f>#REF!-C28</f>
        <v>#REF!</v>
      </c>
      <c r="D15" s="182">
        <v>6</v>
      </c>
      <c r="E15" s="1"/>
      <c r="F15" s="2">
        <v>7578622</v>
      </c>
      <c r="G15" s="182">
        <v>7.75</v>
      </c>
      <c r="H15" s="1"/>
      <c r="I15" s="2" t="e">
        <f>ROUND(G15*C15,0)</f>
        <v>#REF!</v>
      </c>
      <c r="J15" s="2"/>
      <c r="K15" s="2"/>
      <c r="L15" s="2"/>
      <c r="M15" s="2"/>
      <c r="N15" s="2"/>
      <c r="O15" s="20"/>
      <c r="P15" s="71"/>
      <c r="Q15" s="71"/>
      <c r="R15" s="71"/>
      <c r="S15" s="20"/>
      <c r="T15" s="20"/>
      <c r="U15" s="20"/>
      <c r="V15" s="20"/>
      <c r="W15" s="20"/>
      <c r="X15" s="20"/>
      <c r="Y15" s="20"/>
      <c r="Z15" s="20"/>
      <c r="AA15" s="20"/>
      <c r="AB15" s="20"/>
      <c r="AC15" s="20"/>
      <c r="AD15" s="20"/>
      <c r="AE15" s="20"/>
      <c r="AF15" s="20"/>
      <c r="AG15" s="20"/>
      <c r="AH15" s="20"/>
      <c r="AI15" s="20"/>
      <c r="AK15" s="81"/>
    </row>
    <row r="16" spans="1:37">
      <c r="A16" s="1" t="s">
        <v>361</v>
      </c>
      <c r="B16" s="1"/>
      <c r="C16" s="21" t="e">
        <f>#REF!-C29</f>
        <v>#REF!</v>
      </c>
      <c r="D16" s="183">
        <v>5.9489999999999998</v>
      </c>
      <c r="E16" s="1" t="s">
        <v>362</v>
      </c>
      <c r="F16" s="2">
        <v>42058950</v>
      </c>
      <c r="G16" s="183">
        <v>6.4249999999999998</v>
      </c>
      <c r="H16" s="1" t="s">
        <v>362</v>
      </c>
      <c r="I16" s="2" t="e">
        <f>ROUND(C16*G16/100,0)</f>
        <v>#REF!</v>
      </c>
      <c r="J16" s="2"/>
      <c r="K16" s="2"/>
      <c r="L16" s="2"/>
      <c r="M16" s="2"/>
      <c r="N16" s="2"/>
      <c r="O16" s="20"/>
      <c r="P16" s="71"/>
      <c r="Q16" s="71"/>
      <c r="R16" s="71"/>
      <c r="S16" s="20"/>
      <c r="T16" s="20"/>
      <c r="U16" s="20"/>
      <c r="V16" s="20"/>
      <c r="W16" s="20"/>
      <c r="X16" s="20"/>
      <c r="Y16" s="20"/>
      <c r="Z16" s="20"/>
      <c r="AA16" s="20"/>
      <c r="AB16" s="20"/>
      <c r="AC16" s="20"/>
      <c r="AD16" s="20"/>
      <c r="AE16" s="20"/>
      <c r="AF16" s="20"/>
      <c r="AG16" s="20"/>
      <c r="AH16" s="20"/>
      <c r="AI16" s="20"/>
      <c r="AK16" s="81"/>
    </row>
    <row r="17" spans="1:37">
      <c r="A17" s="1" t="s">
        <v>363</v>
      </c>
      <c r="B17" s="21"/>
      <c r="C17" s="21" t="e">
        <f>#REF!-C30</f>
        <v>#REF!</v>
      </c>
      <c r="D17" s="183">
        <v>9.4159999999999986</v>
      </c>
      <c r="E17" s="1" t="s">
        <v>362</v>
      </c>
      <c r="F17" s="2">
        <v>79398076</v>
      </c>
      <c r="G17" s="183">
        <v>10.166</v>
      </c>
      <c r="H17" s="1" t="s">
        <v>362</v>
      </c>
      <c r="I17" s="2" t="e">
        <f>ROUND(C17*G17/100,0)</f>
        <v>#REF!</v>
      </c>
      <c r="J17" s="2"/>
      <c r="K17" s="2"/>
      <c r="L17" s="2"/>
      <c r="M17" s="2"/>
      <c r="N17" s="2"/>
      <c r="O17" s="20"/>
      <c r="P17" s="71"/>
      <c r="Q17" s="71"/>
      <c r="R17" s="71"/>
      <c r="S17" s="20"/>
      <c r="T17" s="20"/>
      <c r="U17" s="20"/>
      <c r="V17" s="20"/>
      <c r="W17" s="20"/>
      <c r="X17" s="20"/>
      <c r="Y17" s="20"/>
      <c r="Z17" s="20"/>
      <c r="AA17" s="20"/>
      <c r="AB17" s="20"/>
      <c r="AC17" s="20"/>
      <c r="AD17" s="20"/>
      <c r="AE17" s="20"/>
      <c r="AF17" s="20"/>
      <c r="AG17" s="20"/>
      <c r="AH17" s="20"/>
      <c r="AI17" s="20"/>
      <c r="AK17" s="81"/>
    </row>
    <row r="18" spans="1:37">
      <c r="A18" s="1" t="s">
        <v>365</v>
      </c>
      <c r="B18" s="1"/>
      <c r="C18" s="21" t="e">
        <f>#REF!-C31</f>
        <v>#REF!</v>
      </c>
      <c r="D18" s="185">
        <v>1.65</v>
      </c>
      <c r="E18" s="1"/>
      <c r="F18" s="2">
        <v>8755</v>
      </c>
      <c r="G18" s="185">
        <v>1.71</v>
      </c>
      <c r="H18" s="1"/>
      <c r="I18" s="2" t="e">
        <f>ROUND(C18*G18,0)</f>
        <v>#REF!</v>
      </c>
      <c r="J18" s="2"/>
      <c r="K18" s="2"/>
      <c r="L18" s="2"/>
      <c r="M18" s="2"/>
      <c r="N18" s="2"/>
      <c r="O18" s="20"/>
      <c r="P18" s="71"/>
      <c r="Q18" s="71"/>
      <c r="R18" s="71"/>
      <c r="S18" s="20"/>
      <c r="T18" s="20"/>
      <c r="U18" s="20"/>
      <c r="V18" s="20"/>
      <c r="W18" s="20"/>
      <c r="X18" s="20"/>
      <c r="Y18" s="20"/>
      <c r="Z18" s="20"/>
      <c r="AA18" s="20"/>
      <c r="AB18" s="20"/>
      <c r="AC18" s="20"/>
      <c r="AD18" s="20"/>
      <c r="AE18" s="20"/>
      <c r="AF18" s="20"/>
      <c r="AG18" s="20"/>
      <c r="AH18" s="20"/>
      <c r="AI18" s="20"/>
      <c r="AK18" s="81"/>
    </row>
    <row r="19" spans="1:37">
      <c r="A19" s="187" t="s">
        <v>367</v>
      </c>
      <c r="B19" s="187"/>
      <c r="C19" s="21" t="e">
        <f>#REF!-C32</f>
        <v>#REF!</v>
      </c>
      <c r="D19" s="185">
        <v>3.2</v>
      </c>
      <c r="E19" s="187"/>
      <c r="F19" s="2">
        <v>2250</v>
      </c>
      <c r="G19" s="185">
        <v>3.3</v>
      </c>
      <c r="H19" s="187"/>
      <c r="I19" s="2" t="e">
        <f>ROUND(C19*G19,0)</f>
        <v>#REF!</v>
      </c>
      <c r="J19" s="2"/>
      <c r="K19" s="2"/>
      <c r="L19" s="2"/>
      <c r="M19" s="2"/>
      <c r="N19" s="2"/>
      <c r="O19" s="20"/>
      <c r="P19" s="71"/>
      <c r="Q19" s="71"/>
      <c r="R19" s="71"/>
      <c r="S19" s="20"/>
      <c r="T19" s="20"/>
      <c r="U19" s="20"/>
      <c r="V19" s="20"/>
      <c r="W19" s="20"/>
      <c r="X19" s="20"/>
      <c r="Y19" s="20"/>
      <c r="Z19" s="20"/>
      <c r="AA19" s="20"/>
      <c r="AB19" s="20"/>
      <c r="AC19" s="20"/>
      <c r="AD19" s="20"/>
      <c r="AE19" s="20"/>
      <c r="AF19" s="20"/>
      <c r="AG19" s="20"/>
      <c r="AH19" s="20"/>
      <c r="AI19" s="20"/>
      <c r="AK19" s="81"/>
    </row>
    <row r="20" spans="1:37" s="648" customFormat="1">
      <c r="A20" s="588" t="s">
        <v>368</v>
      </c>
      <c r="C20" s="650" t="e">
        <f>#REF!-C33</f>
        <v>#REF!</v>
      </c>
      <c r="D20" s="153">
        <v>-1.65</v>
      </c>
      <c r="E20" s="649"/>
      <c r="F20" s="651">
        <v>-117</v>
      </c>
      <c r="G20" s="153">
        <v>-1.71</v>
      </c>
      <c r="H20" s="649"/>
      <c r="I20" s="2" t="e">
        <f>ROUND(C20*G20,0)</f>
        <v>#REF!</v>
      </c>
      <c r="J20" s="2"/>
      <c r="K20" s="2"/>
      <c r="L20" s="2"/>
      <c r="M20" s="2"/>
      <c r="N20" s="2"/>
      <c r="P20" s="450"/>
      <c r="S20" s="653"/>
      <c r="T20" s="653"/>
      <c r="Y20" s="649"/>
      <c r="Z20" s="649"/>
      <c r="AA20" s="649"/>
      <c r="AB20" s="649"/>
      <c r="AC20" s="649"/>
      <c r="AD20" s="649"/>
      <c r="AE20" s="649"/>
      <c r="AF20" s="649"/>
      <c r="AG20" s="649"/>
      <c r="AH20" s="649"/>
      <c r="AI20" s="649"/>
      <c r="AK20" s="652"/>
    </row>
    <row r="21" spans="1:37">
      <c r="A21" s="1" t="s">
        <v>369</v>
      </c>
      <c r="B21" s="1"/>
      <c r="C21" s="234" t="e">
        <f>SUM(C16:C17)</f>
        <v>#REF!</v>
      </c>
      <c r="D21" s="50"/>
      <c r="E21" s="50"/>
      <c r="F21" s="50">
        <v>129046536</v>
      </c>
      <c r="G21" s="50"/>
      <c r="H21" s="50"/>
      <c r="I21" s="2" t="e">
        <f>SUM(I15:I20)</f>
        <v>#REF!</v>
      </c>
      <c r="J21" s="2"/>
      <c r="K21" s="2"/>
      <c r="L21" s="2"/>
      <c r="M21" s="2"/>
      <c r="N21" s="2"/>
      <c r="O21" s="295"/>
      <c r="P21" s="354"/>
      <c r="Q21" s="71"/>
      <c r="R21" s="71"/>
      <c r="S21" s="20"/>
      <c r="T21" s="20"/>
      <c r="U21" s="20"/>
      <c r="V21" s="20"/>
      <c r="W21" s="20"/>
      <c r="X21" s="20"/>
      <c r="Y21" s="20"/>
      <c r="Z21" s="20"/>
      <c r="AA21" s="20"/>
      <c r="AB21" s="20"/>
      <c r="AC21" s="20"/>
      <c r="AD21" s="20"/>
      <c r="AE21" s="20"/>
      <c r="AF21" s="20"/>
      <c r="AG21" s="20"/>
      <c r="AH21" s="20"/>
      <c r="AI21" s="20"/>
      <c r="AK21" s="81"/>
    </row>
    <row r="22" spans="1:37">
      <c r="A22" s="1" t="s">
        <v>351</v>
      </c>
      <c r="B22" s="1"/>
      <c r="C22" s="224">
        <f>V56</f>
        <v>-20556736.125963882</v>
      </c>
      <c r="D22" s="431"/>
      <c r="E22" s="431"/>
      <c r="F22" s="431">
        <v>1987055.0327333291</v>
      </c>
      <c r="G22" s="50"/>
      <c r="H22" s="50"/>
      <c r="I22" s="737" t="e">
        <f>#REF!*I21/(I21+I34)</f>
        <v>#REF!</v>
      </c>
      <c r="J22" s="738"/>
      <c r="K22" s="738"/>
      <c r="L22" s="738"/>
      <c r="M22" s="738"/>
      <c r="N22" s="738"/>
      <c r="O22" s="295"/>
      <c r="P22" s="354"/>
      <c r="Q22" s="71"/>
      <c r="R22" s="71"/>
      <c r="S22" s="20"/>
      <c r="T22" s="20"/>
      <c r="U22" s="20"/>
      <c r="V22" s="20"/>
      <c r="W22" s="20"/>
      <c r="X22" s="20"/>
      <c r="Y22" s="20"/>
      <c r="Z22" s="20"/>
      <c r="AA22" s="20"/>
      <c r="AB22" s="20"/>
      <c r="AC22" s="20"/>
      <c r="AD22" s="20"/>
      <c r="AE22" s="20"/>
      <c r="AF22" s="20"/>
      <c r="AG22" s="20"/>
      <c r="AH22" s="20"/>
      <c r="AI22" s="20"/>
      <c r="AK22" s="81"/>
    </row>
    <row r="23" spans="1:37" ht="16.5" thickBot="1">
      <c r="A23" s="1" t="s">
        <v>370</v>
      </c>
      <c r="B23" s="1"/>
      <c r="C23" s="434" t="e">
        <f>SUM(C21:C22)</f>
        <v>#REF!</v>
      </c>
      <c r="D23" s="432"/>
      <c r="E23" s="432"/>
      <c r="F23" s="432">
        <v>131033591.03273334</v>
      </c>
      <c r="G23" s="433"/>
      <c r="H23" s="433"/>
      <c r="I23" s="432" t="e">
        <f>SUM(I21:I22)</f>
        <v>#REF!</v>
      </c>
      <c r="J23" s="50"/>
      <c r="K23" s="50"/>
      <c r="L23" s="50"/>
      <c r="M23" s="50"/>
      <c r="N23" s="50"/>
      <c r="O23" s="295"/>
      <c r="P23" s="354"/>
      <c r="Q23" s="71"/>
      <c r="R23" s="71"/>
      <c r="S23" s="20"/>
      <c r="T23" s="20"/>
      <c r="U23" s="20"/>
      <c r="V23" s="20"/>
      <c r="W23" s="20"/>
      <c r="X23" s="20"/>
      <c r="Y23" s="20"/>
      <c r="Z23" s="20"/>
      <c r="AA23" s="20"/>
      <c r="AB23" s="20"/>
      <c r="AC23" s="20"/>
      <c r="AD23" s="20"/>
      <c r="AE23" s="20"/>
      <c r="AF23" s="20"/>
      <c r="AG23" s="20"/>
      <c r="AH23" s="20"/>
      <c r="AI23" s="20"/>
      <c r="AK23" s="81"/>
    </row>
    <row r="24" spans="1:37" ht="16.5" thickTop="1"/>
    <row r="25" spans="1:37">
      <c r="A25" s="735" t="s">
        <v>856</v>
      </c>
    </row>
    <row r="26" spans="1:37">
      <c r="A26" s="1" t="s">
        <v>318</v>
      </c>
    </row>
    <row r="27" spans="1:37">
      <c r="A27" s="232" t="s">
        <v>833</v>
      </c>
    </row>
    <row r="28" spans="1:37">
      <c r="A28" s="1" t="s">
        <v>358</v>
      </c>
      <c r="B28" s="1"/>
      <c r="C28" s="21">
        <v>2626.10193548387</v>
      </c>
      <c r="D28" s="182">
        <v>6</v>
      </c>
      <c r="E28" s="1"/>
      <c r="F28" s="2">
        <f>ROUND(D28*$C28,0)</f>
        <v>15757</v>
      </c>
      <c r="G28" s="182">
        <v>7.75</v>
      </c>
      <c r="H28" s="1"/>
      <c r="I28" s="2">
        <f>ROUND(G28*C28,0)</f>
        <v>20352</v>
      </c>
      <c r="J28" s="2"/>
      <c r="K28" s="2"/>
      <c r="L28" s="2"/>
      <c r="M28" s="2"/>
      <c r="N28" s="2"/>
      <c r="O28" s="20"/>
      <c r="P28" s="71"/>
      <c r="Q28" s="71"/>
      <c r="R28" s="71"/>
      <c r="S28" s="20"/>
      <c r="T28" s="20"/>
      <c r="U28" s="20"/>
      <c r="V28" s="20"/>
      <c r="W28" s="20"/>
      <c r="X28" s="20"/>
      <c r="Y28" s="20"/>
      <c r="Z28" s="20"/>
      <c r="AA28" s="20"/>
      <c r="AB28" s="20"/>
      <c r="AC28" s="20"/>
      <c r="AD28" s="20"/>
      <c r="AE28" s="20"/>
      <c r="AF28" s="20"/>
      <c r="AG28" s="20"/>
      <c r="AH28" s="20"/>
      <c r="AI28" s="20"/>
      <c r="AK28" s="81"/>
    </row>
    <row r="29" spans="1:37">
      <c r="A29" s="1" t="s">
        <v>361</v>
      </c>
      <c r="B29" s="1"/>
      <c r="C29" s="21">
        <v>1055889</v>
      </c>
      <c r="D29" s="183">
        <v>5.9489999999999998</v>
      </c>
      <c r="E29" s="1" t="s">
        <v>362</v>
      </c>
      <c r="F29" s="2">
        <f>ROUND(D29*$C29/100,0)</f>
        <v>62815</v>
      </c>
      <c r="G29" s="183">
        <v>6.4249999999999998</v>
      </c>
      <c r="H29" s="1" t="s">
        <v>362</v>
      </c>
      <c r="I29" s="2">
        <f>ROUND(C29*G29/100,0)</f>
        <v>67841</v>
      </c>
      <c r="J29" s="2"/>
      <c r="K29" s="2"/>
      <c r="L29" s="2"/>
      <c r="M29" s="2"/>
      <c r="N29" s="2"/>
      <c r="O29" s="20"/>
      <c r="P29" s="71"/>
      <c r="Q29" s="71"/>
      <c r="R29" s="71"/>
      <c r="S29" s="20"/>
      <c r="T29" s="20"/>
      <c r="U29" s="20"/>
      <c r="V29" s="20"/>
      <c r="W29" s="20"/>
      <c r="X29" s="20"/>
      <c r="Y29" s="20"/>
      <c r="Z29" s="20"/>
      <c r="AA29" s="20"/>
      <c r="AB29" s="20"/>
      <c r="AC29" s="20"/>
      <c r="AD29" s="20"/>
      <c r="AE29" s="20"/>
      <c r="AF29" s="20"/>
      <c r="AG29" s="20"/>
      <c r="AH29" s="20"/>
      <c r="AI29" s="20"/>
      <c r="AK29" s="81"/>
    </row>
    <row r="30" spans="1:37">
      <c r="A30" s="1" t="s">
        <v>363</v>
      </c>
      <c r="B30" s="21"/>
      <c r="C30" s="21">
        <v>1843001</v>
      </c>
      <c r="D30" s="183">
        <v>9.4159999999999986</v>
      </c>
      <c r="E30" s="1" t="s">
        <v>362</v>
      </c>
      <c r="F30" s="2">
        <f>ROUND(D30*$C30/100,0)</f>
        <v>173537</v>
      </c>
      <c r="G30" s="183">
        <v>10.166</v>
      </c>
      <c r="H30" s="1" t="s">
        <v>362</v>
      </c>
      <c r="I30" s="2">
        <f>ROUND(C30*G30/100,0)</f>
        <v>187359</v>
      </c>
      <c r="J30" s="2"/>
      <c r="K30" s="2"/>
      <c r="L30" s="2"/>
      <c r="M30" s="2"/>
      <c r="N30" s="2"/>
      <c r="O30" s="20"/>
      <c r="P30" s="71"/>
      <c r="Q30" s="71"/>
      <c r="R30" s="71"/>
      <c r="S30" s="20"/>
      <c r="T30" s="20"/>
      <c r="U30" s="20"/>
      <c r="V30" s="20"/>
      <c r="W30" s="20"/>
      <c r="X30" s="20"/>
      <c r="Y30" s="20"/>
      <c r="Z30" s="20"/>
      <c r="AA30" s="20"/>
      <c r="AB30" s="20"/>
      <c r="AC30" s="20"/>
      <c r="AD30" s="20"/>
      <c r="AE30" s="20"/>
      <c r="AF30" s="20"/>
      <c r="AG30" s="20"/>
      <c r="AH30" s="20"/>
      <c r="AI30" s="20"/>
      <c r="AK30" s="81"/>
    </row>
    <row r="31" spans="1:37">
      <c r="A31" s="1" t="s">
        <v>365</v>
      </c>
      <c r="B31" s="1"/>
      <c r="C31" s="21">
        <v>0</v>
      </c>
      <c r="D31" s="185">
        <v>1.65</v>
      </c>
      <c r="E31" s="1"/>
      <c r="F31" s="2">
        <f>ROUND(D31*$C31,0)</f>
        <v>0</v>
      </c>
      <c r="G31" s="185">
        <v>1.71</v>
      </c>
      <c r="H31" s="1"/>
      <c r="I31" s="2">
        <f>ROUND(C31*G31,0)</f>
        <v>0</v>
      </c>
      <c r="J31" s="2"/>
      <c r="K31" s="2"/>
      <c r="L31" s="2"/>
      <c r="M31" s="2"/>
      <c r="N31" s="2"/>
      <c r="O31" s="20"/>
      <c r="P31" s="71"/>
      <c r="Q31" s="71"/>
      <c r="R31" s="71"/>
      <c r="S31" s="20"/>
      <c r="T31" s="20"/>
      <c r="U31" s="20"/>
      <c r="V31" s="20"/>
      <c r="W31" s="20"/>
      <c r="X31" s="20"/>
      <c r="Y31" s="20"/>
      <c r="Z31" s="20"/>
      <c r="AA31" s="20"/>
      <c r="AB31" s="20"/>
      <c r="AC31" s="20"/>
      <c r="AD31" s="20"/>
      <c r="AE31" s="20"/>
      <c r="AF31" s="20"/>
      <c r="AG31" s="20"/>
      <c r="AH31" s="20"/>
      <c r="AI31" s="20"/>
      <c r="AK31" s="81"/>
    </row>
    <row r="32" spans="1:37">
      <c r="A32" s="187" t="s">
        <v>367</v>
      </c>
      <c r="B32" s="187"/>
      <c r="C32" s="21">
        <v>0</v>
      </c>
      <c r="D32" s="185">
        <v>3.2</v>
      </c>
      <c r="E32" s="187"/>
      <c r="F32" s="2">
        <f>ROUND(D32*$C32,0)</f>
        <v>0</v>
      </c>
      <c r="G32" s="185">
        <v>3.3</v>
      </c>
      <c r="H32" s="187"/>
      <c r="I32" s="2">
        <f>ROUND(C32*G32,0)</f>
        <v>0</v>
      </c>
      <c r="J32" s="2"/>
      <c r="K32" s="2"/>
      <c r="L32" s="2"/>
      <c r="M32" s="2"/>
      <c r="N32" s="2"/>
      <c r="O32" s="20"/>
      <c r="P32" s="71"/>
      <c r="Q32" s="71"/>
      <c r="R32" s="71"/>
      <c r="S32" s="20"/>
      <c r="T32" s="20"/>
      <c r="U32" s="20"/>
      <c r="V32" s="20"/>
      <c r="W32" s="20"/>
      <c r="X32" s="20"/>
      <c r="Y32" s="20"/>
      <c r="Z32" s="20"/>
      <c r="AA32" s="20"/>
      <c r="AB32" s="20"/>
      <c r="AC32" s="20"/>
      <c r="AD32" s="20"/>
      <c r="AE32" s="20"/>
      <c r="AF32" s="20"/>
      <c r="AG32" s="20"/>
      <c r="AH32" s="20"/>
      <c r="AI32" s="20"/>
      <c r="AK32" s="81"/>
    </row>
    <row r="33" spans="1:37">
      <c r="A33" s="187" t="s">
        <v>368</v>
      </c>
      <c r="B33" s="187"/>
      <c r="C33" s="21">
        <v>0</v>
      </c>
      <c r="D33" s="188">
        <v>-1.65</v>
      </c>
      <c r="E33" s="187"/>
      <c r="F33" s="2">
        <f>ROUND(D33*$C33,0)</f>
        <v>0</v>
      </c>
      <c r="G33" s="153">
        <v>-1.71</v>
      </c>
      <c r="H33" s="187"/>
      <c r="I33" s="2">
        <f>ROUND(C33*G33,0)</f>
        <v>0</v>
      </c>
      <c r="J33" s="2"/>
      <c r="K33" s="2"/>
      <c r="L33" s="2"/>
      <c r="M33" s="2"/>
      <c r="N33" s="2"/>
      <c r="O33" s="20"/>
      <c r="P33" s="71"/>
      <c r="Q33" s="71"/>
      <c r="R33" s="71"/>
      <c r="S33" s="20"/>
      <c r="T33" s="20"/>
      <c r="U33" s="20"/>
      <c r="V33" s="20"/>
      <c r="W33" s="20"/>
      <c r="X33" s="20"/>
      <c r="Y33" s="20"/>
      <c r="Z33" s="20"/>
      <c r="AA33" s="20"/>
      <c r="AB33" s="20"/>
      <c r="AC33" s="20"/>
      <c r="AD33" s="20"/>
      <c r="AE33" s="20"/>
      <c r="AF33" s="20"/>
      <c r="AG33" s="20"/>
      <c r="AH33" s="20"/>
      <c r="AI33" s="20"/>
      <c r="AK33" s="81"/>
    </row>
    <row r="34" spans="1:37">
      <c r="A34" s="1" t="s">
        <v>369</v>
      </c>
      <c r="B34" s="189"/>
      <c r="C34" s="21">
        <f>SUM(C29:C30)</f>
        <v>2898890</v>
      </c>
      <c r="D34" s="581"/>
      <c r="E34" s="2"/>
      <c r="F34" s="2">
        <f>SUM(F28:F33)</f>
        <v>252109</v>
      </c>
      <c r="G34" s="581"/>
      <c r="H34" s="2"/>
      <c r="I34" s="2">
        <f>SUM(I28:I33)</f>
        <v>275552</v>
      </c>
      <c r="J34" s="2"/>
      <c r="K34" s="2"/>
      <c r="L34" s="2"/>
      <c r="M34" s="2"/>
      <c r="N34" s="2"/>
      <c r="O34" s="20"/>
      <c r="P34" s="50"/>
      <c r="Q34" s="71"/>
      <c r="R34" s="71"/>
      <c r="S34" s="20"/>
      <c r="T34" s="20"/>
      <c r="U34" s="20"/>
      <c r="V34" s="20"/>
      <c r="W34" s="20"/>
      <c r="X34" s="20"/>
      <c r="Y34" s="20"/>
      <c r="Z34" s="20"/>
      <c r="AA34" s="20"/>
      <c r="AB34" s="20"/>
      <c r="AC34" s="20"/>
      <c r="AD34" s="20"/>
      <c r="AE34" s="20"/>
      <c r="AF34" s="20"/>
      <c r="AG34" s="20"/>
      <c r="AH34" s="20"/>
      <c r="AI34" s="20"/>
      <c r="AK34" s="81"/>
    </row>
    <row r="35" spans="1:37">
      <c r="A35" s="1" t="s">
        <v>351</v>
      </c>
      <c r="B35" s="191"/>
      <c r="C35" s="192">
        <f>V57</f>
        <v>-39521.476073420687</v>
      </c>
      <c r="D35" s="736"/>
      <c r="E35" s="736"/>
      <c r="F35" s="431" t="e">
        <f>I35</f>
        <v>#REF!</v>
      </c>
      <c r="G35" s="584"/>
      <c r="H35" s="584"/>
      <c r="I35" s="737" t="e">
        <f>#REF!*I34/(I21+I34)</f>
        <v>#REF!</v>
      </c>
      <c r="J35" s="738"/>
      <c r="K35" s="738"/>
      <c r="L35" s="738"/>
      <c r="M35" s="738"/>
      <c r="N35" s="738"/>
      <c r="O35" s="328"/>
      <c r="P35" s="171"/>
      <c r="Q35" s="71"/>
      <c r="R35" s="71"/>
      <c r="S35" s="20"/>
      <c r="T35" s="20"/>
      <c r="U35" s="20"/>
      <c r="V35" s="20"/>
      <c r="W35" s="20"/>
      <c r="X35" s="20"/>
      <c r="Y35" s="20"/>
      <c r="Z35" s="20"/>
      <c r="AA35" s="20"/>
      <c r="AB35" s="20"/>
      <c r="AC35" s="20"/>
      <c r="AD35" s="20"/>
      <c r="AE35" s="20"/>
      <c r="AF35" s="20"/>
      <c r="AG35" s="20"/>
      <c r="AH35" s="20"/>
      <c r="AI35" s="20"/>
      <c r="AK35" s="81"/>
    </row>
    <row r="36" spans="1:37" ht="16.5" thickBot="1">
      <c r="A36" s="1" t="s">
        <v>370</v>
      </c>
      <c r="B36" s="1"/>
      <c r="C36" s="434">
        <f>C34+C35</f>
        <v>2859368.5239265794</v>
      </c>
      <c r="D36" s="432"/>
      <c r="E36" s="432"/>
      <c r="F36" s="432" t="e">
        <f>F34+F35</f>
        <v>#REF!</v>
      </c>
      <c r="G36" s="433"/>
      <c r="H36" s="433"/>
      <c r="I36" s="432" t="e">
        <f>SUM(I34:I35)</f>
        <v>#REF!</v>
      </c>
      <c r="J36" s="50"/>
      <c r="K36" s="50"/>
      <c r="L36" s="50"/>
      <c r="M36" s="50"/>
      <c r="N36" s="50"/>
      <c r="O36" s="295"/>
      <c r="P36" s="354"/>
      <c r="Q36" s="71"/>
      <c r="R36" s="71"/>
      <c r="S36" s="20"/>
      <c r="T36" s="20"/>
      <c r="U36" s="20"/>
      <c r="V36" s="20"/>
      <c r="W36" s="20"/>
      <c r="X36" s="20"/>
      <c r="Y36" s="20"/>
      <c r="Z36" s="20"/>
      <c r="AA36" s="20"/>
      <c r="AB36" s="20"/>
      <c r="AC36" s="20"/>
      <c r="AD36" s="20"/>
      <c r="AE36" s="20"/>
      <c r="AF36" s="20"/>
      <c r="AG36" s="20"/>
      <c r="AH36" s="20"/>
      <c r="AI36" s="20"/>
      <c r="AK36" s="81"/>
    </row>
    <row r="37" spans="1:37" ht="16.5" thickTop="1">
      <c r="C37" s="20"/>
      <c r="D37" s="20"/>
      <c r="E37" s="20"/>
      <c r="F37" s="20"/>
      <c r="G37" s="20"/>
      <c r="H37" s="20"/>
      <c r="I37" s="20"/>
      <c r="J37" s="20"/>
      <c r="K37" s="20"/>
      <c r="L37" s="20"/>
      <c r="M37" s="20"/>
      <c r="N37" s="20"/>
    </row>
    <row r="38" spans="1:37" ht="16.5" thickBot="1">
      <c r="I38" s="744"/>
      <c r="J38" s="745" t="s">
        <v>838</v>
      </c>
      <c r="K38" s="745" t="s">
        <v>839</v>
      </c>
      <c r="L38" s="745" t="s">
        <v>840</v>
      </c>
      <c r="M38" s="745" t="s">
        <v>841</v>
      </c>
      <c r="N38" s="745" t="s">
        <v>842</v>
      </c>
      <c r="O38" s="745" t="s">
        <v>843</v>
      </c>
      <c r="P38" s="745" t="s">
        <v>844</v>
      </c>
      <c r="Q38" s="745" t="s">
        <v>845</v>
      </c>
      <c r="R38" s="745" t="s">
        <v>846</v>
      </c>
      <c r="S38" s="745" t="s">
        <v>847</v>
      </c>
      <c r="T38" s="745" t="s">
        <v>848</v>
      </c>
      <c r="U38" s="745" t="s">
        <v>849</v>
      </c>
      <c r="V38" s="745" t="s">
        <v>850</v>
      </c>
    </row>
    <row r="39" spans="1:37">
      <c r="I39" s="739" t="s">
        <v>837</v>
      </c>
    </row>
    <row r="40" spans="1:37">
      <c r="I40" s="740" t="s">
        <v>642</v>
      </c>
      <c r="J40" s="742">
        <v>109650975</v>
      </c>
      <c r="K40" s="742">
        <v>128089470</v>
      </c>
      <c r="L40" s="742">
        <v>101547178</v>
      </c>
      <c r="M40" s="742">
        <v>82427457</v>
      </c>
      <c r="N40" s="742">
        <v>109082077</v>
      </c>
      <c r="O40" s="742">
        <v>177998198</v>
      </c>
      <c r="P40" s="742">
        <v>178739087</v>
      </c>
      <c r="Q40" s="742">
        <v>142955147</v>
      </c>
      <c r="R40" s="742">
        <v>114199404</v>
      </c>
      <c r="S40" s="742">
        <v>93799885</v>
      </c>
      <c r="T40" s="742">
        <v>84179447</v>
      </c>
      <c r="U40" s="742">
        <v>96893759</v>
      </c>
      <c r="V40" s="15">
        <f>SUM(J40:U40)</f>
        <v>1419562084</v>
      </c>
    </row>
    <row r="41" spans="1:37">
      <c r="I41" s="740" t="s">
        <v>699</v>
      </c>
      <c r="J41" s="742">
        <v>5226995</v>
      </c>
      <c r="K41" s="742">
        <v>5896396</v>
      </c>
      <c r="L41" s="742">
        <v>5068062</v>
      </c>
      <c r="M41" s="742">
        <v>4397329</v>
      </c>
      <c r="N41" s="742">
        <v>6449256</v>
      </c>
      <c r="O41" s="742">
        <v>11403661</v>
      </c>
      <c r="P41" s="742">
        <v>11685152</v>
      </c>
      <c r="Q41" s="742">
        <v>9831706</v>
      </c>
      <c r="R41" s="742">
        <v>7959009</v>
      </c>
      <c r="S41" s="742">
        <v>6394456</v>
      </c>
      <c r="T41" s="742">
        <v>5594402</v>
      </c>
      <c r="U41" s="742">
        <v>5776692</v>
      </c>
      <c r="V41" s="15">
        <f t="shared" ref="V41:V49" si="0">SUM(J41:U41)</f>
        <v>85683116</v>
      </c>
    </row>
    <row r="42" spans="1:37">
      <c r="I42" s="740" t="s">
        <v>643</v>
      </c>
      <c r="J42" s="742">
        <v>185061</v>
      </c>
      <c r="K42" s="742">
        <v>215220</v>
      </c>
      <c r="L42" s="742">
        <v>175360</v>
      </c>
      <c r="M42" s="742">
        <v>143837</v>
      </c>
      <c r="N42" s="742">
        <v>168813</v>
      </c>
      <c r="O42" s="742">
        <v>236002</v>
      </c>
      <c r="P42" s="742">
        <v>246895</v>
      </c>
      <c r="Q42" s="742">
        <v>189085</v>
      </c>
      <c r="R42" s="742">
        <v>166114</v>
      </c>
      <c r="S42" s="742">
        <v>141925</v>
      </c>
      <c r="T42" s="742">
        <v>151170</v>
      </c>
      <c r="U42" s="742">
        <v>169508</v>
      </c>
      <c r="V42" s="15">
        <f t="shared" si="0"/>
        <v>2188990</v>
      </c>
    </row>
    <row r="43" spans="1:37">
      <c r="I43" s="740" t="s">
        <v>836</v>
      </c>
      <c r="J43" s="742">
        <v>45311</v>
      </c>
      <c r="K43" s="742">
        <v>46329</v>
      </c>
      <c r="L43" s="742">
        <v>32741</v>
      </c>
      <c r="M43" s="742">
        <v>25192</v>
      </c>
      <c r="N43" s="742">
        <v>29546</v>
      </c>
      <c r="O43" s="742">
        <v>41682</v>
      </c>
      <c r="P43" s="742">
        <v>41101</v>
      </c>
      <c r="Q43" s="742">
        <v>32283</v>
      </c>
      <c r="R43" s="742">
        <v>26274</v>
      </c>
      <c r="S43" s="742">
        <v>24052</v>
      </c>
      <c r="T43" s="742">
        <v>24250</v>
      </c>
      <c r="U43" s="742">
        <v>28302</v>
      </c>
      <c r="V43" s="15">
        <f t="shared" si="0"/>
        <v>397063</v>
      </c>
    </row>
    <row r="44" spans="1:37">
      <c r="I44" s="741" t="s">
        <v>369</v>
      </c>
      <c r="J44" s="414">
        <f>SUM(J40:J43)</f>
        <v>115108342</v>
      </c>
      <c r="K44" s="414">
        <f t="shared" ref="K44:U44" si="1">SUM(K40:K43)</f>
        <v>134247415</v>
      </c>
      <c r="L44" s="414">
        <f t="shared" si="1"/>
        <v>106823341</v>
      </c>
      <c r="M44" s="414">
        <f t="shared" si="1"/>
        <v>86993815</v>
      </c>
      <c r="N44" s="414">
        <f t="shared" si="1"/>
        <v>115729692</v>
      </c>
      <c r="O44" s="414">
        <f t="shared" si="1"/>
        <v>189679543</v>
      </c>
      <c r="P44" s="414">
        <f t="shared" si="1"/>
        <v>190712235</v>
      </c>
      <c r="Q44" s="414">
        <f t="shared" si="1"/>
        <v>153008221</v>
      </c>
      <c r="R44" s="414">
        <f t="shared" si="1"/>
        <v>122350801</v>
      </c>
      <c r="S44" s="414">
        <f t="shared" si="1"/>
        <v>100360318</v>
      </c>
      <c r="T44" s="414">
        <f t="shared" si="1"/>
        <v>89949269</v>
      </c>
      <c r="U44" s="414">
        <f t="shared" si="1"/>
        <v>102868261</v>
      </c>
      <c r="V44" s="743">
        <f t="shared" si="0"/>
        <v>1507831253</v>
      </c>
    </row>
    <row r="45" spans="1:37">
      <c r="I45" s="740" t="s">
        <v>857</v>
      </c>
      <c r="J45" s="742">
        <v>145402</v>
      </c>
      <c r="K45" s="742">
        <v>191012</v>
      </c>
      <c r="L45" s="742">
        <v>149617</v>
      </c>
      <c r="M45" s="742">
        <v>121857</v>
      </c>
      <c r="N45" s="742">
        <v>209989</v>
      </c>
      <c r="O45" s="742">
        <v>440726</v>
      </c>
      <c r="P45" s="742">
        <v>516637</v>
      </c>
      <c r="Q45" s="742">
        <v>412951</v>
      </c>
      <c r="R45" s="742">
        <v>244366</v>
      </c>
      <c r="S45" s="742">
        <v>173674</v>
      </c>
      <c r="T45" s="742">
        <v>127563</v>
      </c>
      <c r="U45" s="742">
        <v>165096</v>
      </c>
      <c r="V45" s="15">
        <f t="shared" si="0"/>
        <v>2898890</v>
      </c>
    </row>
    <row r="46" spans="1:37">
      <c r="I46" s="741" t="s">
        <v>852</v>
      </c>
      <c r="J46" s="414">
        <f>SUM(J44:J45)</f>
        <v>115253744</v>
      </c>
      <c r="K46" s="414">
        <f t="shared" ref="K46:T46" si="2">SUM(K44:K45)</f>
        <v>134438427</v>
      </c>
      <c r="L46" s="414">
        <f t="shared" si="2"/>
        <v>106972958</v>
      </c>
      <c r="M46" s="414">
        <f t="shared" si="2"/>
        <v>87115672</v>
      </c>
      <c r="N46" s="414">
        <f t="shared" si="2"/>
        <v>115939681</v>
      </c>
      <c r="O46" s="414">
        <f t="shared" si="2"/>
        <v>190120269</v>
      </c>
      <c r="P46" s="414">
        <f t="shared" si="2"/>
        <v>191228872</v>
      </c>
      <c r="Q46" s="414">
        <f t="shared" si="2"/>
        <v>153421172</v>
      </c>
      <c r="R46" s="414">
        <f t="shared" si="2"/>
        <v>122595167</v>
      </c>
      <c r="S46" s="414">
        <f t="shared" si="2"/>
        <v>100533992</v>
      </c>
      <c r="T46" s="414">
        <f t="shared" si="2"/>
        <v>90076832</v>
      </c>
      <c r="U46" s="414">
        <f>SUM(U44:U45)</f>
        <v>103033357</v>
      </c>
      <c r="V46" s="743">
        <f t="shared" si="0"/>
        <v>1510730143</v>
      </c>
    </row>
    <row r="47" spans="1:37">
      <c r="I47" s="746" t="s">
        <v>853</v>
      </c>
      <c r="J47" s="450">
        <f>'Normalized Monthly kWh'!D10</f>
        <v>79561.5</v>
      </c>
      <c r="K47" s="450">
        <f>'Normalized Monthly kWh'!E10</f>
        <v>79957</v>
      </c>
      <c r="L47" s="450">
        <f>'Normalized Monthly kWh'!F10</f>
        <v>80109</v>
      </c>
      <c r="M47" s="450">
        <f>'Normalized Monthly kWh'!G10</f>
        <v>80337</v>
      </c>
      <c r="N47" s="450">
        <f>'Normalized Monthly kWh'!H10</f>
        <v>79727</v>
      </c>
      <c r="O47" s="450">
        <f>'Normalized Monthly kWh'!I10</f>
        <v>79145</v>
      </c>
      <c r="P47" s="450">
        <f>'Normalized Monthly kWh'!J10</f>
        <v>79252</v>
      </c>
      <c r="Q47" s="450">
        <f>'Normalized Monthly kWh'!K10</f>
        <v>78773</v>
      </c>
      <c r="R47" s="450">
        <f>'Normalized Monthly kWh'!L10</f>
        <v>77809</v>
      </c>
      <c r="S47" s="450">
        <f>'Normalized Monthly kWh'!M10</f>
        <v>78235.5</v>
      </c>
      <c r="T47" s="450">
        <f>'Normalized Monthly kWh'!N10</f>
        <v>78358</v>
      </c>
      <c r="U47" s="450">
        <f>'Normalized Monthly kWh'!O10</f>
        <v>78277</v>
      </c>
      <c r="V47" s="8">
        <f t="shared" si="0"/>
        <v>949541</v>
      </c>
    </row>
    <row r="48" spans="1:37">
      <c r="I48" s="746" t="s">
        <v>854</v>
      </c>
      <c r="J48" s="450">
        <f>'Normalized Monthly kWh'!D11</f>
        <v>1746915</v>
      </c>
      <c r="K48" s="450">
        <f>'Normalized Monthly kWh'!E11</f>
        <v>1942419</v>
      </c>
      <c r="L48" s="450">
        <f>'Normalized Monthly kWh'!F11</f>
        <v>1666377</v>
      </c>
      <c r="M48" s="450">
        <f>'Normalized Monthly kWh'!G11</f>
        <v>1365198</v>
      </c>
      <c r="N48" s="450">
        <f>'Normalized Monthly kWh'!H11</f>
        <v>1415824</v>
      </c>
      <c r="O48" s="450">
        <f>'Normalized Monthly kWh'!I11</f>
        <v>2050100</v>
      </c>
      <c r="P48" s="450">
        <f>'Normalized Monthly kWh'!J11</f>
        <v>2085519</v>
      </c>
      <c r="Q48" s="450">
        <f>'Normalized Monthly kWh'!K11</f>
        <v>2166637</v>
      </c>
      <c r="R48" s="450">
        <f>'Normalized Monthly kWh'!L11</f>
        <v>2323029</v>
      </c>
      <c r="S48" s="450">
        <f>'Normalized Monthly kWh'!M11</f>
        <v>1438003</v>
      </c>
      <c r="T48" s="450">
        <f>'Normalized Monthly kWh'!N11</f>
        <v>1304153</v>
      </c>
      <c r="U48" s="450">
        <f>'Normalized Monthly kWh'!O11</f>
        <v>1532312</v>
      </c>
      <c r="V48" s="8">
        <f t="shared" si="0"/>
        <v>21036486</v>
      </c>
    </row>
    <row r="49" spans="9:22">
      <c r="I49" s="741" t="s">
        <v>855</v>
      </c>
      <c r="J49" s="414">
        <f>SUM(J46:J48)</f>
        <v>117080220.5</v>
      </c>
      <c r="K49" s="414">
        <f t="shared" ref="K49:U49" si="3">SUM(K46:K48)</f>
        <v>136460803</v>
      </c>
      <c r="L49" s="414">
        <f t="shared" si="3"/>
        <v>108719444</v>
      </c>
      <c r="M49" s="414">
        <f t="shared" si="3"/>
        <v>88561207</v>
      </c>
      <c r="N49" s="414">
        <f t="shared" si="3"/>
        <v>117435232</v>
      </c>
      <c r="O49" s="414">
        <f t="shared" si="3"/>
        <v>192249514</v>
      </c>
      <c r="P49" s="414">
        <f t="shared" si="3"/>
        <v>193393643</v>
      </c>
      <c r="Q49" s="414">
        <f t="shared" si="3"/>
        <v>155666582</v>
      </c>
      <c r="R49" s="414">
        <f t="shared" si="3"/>
        <v>124996005</v>
      </c>
      <c r="S49" s="414">
        <f t="shared" si="3"/>
        <v>102050230.5</v>
      </c>
      <c r="T49" s="414">
        <f t="shared" si="3"/>
        <v>91459343</v>
      </c>
      <c r="U49" s="414">
        <f t="shared" si="3"/>
        <v>104643946</v>
      </c>
      <c r="V49" s="743">
        <f t="shared" si="0"/>
        <v>1532716170</v>
      </c>
    </row>
    <row r="51" spans="9:22">
      <c r="I51" s="739" t="s">
        <v>851</v>
      </c>
      <c r="J51" s="748">
        <f>'Table 2'!G36</f>
        <v>-20896000</v>
      </c>
    </row>
    <row r="52" spans="9:22">
      <c r="I52" s="740" t="s">
        <v>642</v>
      </c>
      <c r="J52" s="742">
        <f>$J$51*J40/$V$49</f>
        <v>-1494906.1140263171</v>
      </c>
      <c r="K52" s="742">
        <f t="shared" ref="K52:U52" si="4">$J$51*K40/$V$49</f>
        <v>-1746283.8962023868</v>
      </c>
      <c r="L52" s="742">
        <f t="shared" si="4"/>
        <v>-1384424.5092605762</v>
      </c>
      <c r="M52" s="742">
        <f t="shared" si="4"/>
        <v>-1123759.3594853247</v>
      </c>
      <c r="N52" s="742">
        <f t="shared" si="4"/>
        <v>-1487150.1492621428</v>
      </c>
      <c r="O52" s="742">
        <f t="shared" si="4"/>
        <v>-2426705.2297151661</v>
      </c>
      <c r="P52" s="742">
        <f t="shared" si="4"/>
        <v>-2436806.0016956693</v>
      </c>
      <c r="Q52" s="742">
        <f t="shared" si="4"/>
        <v>-1948952.330627529</v>
      </c>
      <c r="R52" s="742">
        <f t="shared" si="4"/>
        <v>-1556916.2723611118</v>
      </c>
      <c r="S52" s="742">
        <f t="shared" si="4"/>
        <v>-1278803.2352787144</v>
      </c>
      <c r="T52" s="742">
        <f t="shared" si="4"/>
        <v>-1147644.7883446026</v>
      </c>
      <c r="U52" s="742">
        <f t="shared" si="4"/>
        <v>-1320982.9893449876</v>
      </c>
      <c r="V52" s="15">
        <f>SUM(J52:U52)</f>
        <v>-19353334.875604529</v>
      </c>
    </row>
    <row r="53" spans="9:22">
      <c r="I53" s="740" t="s">
        <v>699</v>
      </c>
      <c r="J53" s="742">
        <f>$J$51*J41/$V$49</f>
        <v>-71261.261320156889</v>
      </c>
      <c r="K53" s="742">
        <f t="shared" ref="K53:U53" si="5">$J$51*K41/$V$49</f>
        <v>-80387.414987603348</v>
      </c>
      <c r="L53" s="742">
        <f t="shared" si="5"/>
        <v>-69094.477911066861</v>
      </c>
      <c r="M53" s="742">
        <f t="shared" si="5"/>
        <v>-59950.164670083701</v>
      </c>
      <c r="N53" s="742">
        <f t="shared" si="5"/>
        <v>-87924.728670409997</v>
      </c>
      <c r="O53" s="742">
        <f t="shared" si="5"/>
        <v>-155469.68507287296</v>
      </c>
      <c r="P53" s="742">
        <f t="shared" si="5"/>
        <v>-159307.34011372764</v>
      </c>
      <c r="Q53" s="742">
        <f t="shared" si="5"/>
        <v>-134038.72980344429</v>
      </c>
      <c r="R53" s="742">
        <f t="shared" si="5"/>
        <v>-108507.6645756272</v>
      </c>
      <c r="S53" s="742">
        <f t="shared" si="5"/>
        <v>-87177.623092473805</v>
      </c>
      <c r="T53" s="742">
        <f t="shared" si="5"/>
        <v>-76270.236120755479</v>
      </c>
      <c r="U53" s="742">
        <f t="shared" si="5"/>
        <v>-78755.452832470604</v>
      </c>
      <c r="V53" s="15">
        <f t="shared" ref="V53:V58" si="6">SUM(J53:U53)</f>
        <v>-1168144.7791706929</v>
      </c>
    </row>
    <row r="54" spans="9:22">
      <c r="I54" s="740" t="s">
        <v>643</v>
      </c>
      <c r="J54" s="742">
        <f>$J$51*J42/$V$49</f>
        <v>-2522.9946233293799</v>
      </c>
      <c r="K54" s="742">
        <f t="shared" ref="K54:U54" si="7">$J$51*K42/$V$49</f>
        <v>-2934.1617241501408</v>
      </c>
      <c r="L54" s="742">
        <f t="shared" si="7"/>
        <v>-2390.7378493958213</v>
      </c>
      <c r="M54" s="742">
        <f t="shared" si="7"/>
        <v>-1960.9749090074517</v>
      </c>
      <c r="N54" s="742">
        <f t="shared" si="7"/>
        <v>-2301.4805461339915</v>
      </c>
      <c r="O54" s="742">
        <f t="shared" si="7"/>
        <v>-3217.4892446003228</v>
      </c>
      <c r="P54" s="742">
        <f t="shared" si="7"/>
        <v>-3365.9969281853405</v>
      </c>
      <c r="Q54" s="742">
        <f t="shared" si="7"/>
        <v>-2577.8550767165198</v>
      </c>
      <c r="R54" s="742">
        <f t="shared" si="7"/>
        <v>-2264.6842330892873</v>
      </c>
      <c r="S54" s="742">
        <f t="shared" si="7"/>
        <v>-1934.9080136604809</v>
      </c>
      <c r="T54" s="742">
        <f t="shared" si="7"/>
        <v>-2060.9479966535487</v>
      </c>
      <c r="U54" s="742">
        <f t="shared" si="7"/>
        <v>-2310.9556989928542</v>
      </c>
      <c r="V54" s="15">
        <f t="shared" si="6"/>
        <v>-29843.186843915137</v>
      </c>
    </row>
    <row r="55" spans="9:22">
      <c r="I55" s="740" t="s">
        <v>836</v>
      </c>
      <c r="J55" s="742">
        <f>$J$51*J43/$V$49</f>
        <v>-617.73906645742511</v>
      </c>
      <c r="K55" s="742">
        <f t="shared" ref="K55:U55" si="8">$J$51*K43/$V$49</f>
        <v>-631.61777956580181</v>
      </c>
      <c r="L55" s="742">
        <f t="shared" si="8"/>
        <v>-446.36831618994404</v>
      </c>
      <c r="M55" s="742">
        <f t="shared" si="8"/>
        <v>-343.45043283519351</v>
      </c>
      <c r="N55" s="742">
        <f t="shared" si="8"/>
        <v>-402.80987966610934</v>
      </c>
      <c r="O55" s="742">
        <f t="shared" si="8"/>
        <v>-568.26377188935123</v>
      </c>
      <c r="P55" s="742">
        <f t="shared" si="8"/>
        <v>-560.34281676561159</v>
      </c>
      <c r="Q55" s="742">
        <f t="shared" si="8"/>
        <v>-440.1242586225211</v>
      </c>
      <c r="R55" s="742">
        <f t="shared" si="8"/>
        <v>-358.20167800539355</v>
      </c>
      <c r="S55" s="742">
        <f t="shared" si="8"/>
        <v>-327.90845548396607</v>
      </c>
      <c r="T55" s="742">
        <f t="shared" si="8"/>
        <v>-330.60785155023189</v>
      </c>
      <c r="U55" s="742">
        <f t="shared" si="8"/>
        <v>-385.8500377144191</v>
      </c>
      <c r="V55" s="15">
        <f t="shared" si="6"/>
        <v>-5413.2843447459691</v>
      </c>
    </row>
    <row r="56" spans="9:22">
      <c r="I56" s="741" t="s">
        <v>369</v>
      </c>
      <c r="J56" s="747">
        <f>SUM(J52:J55)</f>
        <v>-1569308.109036261</v>
      </c>
      <c r="K56" s="747">
        <f t="shared" ref="K56:U56" si="9">SUM(K52:K55)</f>
        <v>-1830237.0906937062</v>
      </c>
      <c r="L56" s="747">
        <f t="shared" si="9"/>
        <v>-1456356.0933372288</v>
      </c>
      <c r="M56" s="747">
        <f t="shared" si="9"/>
        <v>-1186013.9494972511</v>
      </c>
      <c r="N56" s="747">
        <f t="shared" si="9"/>
        <v>-1577779.168358353</v>
      </c>
      <c r="O56" s="747">
        <f t="shared" si="9"/>
        <v>-2585960.6678045285</v>
      </c>
      <c r="P56" s="747">
        <f t="shared" si="9"/>
        <v>-2600039.6815543477</v>
      </c>
      <c r="Q56" s="747">
        <f t="shared" si="9"/>
        <v>-2086009.0397663123</v>
      </c>
      <c r="R56" s="747">
        <f t="shared" si="9"/>
        <v>-1668046.8228478336</v>
      </c>
      <c r="S56" s="747">
        <f t="shared" si="9"/>
        <v>-1368243.6748403327</v>
      </c>
      <c r="T56" s="747">
        <f t="shared" si="9"/>
        <v>-1226306.5803135619</v>
      </c>
      <c r="U56" s="747">
        <f t="shared" si="9"/>
        <v>-1402435.2479141655</v>
      </c>
      <c r="V56" s="743">
        <f t="shared" si="6"/>
        <v>-20556736.125963882</v>
      </c>
    </row>
    <row r="57" spans="9:22">
      <c r="I57" s="740" t="s">
        <v>857</v>
      </c>
      <c r="J57" s="742">
        <f t="shared" ref="J57:U57" si="10">$J$51*J45/$V$49</f>
        <v>-1982.3110445817244</v>
      </c>
      <c r="K57" s="742">
        <f t="shared" si="10"/>
        <v>-2604.1264717654803</v>
      </c>
      <c r="L57" s="742">
        <f t="shared" si="10"/>
        <v>-2039.7754608408679</v>
      </c>
      <c r="M57" s="742">
        <f t="shared" si="10"/>
        <v>-1661.3146790250148</v>
      </c>
      <c r="N57" s="742">
        <f t="shared" si="10"/>
        <v>-2862.8458614095525</v>
      </c>
      <c r="O57" s="742">
        <f t="shared" si="10"/>
        <v>-6008.5557106114438</v>
      </c>
      <c r="P57" s="742">
        <f t="shared" si="10"/>
        <v>-7043.4741691281306</v>
      </c>
      <c r="Q57" s="742">
        <f t="shared" si="10"/>
        <v>-5629.8904290936007</v>
      </c>
      <c r="R57" s="742">
        <f t="shared" si="10"/>
        <v>-3331.5182784298545</v>
      </c>
      <c r="S57" s="742">
        <f t="shared" si="10"/>
        <v>-2367.7520828921638</v>
      </c>
      <c r="T57" s="742">
        <f t="shared" si="10"/>
        <v>-1739.1063656619476</v>
      </c>
      <c r="U57" s="742">
        <f t="shared" si="10"/>
        <v>-2250.805519980911</v>
      </c>
      <c r="V57" s="15">
        <f t="shared" si="6"/>
        <v>-39521.476073420687</v>
      </c>
    </row>
    <row r="58" spans="9:22">
      <c r="I58" s="741" t="s">
        <v>370</v>
      </c>
      <c r="J58" s="743">
        <f>SUM(J56:J57)</f>
        <v>-1571290.4200808427</v>
      </c>
      <c r="K58" s="743">
        <f>SUM(K56:K57)</f>
        <v>-1832841.2171654718</v>
      </c>
      <c r="L58" s="743">
        <f>SUM(L56:L57)</f>
        <v>-1458395.8687980697</v>
      </c>
      <c r="M58" s="743">
        <f t="shared" ref="M58:U58" si="11">SUM(M56:M57)</f>
        <v>-1187675.264176276</v>
      </c>
      <c r="N58" s="743">
        <f t="shared" si="11"/>
        <v>-1580642.0142197625</v>
      </c>
      <c r="O58" s="743">
        <f t="shared" si="11"/>
        <v>-2591969.2235151399</v>
      </c>
      <c r="P58" s="743">
        <f t="shared" si="11"/>
        <v>-2607083.1557234759</v>
      </c>
      <c r="Q58" s="743">
        <f t="shared" si="11"/>
        <v>-2091638.9301954058</v>
      </c>
      <c r="R58" s="743">
        <f t="shared" si="11"/>
        <v>-1671378.3411262634</v>
      </c>
      <c r="S58" s="743">
        <f t="shared" si="11"/>
        <v>-1370611.4269232249</v>
      </c>
      <c r="T58" s="743">
        <f t="shared" si="11"/>
        <v>-1228045.6866792238</v>
      </c>
      <c r="U58" s="743">
        <f t="shared" si="11"/>
        <v>-1404686.0534341463</v>
      </c>
      <c r="V58" s="743">
        <f t="shared" si="6"/>
        <v>-20596257.602037303</v>
      </c>
    </row>
    <row r="60" spans="9:22">
      <c r="I60" s="739" t="s">
        <v>12</v>
      </c>
    </row>
    <row r="61" spans="9:22">
      <c r="I61" s="740" t="s">
        <v>642</v>
      </c>
      <c r="J61" s="600">
        <f>Temperature!B10*1000</f>
        <v>-5916885.1836873954</v>
      </c>
      <c r="K61" s="600">
        <f>Temperature!B11*1000</f>
        <v>650273.33192590426</v>
      </c>
      <c r="L61" s="600">
        <f>Temperature!B12*1000</f>
        <v>2754914.4961191299</v>
      </c>
      <c r="M61" s="600">
        <f>Temperature!B13*1000</f>
        <v>-1212764.3976792207</v>
      </c>
      <c r="N61" s="600">
        <f>Temperature!B14*1000</f>
        <v>-5757958.6088567059</v>
      </c>
      <c r="O61" s="600">
        <f>Temperature!B15*1000</f>
        <v>22284833.693557587</v>
      </c>
      <c r="P61" s="600">
        <f>Temperature!B16*1000</f>
        <v>8645417.979012968</v>
      </c>
      <c r="Q61" s="600">
        <f>Temperature!B17*1000</f>
        <v>-50976994.179540589</v>
      </c>
      <c r="R61" s="600">
        <f>Temperature!B18*1000</f>
        <v>-34066043.198493175</v>
      </c>
      <c r="S61" s="600">
        <f>Temperature!B19*1000</f>
        <v>6877102.2106041508</v>
      </c>
      <c r="T61" s="600">
        <f>Temperature!B20*1000</f>
        <v>1878105.6123750396</v>
      </c>
      <c r="U61" s="600">
        <f>Temperature!B21*1000</f>
        <v>-1551637.6791642753</v>
      </c>
      <c r="V61" s="15">
        <f t="shared" ref="V61:V63" si="12">SUM(J61:U61)</f>
        <v>-56391635.923826575</v>
      </c>
    </row>
    <row r="62" spans="9:22">
      <c r="I62" s="740" t="s">
        <v>699</v>
      </c>
      <c r="J62" s="600">
        <f>Temperature!B28*1000</f>
        <v>-228323.58922888245</v>
      </c>
      <c r="K62" s="600">
        <f>Temperature!B29*1000</f>
        <v>23969.361147138192</v>
      </c>
      <c r="L62" s="600">
        <f>Temperature!B30*1000</f>
        <v>106788.42978419113</v>
      </c>
      <c r="M62" s="600">
        <f>Temperature!B31*1000</f>
        <v>-56757.463050247323</v>
      </c>
      <c r="N62" s="600">
        <f>Temperature!B32*1000</f>
        <v>-307191.02152479475</v>
      </c>
      <c r="O62" s="600">
        <f>Temperature!B33*1000</f>
        <v>1271886.5606757847</v>
      </c>
      <c r="P62" s="600">
        <f>Temperature!B34*1000</f>
        <v>521155.84563762823</v>
      </c>
      <c r="Q62" s="600">
        <f>Temperature!B35*1000</f>
        <v>-3293687.6909134365</v>
      </c>
      <c r="R62" s="600">
        <f>Temperature!B36*1000</f>
        <v>-1987101.215273743</v>
      </c>
      <c r="S62" s="600">
        <f>Temperature!B37*1000</f>
        <v>380985.97093047237</v>
      </c>
      <c r="T62" s="600">
        <f>Temperature!B38*1000</f>
        <v>94657.565509963402</v>
      </c>
      <c r="U62" s="600">
        <f>Temperature!B39*1000</f>
        <v>-71159.248992110181</v>
      </c>
      <c r="V62" s="15">
        <f t="shared" si="12"/>
        <v>-3544776.4952980359</v>
      </c>
    </row>
    <row r="63" spans="9:22">
      <c r="I63" s="740" t="s">
        <v>643</v>
      </c>
      <c r="J63" s="600">
        <f>Temperature!B46*1000</f>
        <v>-11881.252983722208</v>
      </c>
      <c r="K63" s="600">
        <f>Temperature!B47*1000</f>
        <v>1128.0257269575241</v>
      </c>
      <c r="L63" s="600">
        <f>Temperature!B48*1000</f>
        <v>5055.7582966790069</v>
      </c>
      <c r="M63" s="600">
        <f>Temperature!B49*1000</f>
        <v>-2319.4202705320822</v>
      </c>
      <c r="N63" s="600">
        <f>Temperature!B50*1000</f>
        <v>-8199.1384184992239</v>
      </c>
      <c r="O63" s="600">
        <f>Temperature!B51*1000</f>
        <v>32608.008566627872</v>
      </c>
      <c r="P63" s="600">
        <f>Temperature!B52*1000</f>
        <v>11864.212349404113</v>
      </c>
      <c r="Q63" s="600">
        <f>Temperature!B53*1000</f>
        <v>-73944.79224597034</v>
      </c>
      <c r="R63" s="600">
        <f>Temperature!B54*1000</f>
        <v>-46848.889733076583</v>
      </c>
      <c r="S63" s="600">
        <f>Temperature!B55*1000</f>
        <v>11576.455765377112</v>
      </c>
      <c r="T63" s="600">
        <f>Temperature!B56*1000</f>
        <v>3269.3679149971413</v>
      </c>
      <c r="U63" s="600">
        <f>Temperature!B57*1000</f>
        <v>-2849.7692436144803</v>
      </c>
      <c r="V63" s="15">
        <f t="shared" si="12"/>
        <v>-80541.434275372143</v>
      </c>
    </row>
    <row r="64" spans="9:22">
      <c r="I64" s="740"/>
    </row>
    <row r="65" spans="9:22">
      <c r="I65" s="749" t="s">
        <v>9</v>
      </c>
      <c r="J65" s="5"/>
      <c r="K65" s="5"/>
      <c r="L65" s="5"/>
      <c r="M65" s="5"/>
      <c r="N65" s="5"/>
      <c r="O65" s="5"/>
      <c r="P65" s="58"/>
      <c r="Q65" s="58"/>
      <c r="R65" s="58"/>
      <c r="S65" s="5"/>
      <c r="T65" s="5"/>
      <c r="U65" s="5"/>
      <c r="V65" s="5"/>
    </row>
    <row r="66" spans="9:22">
      <c r="I66" s="741" t="s">
        <v>642</v>
      </c>
      <c r="J66" s="743">
        <f>SUM(J61:J63,J52:J55,J40:J43)</f>
        <v>107381943.86506374</v>
      </c>
      <c r="K66" s="743">
        <f t="shared" ref="K66:U66" si="13">SUM(K61:K63,K52:K55,K40:K43)</f>
        <v>133092548.6281063</v>
      </c>
      <c r="L66" s="743">
        <f t="shared" si="13"/>
        <v>108233743.59086277</v>
      </c>
      <c r="M66" s="743">
        <f t="shared" si="13"/>
        <v>84535959.769502744</v>
      </c>
      <c r="N66" s="743">
        <f t="shared" si="13"/>
        <v>108078564.06284165</v>
      </c>
      <c r="O66" s="743">
        <f t="shared" si="13"/>
        <v>210682910.59499547</v>
      </c>
      <c r="P66" s="743">
        <f t="shared" si="13"/>
        <v>197290633.35544565</v>
      </c>
      <c r="Q66" s="743">
        <f t="shared" si="13"/>
        <v>96577585.297533691</v>
      </c>
      <c r="R66" s="743">
        <f t="shared" si="13"/>
        <v>84582760.87365216</v>
      </c>
      <c r="S66" s="743">
        <f t="shared" si="13"/>
        <v>106261738.96245967</v>
      </c>
      <c r="T66" s="743">
        <f t="shared" si="13"/>
        <v>90698994.965486437</v>
      </c>
      <c r="U66" s="743">
        <f t="shared" si="13"/>
        <v>99840179.054685831</v>
      </c>
      <c r="V66" s="743">
        <f>SUM(J66:U66)</f>
        <v>1427257563.0206361</v>
      </c>
    </row>
    <row r="67" spans="9:22">
      <c r="I67" s="741" t="s">
        <v>857</v>
      </c>
      <c r="J67" s="743">
        <f>J45+J57</f>
        <v>143419.68895541827</v>
      </c>
      <c r="K67" s="743">
        <f t="shared" ref="K67:U67" si="14">K45+K57</f>
        <v>188407.87352823452</v>
      </c>
      <c r="L67" s="743">
        <f t="shared" si="14"/>
        <v>147577.22453915913</v>
      </c>
      <c r="M67" s="743">
        <f t="shared" si="14"/>
        <v>120195.68532097498</v>
      </c>
      <c r="N67" s="743">
        <f t="shared" si="14"/>
        <v>207126.15413859044</v>
      </c>
      <c r="O67" s="743">
        <f t="shared" si="14"/>
        <v>434717.44428938854</v>
      </c>
      <c r="P67" s="743">
        <f t="shared" si="14"/>
        <v>509593.52583087189</v>
      </c>
      <c r="Q67" s="743">
        <f t="shared" si="14"/>
        <v>407321.10957090638</v>
      </c>
      <c r="R67" s="743">
        <f t="shared" si="14"/>
        <v>241034.48172157013</v>
      </c>
      <c r="S67" s="743">
        <f t="shared" si="14"/>
        <v>171306.24791710783</v>
      </c>
      <c r="T67" s="743">
        <f t="shared" si="14"/>
        <v>125823.89363433805</v>
      </c>
      <c r="U67" s="743">
        <f t="shared" si="14"/>
        <v>162845.1944800191</v>
      </c>
      <c r="V67" s="743">
        <f>SUM(J67:U67)</f>
        <v>2859368.5239265794</v>
      </c>
    </row>
    <row r="68" spans="9:22">
      <c r="I68" s="428"/>
    </row>
    <row r="69" spans="9:22">
      <c r="I69" s="741"/>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AH110"/>
  <sheetViews>
    <sheetView zoomScale="90" zoomScaleNormal="90" workbookViewId="0">
      <selection activeCell="B8" sqref="B8"/>
    </sheetView>
  </sheetViews>
  <sheetFormatPr defaultRowHeight="15.75"/>
  <cols>
    <col min="1" max="1" width="5.25" style="428" customWidth="1"/>
    <col min="2" max="2" width="2.875" style="4" customWidth="1"/>
    <col min="3" max="3" width="33.125" style="4" bestFit="1" customWidth="1"/>
    <col min="4" max="7" width="15.125" style="4" customWidth="1"/>
    <col min="8" max="8" width="15.375" style="4" customWidth="1"/>
    <col min="9" max="9" width="14.625" style="4" customWidth="1"/>
    <col min="10" max="10" width="15.375" style="4" customWidth="1"/>
    <col min="11" max="11" width="14.625" style="4" customWidth="1"/>
    <col min="12" max="15" width="14.875" style="4" customWidth="1"/>
    <col min="16" max="16" width="17.125" style="4" bestFit="1" customWidth="1"/>
    <col min="17" max="17" width="13.125" style="4" bestFit="1" customWidth="1"/>
    <col min="18" max="28" width="10.75" style="4" bestFit="1" customWidth="1"/>
    <col min="29" max="29" width="11.75" style="4" bestFit="1" customWidth="1"/>
    <col min="30" max="30" width="11.125" style="4" bestFit="1" customWidth="1"/>
    <col min="31" max="31" width="13.75" style="4" bestFit="1" customWidth="1"/>
    <col min="32" max="32" width="13.125" style="4" bestFit="1" customWidth="1"/>
    <col min="33" max="16384" width="9" style="4"/>
  </cols>
  <sheetData>
    <row r="2" spans="1:32">
      <c r="C2" s="4" t="s">
        <v>167</v>
      </c>
      <c r="J2" s="4" t="s">
        <v>31</v>
      </c>
    </row>
    <row r="3" spans="1:32">
      <c r="C3" s="7" t="s">
        <v>563</v>
      </c>
      <c r="D3" s="7"/>
      <c r="E3" s="7"/>
      <c r="F3" s="7"/>
      <c r="G3" s="7"/>
      <c r="H3" s="7"/>
      <c r="I3" s="7"/>
      <c r="J3" s="7"/>
      <c r="K3" s="7"/>
      <c r="L3" s="7"/>
      <c r="M3" s="7" t="s">
        <v>31</v>
      </c>
      <c r="N3" s="7"/>
      <c r="O3" s="7"/>
      <c r="P3" s="7"/>
    </row>
    <row r="4" spans="1:32">
      <c r="C4" s="7"/>
      <c r="D4" s="7">
        <v>201807</v>
      </c>
      <c r="E4" s="7">
        <v>201808</v>
      </c>
      <c r="F4" s="7">
        <v>201809</v>
      </c>
      <c r="G4" s="7">
        <v>201810</v>
      </c>
      <c r="H4" s="7">
        <v>201811</v>
      </c>
      <c r="I4" s="7">
        <v>201812</v>
      </c>
      <c r="J4" s="7">
        <v>201901</v>
      </c>
      <c r="K4" s="7">
        <v>201902</v>
      </c>
      <c r="L4" s="7">
        <v>201903</v>
      </c>
      <c r="M4" s="7">
        <v>201904</v>
      </c>
      <c r="N4" s="7">
        <v>201905</v>
      </c>
      <c r="O4" s="7">
        <v>201906</v>
      </c>
      <c r="P4" s="7" t="s">
        <v>35</v>
      </c>
      <c r="Q4" s="7">
        <v>201807</v>
      </c>
      <c r="R4" s="7">
        <v>201808</v>
      </c>
      <c r="S4" s="7">
        <v>201809</v>
      </c>
      <c r="T4" s="7">
        <v>201810</v>
      </c>
      <c r="U4" s="7">
        <v>201811</v>
      </c>
      <c r="V4" s="7">
        <v>201812</v>
      </c>
      <c r="W4" s="7">
        <v>201901</v>
      </c>
      <c r="X4" s="7">
        <v>201902</v>
      </c>
      <c r="Y4" s="7">
        <v>201903</v>
      </c>
      <c r="Z4" s="7">
        <v>201904</v>
      </c>
      <c r="AA4" s="7">
        <v>201905</v>
      </c>
      <c r="AB4" s="7">
        <v>201906</v>
      </c>
      <c r="AC4" s="7" t="s">
        <v>192</v>
      </c>
      <c r="AD4" s="4" t="s">
        <v>12</v>
      </c>
      <c r="AE4" s="4" t="s">
        <v>9</v>
      </c>
      <c r="AF4" s="79" t="s">
        <v>161</v>
      </c>
    </row>
    <row r="5" spans="1:32">
      <c r="B5" s="7" t="s">
        <v>258</v>
      </c>
      <c r="D5" s="7"/>
      <c r="E5" s="7"/>
      <c r="F5" s="7"/>
      <c r="G5" s="7"/>
      <c r="H5" s="7"/>
      <c r="I5" s="7"/>
      <c r="J5" s="7"/>
      <c r="K5" s="7"/>
      <c r="L5" s="7"/>
      <c r="M5" s="7"/>
      <c r="N5" s="7"/>
      <c r="O5" s="7"/>
      <c r="P5" s="7"/>
      <c r="Q5" s="7"/>
      <c r="R5" s="7"/>
      <c r="S5" s="7"/>
      <c r="T5" s="7"/>
      <c r="U5" s="7"/>
      <c r="V5" s="7"/>
      <c r="W5" s="7"/>
      <c r="X5" s="7"/>
      <c r="Y5" s="7"/>
      <c r="Z5" s="7"/>
      <c r="AA5" s="7"/>
      <c r="AB5" s="7"/>
      <c r="AC5" s="7"/>
      <c r="AF5" s="79"/>
    </row>
    <row r="6" spans="1:32">
      <c r="A6" s="428">
        <v>16</v>
      </c>
      <c r="C6" s="4" t="s">
        <v>48</v>
      </c>
      <c r="D6" s="864">
        <v>107099460</v>
      </c>
      <c r="E6" s="864">
        <v>129423505</v>
      </c>
      <c r="F6" s="864">
        <v>98080622</v>
      </c>
      <c r="G6" s="864">
        <v>83577262</v>
      </c>
      <c r="H6" s="864">
        <v>114556843</v>
      </c>
      <c r="I6" s="864">
        <v>172593621</v>
      </c>
      <c r="J6" s="864">
        <v>173747572</v>
      </c>
      <c r="K6" s="864">
        <v>179331903</v>
      </c>
      <c r="L6" s="864">
        <v>183044639</v>
      </c>
      <c r="M6" s="864">
        <v>106487506</v>
      </c>
      <c r="N6" s="864">
        <v>83910106</v>
      </c>
      <c r="O6" s="864">
        <v>91424372</v>
      </c>
      <c r="P6" s="336">
        <f t="shared" ref="P6:P12" si="0">SUM(D6:O6)</f>
        <v>1523277411</v>
      </c>
      <c r="Q6" s="336">
        <f>D6/$P$6*$AC$6</f>
        <v>-1375092.4743564378</v>
      </c>
      <c r="R6" s="336">
        <f t="shared" ref="R6:AB6" si="1">E6/$P$6*$AC$6</f>
        <v>-1661719.7484500185</v>
      </c>
      <c r="S6" s="336">
        <f t="shared" si="1"/>
        <v>-1259296.0337278869</v>
      </c>
      <c r="T6" s="336">
        <f t="shared" si="1"/>
        <v>-1073081.6383529506</v>
      </c>
      <c r="U6" s="336">
        <f t="shared" si="1"/>
        <v>-1470840.7745037365</v>
      </c>
      <c r="V6" s="336">
        <f t="shared" si="1"/>
        <v>-2215998.0018482562</v>
      </c>
      <c r="W6" s="336">
        <f t="shared" si="1"/>
        <v>-2230814.0367365377</v>
      </c>
      <c r="X6" s="336">
        <f t="shared" si="1"/>
        <v>-2302513.4788477803</v>
      </c>
      <c r="Y6" s="336">
        <f t="shared" si="1"/>
        <v>-2350182.7699242453</v>
      </c>
      <c r="Z6" s="336">
        <f t="shared" si="1"/>
        <v>-1367235.3540679479</v>
      </c>
      <c r="AA6" s="336">
        <f t="shared" si="1"/>
        <v>-1077355.1545736177</v>
      </c>
      <c r="AB6" s="336">
        <f t="shared" si="1"/>
        <v>-1173833.7981345884</v>
      </c>
      <c r="AC6" s="336">
        <f>'Exhibit No.__(RMM-11) p1-8'!C117+'Exhibit No.__(RMM-11) p1-8'!C133</f>
        <v>-19557963.263524003</v>
      </c>
      <c r="AD6" s="419">
        <f>Temperature!B22*1000</f>
        <v>-56391635.92382659</v>
      </c>
      <c r="AE6" s="450">
        <f>P6+AC6+AD6</f>
        <v>1447327811.8126493</v>
      </c>
      <c r="AF6" s="106">
        <f>'Exhibit No.__(RMM-11) p1-8'!C118+'Exhibit No.__(RMM-11) p1-8'!C134</f>
        <v>1447327811.8126493</v>
      </c>
    </row>
    <row r="7" spans="1:32">
      <c r="A7" s="428">
        <v>17</v>
      </c>
      <c r="C7" s="4" t="s">
        <v>93</v>
      </c>
      <c r="D7" s="864">
        <v>4137042</v>
      </c>
      <c r="E7" s="864">
        <v>4761180</v>
      </c>
      <c r="F7" s="864">
        <v>3808783</v>
      </c>
      <c r="G7" s="864">
        <v>3904990</v>
      </c>
      <c r="H7" s="864">
        <v>6100663</v>
      </c>
      <c r="I7" s="864">
        <v>9844399</v>
      </c>
      <c r="J7" s="864">
        <v>10509204</v>
      </c>
      <c r="K7" s="864">
        <v>11558594</v>
      </c>
      <c r="L7" s="864">
        <v>10673036</v>
      </c>
      <c r="M7" s="864">
        <v>5922565</v>
      </c>
      <c r="N7" s="864">
        <v>4220474</v>
      </c>
      <c r="O7" s="864">
        <v>4193283</v>
      </c>
      <c r="P7" s="336">
        <f t="shared" si="0"/>
        <v>79634213</v>
      </c>
      <c r="Q7" s="336">
        <f>D7/$P$7*$AC$7</f>
        <v>-53119.920192541264</v>
      </c>
      <c r="R7" s="336">
        <f t="shared" ref="R7:AB7" si="2">E7/$P$7*$AC$7</f>
        <v>-61133.897509941547</v>
      </c>
      <c r="S7" s="336">
        <f t="shared" si="2"/>
        <v>-48905.050756242716</v>
      </c>
      <c r="T7" s="336">
        <f t="shared" si="2"/>
        <v>-50140.355633970285</v>
      </c>
      <c r="U7" s="336">
        <f t="shared" si="2"/>
        <v>-78332.956658788898</v>
      </c>
      <c r="V7" s="336">
        <f t="shared" si="2"/>
        <v>-126402.79920376273</v>
      </c>
      <c r="W7" s="336">
        <f t="shared" si="2"/>
        <v>-134938.94375912438</v>
      </c>
      <c r="X7" s="336">
        <f t="shared" si="2"/>
        <v>-148413.18768772137</v>
      </c>
      <c r="Y7" s="336">
        <f t="shared" si="2"/>
        <v>-137042.55855563463</v>
      </c>
      <c r="Z7" s="336">
        <f t="shared" si="2"/>
        <v>-76046.165384624604</v>
      </c>
      <c r="AA7" s="336">
        <f t="shared" si="2"/>
        <v>-54191.19314106441</v>
      </c>
      <c r="AB7" s="336">
        <f t="shared" si="2"/>
        <v>-53842.058723295529</v>
      </c>
      <c r="AC7" s="336">
        <f>'Exhibit No.__(RMM-11) p1-8'!C148</f>
        <v>-1022509.0872067123</v>
      </c>
      <c r="AD7" s="419">
        <f>Temperature!B40*1000</f>
        <v>-3544776.4952980368</v>
      </c>
      <c r="AE7" s="450">
        <f t="shared" ref="AE7:AE11" si="3">P7+AC7+AD7</f>
        <v>75066927.417495251</v>
      </c>
      <c r="AF7" s="106">
        <f>'Exhibit No.__(RMM-11) p1-8'!C149</f>
        <v>75066927.417495266</v>
      </c>
    </row>
    <row r="8" spans="1:32">
      <c r="A8" s="428">
        <v>18</v>
      </c>
      <c r="C8" s="4" t="s">
        <v>49</v>
      </c>
      <c r="D8" s="864">
        <v>170479</v>
      </c>
      <c r="E8" s="864">
        <v>188226</v>
      </c>
      <c r="F8" s="864">
        <v>160949</v>
      </c>
      <c r="G8" s="864">
        <v>136984</v>
      </c>
      <c r="H8" s="864">
        <v>160687</v>
      </c>
      <c r="I8" s="864">
        <v>215268</v>
      </c>
      <c r="J8" s="864">
        <v>214940</v>
      </c>
      <c r="K8" s="864">
        <v>217776</v>
      </c>
      <c r="L8" s="864">
        <v>225143</v>
      </c>
      <c r="M8" s="864">
        <v>140675</v>
      </c>
      <c r="N8" s="864">
        <v>128955</v>
      </c>
      <c r="O8" s="864">
        <v>154089</v>
      </c>
      <c r="P8" s="336">
        <f t="shared" si="0"/>
        <v>2114171</v>
      </c>
      <c r="Q8" s="336">
        <f>D8/$P$8*$AC$8</f>
        <v>-2192.3089524449961</v>
      </c>
      <c r="R8" s="336">
        <f t="shared" ref="R8:AB8" si="4">E8/$P$8*$AC$8</f>
        <v>-2420.530064599815</v>
      </c>
      <c r="S8" s="336">
        <f t="shared" si="4"/>
        <v>-2069.7560027162858</v>
      </c>
      <c r="T8" s="336">
        <f t="shared" si="4"/>
        <v>-1761.5732702662813</v>
      </c>
      <c r="U8" s="336">
        <f t="shared" si="4"/>
        <v>-2066.386761076315</v>
      </c>
      <c r="V8" s="336">
        <f t="shared" si="4"/>
        <v>-2768.2820967681032</v>
      </c>
      <c r="W8" s="336">
        <f t="shared" si="4"/>
        <v>-2764.0641148676814</v>
      </c>
      <c r="X8" s="336">
        <f t="shared" si="4"/>
        <v>-2800.5342266652283</v>
      </c>
      <c r="Y8" s="336">
        <f t="shared" si="4"/>
        <v>-2895.2716433128057</v>
      </c>
      <c r="Z8" s="336">
        <f t="shared" si="4"/>
        <v>-1809.0384263469391</v>
      </c>
      <c r="AA8" s="336">
        <f t="shared" si="4"/>
        <v>-1658.3227316123657</v>
      </c>
      <c r="AB8" s="336">
        <f t="shared" si="4"/>
        <v>-1981.5384544330798</v>
      </c>
      <c r="AC8" s="336">
        <f>'Exhibit No.__(RMM-11) p1-8'!C163</f>
        <v>-27187.606745109897</v>
      </c>
      <c r="AD8" s="419">
        <f>Temperature!B58*1000</f>
        <v>-80541.434275372114</v>
      </c>
      <c r="AE8" s="450">
        <f t="shared" si="3"/>
        <v>2006441.9589795179</v>
      </c>
      <c r="AF8" s="106">
        <f>'Exhibit No.__(RMM-11) p1-8'!C164</f>
        <v>2006441.9589795177</v>
      </c>
    </row>
    <row r="9" spans="1:32">
      <c r="A9" s="428" t="s">
        <v>154</v>
      </c>
      <c r="C9" s="7" t="s">
        <v>155</v>
      </c>
      <c r="D9" s="864">
        <v>34467</v>
      </c>
      <c r="E9" s="864">
        <v>37683</v>
      </c>
      <c r="F9" s="864">
        <v>25783</v>
      </c>
      <c r="G9" s="864">
        <v>21335</v>
      </c>
      <c r="H9" s="864">
        <v>22104</v>
      </c>
      <c r="I9" s="864">
        <v>29713</v>
      </c>
      <c r="J9" s="864">
        <v>29072</v>
      </c>
      <c r="K9" s="864">
        <v>29373</v>
      </c>
      <c r="L9" s="864">
        <v>32586</v>
      </c>
      <c r="M9" s="864">
        <v>21245</v>
      </c>
      <c r="N9" s="864">
        <v>18667</v>
      </c>
      <c r="O9" s="864">
        <v>19126</v>
      </c>
      <c r="P9" s="336">
        <f t="shared" si="0"/>
        <v>321154</v>
      </c>
      <c r="Q9" s="336">
        <f>D9/$P$9*$AC$9</f>
        <v>-442.52385596872955</v>
      </c>
      <c r="R9" s="336">
        <f t="shared" ref="R9:AB9" si="5">E9/$P$9*$AC$9</f>
        <v>-483.81427059127964</v>
      </c>
      <c r="S9" s="336">
        <f t="shared" si="5"/>
        <v>-331.02946524042579</v>
      </c>
      <c r="T9" s="336">
        <f t="shared" si="5"/>
        <v>-273.92132959331667</v>
      </c>
      <c r="U9" s="336">
        <f t="shared" si="5"/>
        <v>-283.79456617439286</v>
      </c>
      <c r="V9" s="336">
        <f t="shared" si="5"/>
        <v>-381.48696818402709</v>
      </c>
      <c r="W9" s="336">
        <f t="shared" si="5"/>
        <v>-373.25713118991803</v>
      </c>
      <c r="X9" s="336">
        <f t="shared" si="5"/>
        <v>-377.12168803114554</v>
      </c>
      <c r="Y9" s="336">
        <f t="shared" si="5"/>
        <v>-418.37358547587615</v>
      </c>
      <c r="Z9" s="336">
        <f t="shared" si="5"/>
        <v>-272.76581425873036</v>
      </c>
      <c r="AA9" s="336">
        <f t="shared" si="5"/>
        <v>-239.66671945246975</v>
      </c>
      <c r="AB9" s="336">
        <f t="shared" si="5"/>
        <v>-245.55984765885984</v>
      </c>
      <c r="AC9" s="336">
        <f>'Exhibit No.__(RMM-11) p1-8'!C178</f>
        <v>-4123.3152418191712</v>
      </c>
      <c r="AE9" s="450">
        <f t="shared" si="3"/>
        <v>317030.68475818081</v>
      </c>
      <c r="AF9" s="106">
        <f>'Exhibit No.__(RMM-11) p1-8'!C179</f>
        <v>317030.68475818081</v>
      </c>
    </row>
    <row r="10" spans="1:32">
      <c r="A10" s="428" t="s">
        <v>153</v>
      </c>
      <c r="C10" s="4" t="s">
        <v>50</v>
      </c>
      <c r="D10" s="865">
        <v>79561.5</v>
      </c>
      <c r="E10" s="865">
        <v>79957</v>
      </c>
      <c r="F10" s="865">
        <v>80109</v>
      </c>
      <c r="G10" s="865">
        <v>80337</v>
      </c>
      <c r="H10" s="865">
        <v>79727</v>
      </c>
      <c r="I10" s="865">
        <v>79145</v>
      </c>
      <c r="J10" s="865">
        <v>79252</v>
      </c>
      <c r="K10" s="865">
        <v>78773</v>
      </c>
      <c r="L10" s="865">
        <v>77809</v>
      </c>
      <c r="M10" s="865">
        <v>78235.5</v>
      </c>
      <c r="N10" s="865">
        <v>78358</v>
      </c>
      <c r="O10" s="865">
        <v>78277</v>
      </c>
      <c r="P10" s="336">
        <f t="shared" si="0"/>
        <v>949541</v>
      </c>
      <c r="Q10" s="336">
        <f>D10/$P$10*$AC$10</f>
        <v>-1017.0163527567993</v>
      </c>
      <c r="R10" s="336">
        <f t="shared" ref="R10:AB10" si="6">E10/$P$10*$AC$10</f>
        <v>-1022.0719382788836</v>
      </c>
      <c r="S10" s="336">
        <f t="shared" si="6"/>
        <v>-1024.0149193139198</v>
      </c>
      <c r="T10" s="336">
        <f t="shared" si="6"/>
        <v>-1026.9293908664743</v>
      </c>
      <c r="U10" s="336">
        <f t="shared" si="6"/>
        <v>-1019.1319011863948</v>
      </c>
      <c r="V10" s="336">
        <f t="shared" si="6"/>
        <v>-1011.6923290654008</v>
      </c>
      <c r="W10" s="336">
        <f t="shared" si="6"/>
        <v>-1013.0600854519065</v>
      </c>
      <c r="X10" s="336">
        <f t="shared" si="6"/>
        <v>-1006.9371386375491</v>
      </c>
      <c r="Y10" s="336">
        <f t="shared" si="6"/>
        <v>-994.61454838902989</v>
      </c>
      <c r="Z10" s="336">
        <f t="shared" si="6"/>
        <v>-1000.0663997801018</v>
      </c>
      <c r="AA10" s="336">
        <f t="shared" si="6"/>
        <v>-1001.6322891011015</v>
      </c>
      <c r="AB10" s="336">
        <f t="shared" si="6"/>
        <v>-1000.5968847337467</v>
      </c>
      <c r="AC10" s="336">
        <f>'Exhibit No.__(RMM-11) p1-8'!C47</f>
        <v>-12137.764177561308</v>
      </c>
      <c r="AE10" s="450">
        <f t="shared" si="3"/>
        <v>937403.23582243873</v>
      </c>
      <c r="AF10" s="106">
        <f>'Exhibit No.__(RMM-11) p1-8'!C48</f>
        <v>937403.23582243873</v>
      </c>
    </row>
    <row r="11" spans="1:32">
      <c r="A11" s="428">
        <v>24</v>
      </c>
      <c r="C11" s="856" t="s">
        <v>51</v>
      </c>
      <c r="D11" s="865">
        <v>1746915</v>
      </c>
      <c r="E11" s="865">
        <v>1942419</v>
      </c>
      <c r="F11" s="865">
        <v>1666377</v>
      </c>
      <c r="G11" s="865">
        <v>1365198</v>
      </c>
      <c r="H11" s="865">
        <v>1415824</v>
      </c>
      <c r="I11" s="865">
        <v>2050100</v>
      </c>
      <c r="J11" s="865">
        <v>2085519</v>
      </c>
      <c r="K11" s="865">
        <v>2166637</v>
      </c>
      <c r="L11" s="865">
        <v>2323029</v>
      </c>
      <c r="M11" s="865">
        <v>1438003</v>
      </c>
      <c r="N11" s="865">
        <v>1304153</v>
      </c>
      <c r="O11" s="865">
        <v>1532312</v>
      </c>
      <c r="P11" s="336">
        <f t="shared" ref="P11" si="7">SUM(D11:O11)</f>
        <v>21036486</v>
      </c>
      <c r="Q11" s="336">
        <f>D11/$P$11*$AC$11</f>
        <v>-22594.021731205936</v>
      </c>
      <c r="R11" s="336">
        <f t="shared" ref="R11:AB11" si="8">E11/$P$11*$AC$11</f>
        <v>-25122.605906473585</v>
      </c>
      <c r="S11" s="336">
        <f t="shared" si="8"/>
        <v>-21552.369835041631</v>
      </c>
      <c r="T11" s="336">
        <f t="shared" si="8"/>
        <v>-17657.020106530017</v>
      </c>
      <c r="U11" s="336">
        <f t="shared" si="8"/>
        <v>-18311.80007244938</v>
      </c>
      <c r="V11" s="336">
        <f t="shared" si="8"/>
        <v>-26515.316401281852</v>
      </c>
      <c r="W11" s="336">
        <f t="shared" si="8"/>
        <v>-26973.414050965774</v>
      </c>
      <c r="X11" s="336">
        <f t="shared" si="8"/>
        <v>-28022.56747559832</v>
      </c>
      <c r="Y11" s="336">
        <f t="shared" si="8"/>
        <v>-30045.289958710979</v>
      </c>
      <c r="Z11" s="336">
        <f t="shared" si="8"/>
        <v>-18598.655934341012</v>
      </c>
      <c r="AA11" s="336">
        <f t="shared" si="8"/>
        <v>-16867.484235247517</v>
      </c>
      <c r="AB11" s="336">
        <f t="shared" si="8"/>
        <v>-19818.417396946981</v>
      </c>
      <c r="AC11" s="336">
        <f>'Exhibit No.__(RMM-11) p1-8'!C291</f>
        <v>-272078.96310479299</v>
      </c>
      <c r="AD11" s="419">
        <f>Temperature!O75*1000</f>
        <v>-209418.77664011726</v>
      </c>
      <c r="AE11" s="450">
        <f t="shared" si="3"/>
        <v>20554988.260255091</v>
      </c>
      <c r="AF11" s="106">
        <f>'Exhibit No.__(RMM-11) p1-8'!C292</f>
        <v>20554988.260255091</v>
      </c>
    </row>
    <row r="12" spans="1:32">
      <c r="B12" s="7" t="s">
        <v>258</v>
      </c>
      <c r="C12" s="5"/>
      <c r="D12" s="336">
        <f>SUM(D6:D11)</f>
        <v>113267924.5</v>
      </c>
      <c r="E12" s="336">
        <f t="shared" ref="E12:O12" si="9">SUM(E6:E11)</f>
        <v>136432970</v>
      </c>
      <c r="F12" s="336">
        <f t="shared" si="9"/>
        <v>103822623</v>
      </c>
      <c r="G12" s="336">
        <f t="shared" si="9"/>
        <v>89086106</v>
      </c>
      <c r="H12" s="336">
        <f t="shared" si="9"/>
        <v>122335848</v>
      </c>
      <c r="I12" s="336">
        <f t="shared" si="9"/>
        <v>184812246</v>
      </c>
      <c r="J12" s="336">
        <f t="shared" si="9"/>
        <v>186665559</v>
      </c>
      <c r="K12" s="336">
        <f t="shared" si="9"/>
        <v>193383056</v>
      </c>
      <c r="L12" s="336">
        <f t="shared" si="9"/>
        <v>196376242</v>
      </c>
      <c r="M12" s="336">
        <f t="shared" si="9"/>
        <v>114088229.5</v>
      </c>
      <c r="N12" s="336">
        <f t="shared" si="9"/>
        <v>89660713</v>
      </c>
      <c r="O12" s="336">
        <f t="shared" si="9"/>
        <v>97401459</v>
      </c>
      <c r="P12" s="336">
        <f t="shared" si="0"/>
        <v>1627332976</v>
      </c>
      <c r="Q12" s="336">
        <f>SUM(Q6:Q11)</f>
        <v>-1454458.2654413558</v>
      </c>
      <c r="R12" s="336">
        <f t="shared" ref="R12:AB12" si="10">SUM(R6:R11)</f>
        <v>-1751902.6681399036</v>
      </c>
      <c r="S12" s="336">
        <f t="shared" si="10"/>
        <v>-1333178.2547064419</v>
      </c>
      <c r="T12" s="336">
        <f t="shared" si="10"/>
        <v>-1143941.438084177</v>
      </c>
      <c r="U12" s="336">
        <f t="shared" si="10"/>
        <v>-1570854.8444634122</v>
      </c>
      <c r="V12" s="336">
        <f t="shared" si="10"/>
        <v>-2373077.5788473184</v>
      </c>
      <c r="W12" s="336">
        <f t="shared" si="10"/>
        <v>-2396876.775878137</v>
      </c>
      <c r="X12" s="336">
        <f t="shared" si="10"/>
        <v>-2483133.8270644341</v>
      </c>
      <c r="Y12" s="336">
        <f t="shared" si="10"/>
        <v>-2521578.8782157684</v>
      </c>
      <c r="Z12" s="336">
        <f t="shared" si="10"/>
        <v>-1464962.0460272992</v>
      </c>
      <c r="AA12" s="336">
        <f t="shared" si="10"/>
        <v>-1151313.4536900956</v>
      </c>
      <c r="AB12" s="336">
        <f t="shared" si="10"/>
        <v>-1250721.9694416567</v>
      </c>
      <c r="AC12" s="413">
        <f>SUM(AC6:AC11)</f>
        <v>-20895999.999999996</v>
      </c>
      <c r="AD12" s="104">
        <f>SUM(AD6:AD11)</f>
        <v>-60226372.630040117</v>
      </c>
      <c r="AE12" s="104">
        <f>SUM(AE6:AE11)</f>
        <v>1546210603.3699598</v>
      </c>
      <c r="AF12" s="857">
        <f>SUM(AF6:AF11)</f>
        <v>1546210603.3699598</v>
      </c>
    </row>
    <row r="13" spans="1:32">
      <c r="B13" s="4" t="s">
        <v>265</v>
      </c>
      <c r="C13" s="5"/>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f>'Table 2'!G36</f>
        <v>-20896000</v>
      </c>
      <c r="AD13" s="104"/>
      <c r="AE13" s="104"/>
      <c r="AF13" s="857"/>
    </row>
    <row r="14" spans="1:32">
      <c r="A14" s="428">
        <v>24</v>
      </c>
      <c r="C14" s="856" t="s">
        <v>51</v>
      </c>
      <c r="D14" s="865">
        <v>44439385</v>
      </c>
      <c r="E14" s="865">
        <v>51073038</v>
      </c>
      <c r="F14" s="865">
        <v>44839706</v>
      </c>
      <c r="G14" s="865">
        <v>38882917</v>
      </c>
      <c r="H14" s="865">
        <v>39168269</v>
      </c>
      <c r="I14" s="865">
        <v>47316462</v>
      </c>
      <c r="J14" s="865">
        <v>46080438</v>
      </c>
      <c r="K14" s="865">
        <v>45256394</v>
      </c>
      <c r="L14" s="865">
        <v>46266214</v>
      </c>
      <c r="M14" s="865">
        <v>37201528</v>
      </c>
      <c r="N14" s="865">
        <v>36038218</v>
      </c>
      <c r="O14" s="865">
        <v>40249797</v>
      </c>
      <c r="P14" s="336">
        <f t="shared" ref="P14:P22" si="11">SUM(D14:O14)</f>
        <v>516812366</v>
      </c>
      <c r="Q14" s="336">
        <f>D14/$P$14*$AC$14</f>
        <v>404459.26484057016</v>
      </c>
      <c r="R14" s="336">
        <f t="shared" ref="R14:AB14" si="12">E14/$P$14*$AC$14</f>
        <v>464834.59216761217</v>
      </c>
      <c r="S14" s="336">
        <f t="shared" si="12"/>
        <v>408102.73419461813</v>
      </c>
      <c r="T14" s="336">
        <f t="shared" si="12"/>
        <v>353887.79625723686</v>
      </c>
      <c r="U14" s="336">
        <f t="shared" si="12"/>
        <v>356484.89025709277</v>
      </c>
      <c r="V14" s="336">
        <f t="shared" si="12"/>
        <v>430644.60580129025</v>
      </c>
      <c r="W14" s="336">
        <f t="shared" si="12"/>
        <v>419395.09462184209</v>
      </c>
      <c r="X14" s="336">
        <f t="shared" si="12"/>
        <v>411895.16566386301</v>
      </c>
      <c r="Y14" s="336">
        <f t="shared" si="12"/>
        <v>421085.91064877459</v>
      </c>
      <c r="Z14" s="336">
        <f t="shared" si="12"/>
        <v>338584.85363435803</v>
      </c>
      <c r="AA14" s="336">
        <f t="shared" si="12"/>
        <v>327997.13943935547</v>
      </c>
      <c r="AB14" s="336">
        <f t="shared" si="12"/>
        <v>366328.27624869661</v>
      </c>
      <c r="AC14" s="336">
        <f>'Exhibit No.__(RMM-11) p1-8'!C326</f>
        <v>4703700.3237753101</v>
      </c>
      <c r="AD14" s="419">
        <f>Temperature!B75*1000</f>
        <v>-5144880.8246873794</v>
      </c>
      <c r="AE14" s="450">
        <f t="shared" ref="AE14:AE21" si="13">P14+AC14+AD14</f>
        <v>516371185.49908793</v>
      </c>
      <c r="AF14" s="106">
        <f>'Exhibit No.__(RMM-11) p1-8'!C327</f>
        <v>516371185.49908787</v>
      </c>
    </row>
    <row r="15" spans="1:32">
      <c r="A15" s="428" t="s">
        <v>142</v>
      </c>
      <c r="C15" s="856" t="s">
        <v>52</v>
      </c>
      <c r="D15" s="865">
        <v>102546.09806676151</v>
      </c>
      <c r="E15" s="865">
        <v>102056.9627751988</v>
      </c>
      <c r="F15" s="865">
        <v>102052.9627751988</v>
      </c>
      <c r="G15" s="865">
        <v>102052.9627751988</v>
      </c>
      <c r="H15" s="865">
        <v>102052.9627751988</v>
      </c>
      <c r="I15" s="865">
        <v>102052.9627751988</v>
      </c>
      <c r="J15" s="865">
        <v>102545.9931288138</v>
      </c>
      <c r="K15" s="865">
        <v>102053.03404046581</v>
      </c>
      <c r="L15" s="865">
        <v>102545.9881193779</v>
      </c>
      <c r="M15" s="865">
        <v>102053.0754961787</v>
      </c>
      <c r="N15" s="865">
        <v>102053.0754961787</v>
      </c>
      <c r="O15" s="865">
        <v>102053.0754961787</v>
      </c>
      <c r="P15" s="336">
        <f t="shared" si="11"/>
        <v>1226119.1537199491</v>
      </c>
      <c r="Q15" s="336">
        <f>D15/$P$15*$AC$15</f>
        <v>932.92453580716972</v>
      </c>
      <c r="R15" s="336">
        <f t="shared" ref="R15:AB15" si="14">E15/$P$15*$AC$15</f>
        <v>928.47457307400998</v>
      </c>
      <c r="S15" s="336">
        <f t="shared" si="14"/>
        <v>928.4381826289947</v>
      </c>
      <c r="T15" s="336">
        <f t="shared" si="14"/>
        <v>928.4381826289947</v>
      </c>
      <c r="U15" s="336">
        <f t="shared" si="14"/>
        <v>928.4381826289947</v>
      </c>
      <c r="V15" s="336">
        <f t="shared" si="14"/>
        <v>928.4381826289947</v>
      </c>
      <c r="W15" s="336">
        <f t="shared" si="14"/>
        <v>932.92358112251577</v>
      </c>
      <c r="X15" s="336">
        <f t="shared" si="14"/>
        <v>928.43883097268974</v>
      </c>
      <c r="Y15" s="336">
        <f t="shared" si="14"/>
        <v>932.9235355486154</v>
      </c>
      <c r="Z15" s="336">
        <f t="shared" si="14"/>
        <v>928.43920812064982</v>
      </c>
      <c r="AA15" s="336">
        <f t="shared" si="14"/>
        <v>928.43920812064982</v>
      </c>
      <c r="AB15" s="336">
        <f t="shared" si="14"/>
        <v>928.43920812064982</v>
      </c>
      <c r="AC15" s="336">
        <f>'Exhibit No.__(RMM-11) p1-8'!C430</f>
        <v>11154.755411402928</v>
      </c>
      <c r="AE15" s="450">
        <f t="shared" si="13"/>
        <v>1237273.9091313521</v>
      </c>
      <c r="AF15" s="106">
        <f>'Exhibit No.__(RMM-11) p1-8'!C431</f>
        <v>1237273.9091313521</v>
      </c>
    </row>
    <row r="16" spans="1:32">
      <c r="A16" s="428" t="s">
        <v>149</v>
      </c>
      <c r="C16" s="858" t="s">
        <v>57</v>
      </c>
      <c r="D16" s="865">
        <v>11719</v>
      </c>
      <c r="E16" s="865">
        <v>11868</v>
      </c>
      <c r="F16" s="865">
        <v>13607</v>
      </c>
      <c r="G16" s="865">
        <v>17227</v>
      </c>
      <c r="H16" s="865">
        <v>9878</v>
      </c>
      <c r="I16" s="865">
        <v>5791</v>
      </c>
      <c r="J16" s="865">
        <v>4665</v>
      </c>
      <c r="K16" s="865">
        <v>7069</v>
      </c>
      <c r="L16" s="865">
        <v>7449</v>
      </c>
      <c r="M16" s="865">
        <v>7055</v>
      </c>
      <c r="N16" s="865">
        <v>24504</v>
      </c>
      <c r="O16" s="865">
        <v>9039</v>
      </c>
      <c r="P16" s="336">
        <f t="shared" si="11"/>
        <v>129871</v>
      </c>
      <c r="Q16" s="336">
        <f>D16/$P$16*$AC$16</f>
        <v>107.12780716202623</v>
      </c>
      <c r="R16" s="336">
        <f t="shared" ref="R16:AB16" si="15">E16/$P$16*$AC$16</f>
        <v>108.48987246342924</v>
      </c>
      <c r="S16" s="336">
        <f t="shared" si="15"/>
        <v>124.38672856503889</v>
      </c>
      <c r="T16" s="336">
        <f t="shared" si="15"/>
        <v>157.47851642462885</v>
      </c>
      <c r="U16" s="336">
        <f t="shared" si="15"/>
        <v>90.298530518516515</v>
      </c>
      <c r="V16" s="336">
        <f t="shared" si="15"/>
        <v>52.937719197482195</v>
      </c>
      <c r="W16" s="336">
        <f t="shared" si="15"/>
        <v>42.644527725134594</v>
      </c>
      <c r="X16" s="336">
        <f t="shared" si="15"/>
        <v>64.620400104818103</v>
      </c>
      <c r="Y16" s="336">
        <f t="shared" si="15"/>
        <v>68.094123692288875</v>
      </c>
      <c r="Z16" s="336">
        <f t="shared" si="15"/>
        <v>64.492420814753402</v>
      </c>
      <c r="AA16" s="336">
        <f t="shared" si="15"/>
        <v>224.00032312469415</v>
      </c>
      <c r="AB16" s="336">
        <f t="shared" si="15"/>
        <v>82.628914492495511</v>
      </c>
      <c r="AC16" s="336">
        <f>'Exhibit No.__(RMM-11) p1-8'!C536</f>
        <v>1187.1998842853066</v>
      </c>
      <c r="AE16" s="450">
        <f t="shared" si="13"/>
        <v>131058.19988428531</v>
      </c>
      <c r="AF16" s="106">
        <f>'Exhibit No.__(RMM-11) p1-8'!C537</f>
        <v>131058.19988428531</v>
      </c>
    </row>
    <row r="17" spans="1:34">
      <c r="A17" s="428">
        <v>33</v>
      </c>
      <c r="C17" s="856" t="s">
        <v>266</v>
      </c>
      <c r="D17" s="336">
        <v>0</v>
      </c>
      <c r="E17" s="336">
        <v>0</v>
      </c>
      <c r="F17" s="336">
        <v>0</v>
      </c>
      <c r="G17" s="336">
        <v>0</v>
      </c>
      <c r="H17" s="336">
        <v>0</v>
      </c>
      <c r="I17" s="336">
        <v>0</v>
      </c>
      <c r="J17" s="336">
        <v>0</v>
      </c>
      <c r="K17" s="336">
        <v>0</v>
      </c>
      <c r="L17" s="336">
        <v>0</v>
      </c>
      <c r="M17" s="336">
        <v>0</v>
      </c>
      <c r="N17" s="336">
        <v>0</v>
      </c>
      <c r="O17" s="336">
        <v>0</v>
      </c>
      <c r="P17" s="336">
        <f t="shared" si="11"/>
        <v>0</v>
      </c>
      <c r="Q17" s="866">
        <v>0</v>
      </c>
      <c r="R17" s="866">
        <v>0</v>
      </c>
      <c r="S17" s="866">
        <v>0</v>
      </c>
      <c r="T17" s="866">
        <v>0</v>
      </c>
      <c r="U17" s="866">
        <v>0</v>
      </c>
      <c r="V17" s="866">
        <v>0</v>
      </c>
      <c r="W17" s="866">
        <v>0</v>
      </c>
      <c r="X17" s="866">
        <v>0</v>
      </c>
      <c r="Y17" s="866">
        <v>0</v>
      </c>
      <c r="Z17" s="866">
        <v>0</v>
      </c>
      <c r="AA17" s="866">
        <v>0</v>
      </c>
      <c r="AB17" s="866">
        <v>0</v>
      </c>
      <c r="AC17" s="336">
        <v>0</v>
      </c>
      <c r="AE17" s="450">
        <f t="shared" si="13"/>
        <v>0</v>
      </c>
      <c r="AF17" s="106">
        <v>0</v>
      </c>
    </row>
    <row r="18" spans="1:34">
      <c r="A18" s="428">
        <v>36</v>
      </c>
      <c r="C18" s="856" t="s">
        <v>53</v>
      </c>
      <c r="D18" s="865">
        <v>69682199</v>
      </c>
      <c r="E18" s="865">
        <v>74952648</v>
      </c>
      <c r="F18" s="865">
        <v>78907232</v>
      </c>
      <c r="G18" s="865">
        <v>77751877</v>
      </c>
      <c r="H18" s="865">
        <v>74783328</v>
      </c>
      <c r="I18" s="865">
        <v>76814636</v>
      </c>
      <c r="J18" s="865">
        <v>71697297</v>
      </c>
      <c r="K18" s="865">
        <v>67452778</v>
      </c>
      <c r="L18" s="865">
        <v>66306899</v>
      </c>
      <c r="M18" s="865">
        <v>60966534</v>
      </c>
      <c r="N18" s="865">
        <v>60910540</v>
      </c>
      <c r="O18" s="865">
        <v>66415429</v>
      </c>
      <c r="P18" s="336">
        <f t="shared" si="11"/>
        <v>846641397</v>
      </c>
      <c r="Q18" s="336">
        <f>D18/$P$18*$AC$18</f>
        <v>635122.95806418895</v>
      </c>
      <c r="R18" s="336">
        <f t="shared" ref="R18:AB18" si="16">E18/$P$18*$AC$18</f>
        <v>683160.81001553801</v>
      </c>
      <c r="S18" s="336">
        <f t="shared" si="16"/>
        <v>719205.1244033965</v>
      </c>
      <c r="T18" s="336">
        <f t="shared" si="16"/>
        <v>708674.56572779769</v>
      </c>
      <c r="U18" s="336">
        <f t="shared" si="16"/>
        <v>681617.53180671704</v>
      </c>
      <c r="V18" s="336">
        <f t="shared" si="16"/>
        <v>700132.02136379108</v>
      </c>
      <c r="W18" s="336">
        <f t="shared" si="16"/>
        <v>653489.70051657956</v>
      </c>
      <c r="X18" s="336">
        <f t="shared" si="16"/>
        <v>614802.75461753213</v>
      </c>
      <c r="Y18" s="336">
        <f t="shared" si="16"/>
        <v>604358.56556340028</v>
      </c>
      <c r="Z18" s="336">
        <f t="shared" si="16"/>
        <v>555683.45965948841</v>
      </c>
      <c r="AA18" s="336">
        <f t="shared" si="16"/>
        <v>555173.09868603747</v>
      </c>
      <c r="AB18" s="336">
        <f t="shared" si="16"/>
        <v>605347.76934324531</v>
      </c>
      <c r="AC18" s="336">
        <f>'Exhibit No.__(RMM-11) p1-8'!C692</f>
        <v>7716768.3597677127</v>
      </c>
      <c r="AD18" s="419">
        <f>Temperature!B110*1000</f>
        <v>-7672616.9529263787</v>
      </c>
      <c r="AE18" s="450">
        <f t="shared" si="13"/>
        <v>846685548.40684128</v>
      </c>
      <c r="AF18" s="106">
        <f>'Exhibit No.__(RMM-11) p1-8'!C693</f>
        <v>846685548.40684128</v>
      </c>
    </row>
    <row r="19" spans="1:34">
      <c r="A19" s="428" t="s">
        <v>148</v>
      </c>
      <c r="C19" s="856" t="s">
        <v>54</v>
      </c>
      <c r="D19" s="865">
        <v>17983880</v>
      </c>
      <c r="E19" s="865">
        <v>18081661</v>
      </c>
      <c r="F19" s="865">
        <v>19319200</v>
      </c>
      <c r="G19" s="865">
        <v>18178020</v>
      </c>
      <c r="H19" s="865">
        <v>17103220</v>
      </c>
      <c r="I19" s="865">
        <v>17266680</v>
      </c>
      <c r="J19" s="865">
        <v>15033840</v>
      </c>
      <c r="K19" s="865">
        <v>14689000</v>
      </c>
      <c r="L19" s="865">
        <v>14074620</v>
      </c>
      <c r="M19" s="865">
        <v>13516700</v>
      </c>
      <c r="N19" s="865">
        <v>13675140</v>
      </c>
      <c r="O19" s="865">
        <v>15499740</v>
      </c>
      <c r="P19" s="336">
        <f t="shared" si="11"/>
        <v>194421701</v>
      </c>
      <c r="Q19" s="336">
        <f>D19/$P$19*$AC$19</f>
        <v>163802.02908562784</v>
      </c>
      <c r="R19" s="336">
        <f t="shared" ref="R19:AB19" si="17">E19/$P$19*$AC$19</f>
        <v>164692.6448040391</v>
      </c>
      <c r="S19" s="336">
        <f t="shared" si="17"/>
        <v>175964.48376607616</v>
      </c>
      <c r="T19" s="336">
        <f t="shared" si="17"/>
        <v>165570.30856295332</v>
      </c>
      <c r="U19" s="336">
        <f t="shared" si="17"/>
        <v>155780.74030175313</v>
      </c>
      <c r="V19" s="336">
        <f t="shared" si="17"/>
        <v>157269.5780650354</v>
      </c>
      <c r="W19" s="336">
        <f t="shared" si="17"/>
        <v>136932.26917376425</v>
      </c>
      <c r="X19" s="336">
        <f t="shared" si="17"/>
        <v>133791.3734543818</v>
      </c>
      <c r="Y19" s="336">
        <f t="shared" si="17"/>
        <v>128195.43472316094</v>
      </c>
      <c r="Z19" s="336">
        <f t="shared" si="17"/>
        <v>123113.7488985528</v>
      </c>
      <c r="AA19" s="336">
        <f t="shared" si="17"/>
        <v>124556.8631479988</v>
      </c>
      <c r="AB19" s="336">
        <f t="shared" si="17"/>
        <v>141175.81202163655</v>
      </c>
      <c r="AC19" s="336">
        <f>'Exhibit No.__(RMM-11) p1-8'!C1081</f>
        <v>1770845.2860049801</v>
      </c>
      <c r="AD19" s="419">
        <f>(Temperature!B127+Temperature!F127)*1000</f>
        <v>-1686957.3716461251</v>
      </c>
      <c r="AE19" s="450">
        <f t="shared" si="13"/>
        <v>194505588.91435885</v>
      </c>
      <c r="AF19" s="106">
        <f>'Exhibit No.__(RMM-11) p1-8'!C1082</f>
        <v>194505588.91435888</v>
      </c>
    </row>
    <row r="20" spans="1:34">
      <c r="A20" s="428" t="s">
        <v>144</v>
      </c>
      <c r="C20" s="856" t="s">
        <v>55</v>
      </c>
      <c r="D20" s="865">
        <v>163391</v>
      </c>
      <c r="E20" s="865">
        <v>164243.5</v>
      </c>
      <c r="F20" s="865">
        <v>165753</v>
      </c>
      <c r="G20" s="865">
        <v>165159</v>
      </c>
      <c r="H20" s="865">
        <v>164897</v>
      </c>
      <c r="I20" s="865">
        <v>163319</v>
      </c>
      <c r="J20" s="865">
        <v>162139</v>
      </c>
      <c r="K20" s="865">
        <v>162217</v>
      </c>
      <c r="L20" s="865">
        <v>159972</v>
      </c>
      <c r="M20" s="865">
        <v>161054</v>
      </c>
      <c r="N20" s="865">
        <v>162637</v>
      </c>
      <c r="O20" s="865">
        <v>162340</v>
      </c>
      <c r="P20" s="336">
        <f t="shared" si="11"/>
        <v>1957121.5</v>
      </c>
      <c r="Q20" s="336">
        <f>D20/$P$20*$AC$20</f>
        <v>1483.924584358416</v>
      </c>
      <c r="R20" s="336">
        <f t="shared" ref="R20:AB20" si="18">E20/$P$20*$AC$20</f>
        <v>1491.6670286066642</v>
      </c>
      <c r="S20" s="336">
        <f t="shared" si="18"/>
        <v>1505.3763771025365</v>
      </c>
      <c r="T20" s="336">
        <f t="shared" si="18"/>
        <v>1499.9816417553698</v>
      </c>
      <c r="U20" s="336">
        <f t="shared" si="18"/>
        <v>1497.6021456931514</v>
      </c>
      <c r="V20" s="336">
        <f t="shared" si="18"/>
        <v>1483.270677043608</v>
      </c>
      <c r="W20" s="336">
        <f t="shared" si="18"/>
        <v>1472.5538627175868</v>
      </c>
      <c r="X20" s="336">
        <f t="shared" si="18"/>
        <v>1473.2622623086286</v>
      </c>
      <c r="Y20" s="336">
        <f t="shared" si="18"/>
        <v>1452.8730689510717</v>
      </c>
      <c r="Z20" s="336">
        <f t="shared" si="18"/>
        <v>1462.6998427652707</v>
      </c>
      <c r="AA20" s="336">
        <f t="shared" si="18"/>
        <v>1477.076721645009</v>
      </c>
      <c r="AB20" s="336">
        <f t="shared" si="18"/>
        <v>1474.3793539714261</v>
      </c>
      <c r="AC20" s="336">
        <f>'Exhibit No.__(RMM-11) p1-8'!C65</f>
        <v>17774.667566918739</v>
      </c>
      <c r="AD20" s="4">
        <v>0</v>
      </c>
      <c r="AE20" s="450">
        <f t="shared" si="13"/>
        <v>1974896.1675669188</v>
      </c>
      <c r="AF20" s="106">
        <f>'Exhibit No.__(RMM-11) p1-8'!C66</f>
        <v>1974896.1675669188</v>
      </c>
    </row>
    <row r="21" spans="1:34">
      <c r="A21" s="428">
        <v>54</v>
      </c>
      <c r="C21" s="856" t="s">
        <v>56</v>
      </c>
      <c r="D21" s="865">
        <v>26577</v>
      </c>
      <c r="E21" s="865">
        <v>18010</v>
      </c>
      <c r="F21" s="865">
        <v>21253</v>
      </c>
      <c r="G21" s="865">
        <v>27889</v>
      </c>
      <c r="H21" s="865">
        <v>30693</v>
      </c>
      <c r="I21" s="865">
        <v>22944</v>
      </c>
      <c r="J21" s="865">
        <v>19796</v>
      </c>
      <c r="K21" s="865">
        <v>28995</v>
      </c>
      <c r="L21" s="865">
        <v>25210</v>
      </c>
      <c r="M21" s="865">
        <v>23956</v>
      </c>
      <c r="N21" s="865">
        <v>20009</v>
      </c>
      <c r="O21" s="865">
        <v>17380</v>
      </c>
      <c r="P21" s="336">
        <f t="shared" si="11"/>
        <v>282712</v>
      </c>
      <c r="Q21" s="336">
        <f>D21/$P$21*$AC$21</f>
        <v>241.54314462489347</v>
      </c>
      <c r="R21" s="336">
        <f t="shared" ref="R21:AB21" si="19">E21/$P$21*$AC$21</f>
        <v>163.68258398970281</v>
      </c>
      <c r="S21" s="336">
        <f t="shared" si="19"/>
        <v>193.15635522116347</v>
      </c>
      <c r="T21" s="336">
        <f t="shared" si="19"/>
        <v>253.46716184835213</v>
      </c>
      <c r="U21" s="336">
        <f t="shared" si="19"/>
        <v>278.95111329239023</v>
      </c>
      <c r="V21" s="336">
        <f t="shared" si="19"/>
        <v>208.52488656633767</v>
      </c>
      <c r="W21" s="336">
        <f t="shared" si="19"/>
        <v>179.91451597224636</v>
      </c>
      <c r="X21" s="336">
        <f t="shared" si="19"/>
        <v>263.51896295288356</v>
      </c>
      <c r="Y21" s="336">
        <f t="shared" si="19"/>
        <v>229.11926387453678</v>
      </c>
      <c r="Z21" s="336">
        <f t="shared" si="19"/>
        <v>217.72237546126155</v>
      </c>
      <c r="AA21" s="336">
        <f t="shared" si="19"/>
        <v>181.85035108550605</v>
      </c>
      <c r="AB21" s="336">
        <f t="shared" si="19"/>
        <v>157.95687449977984</v>
      </c>
      <c r="AC21" s="336">
        <f>'Exhibit No.__(RMM-11) p1-8'!C1254</f>
        <v>2569.407589389054</v>
      </c>
      <c r="AE21" s="450">
        <f t="shared" si="13"/>
        <v>285281.40758938907</v>
      </c>
      <c r="AF21" s="106">
        <f>'Exhibit No.__(RMM-11) p1-8'!C1255</f>
        <v>285281.40758938907</v>
      </c>
      <c r="AH21" s="4" t="s">
        <v>31</v>
      </c>
    </row>
    <row r="22" spans="1:34">
      <c r="B22" s="4" t="s">
        <v>265</v>
      </c>
      <c r="C22" s="5"/>
      <c r="D22" s="336">
        <f t="shared" ref="D22:O22" si="20">SUM(D14:D21)</f>
        <v>132409697.09806676</v>
      </c>
      <c r="E22" s="336">
        <f t="shared" si="20"/>
        <v>144403525.4627752</v>
      </c>
      <c r="F22" s="336">
        <f t="shared" si="20"/>
        <v>143368803.9627752</v>
      </c>
      <c r="G22" s="336">
        <f t="shared" si="20"/>
        <v>135125141.9627752</v>
      </c>
      <c r="H22" s="336">
        <f t="shared" si="20"/>
        <v>131362337.9627752</v>
      </c>
      <c r="I22" s="336">
        <f t="shared" si="20"/>
        <v>141691884.9627752</v>
      </c>
      <c r="J22" s="336">
        <f t="shared" si="20"/>
        <v>133100720.99312881</v>
      </c>
      <c r="K22" s="336">
        <f t="shared" si="20"/>
        <v>127698506.03404047</v>
      </c>
      <c r="L22" s="336">
        <f t="shared" si="20"/>
        <v>126942909.98811938</v>
      </c>
      <c r="M22" s="336">
        <f t="shared" si="20"/>
        <v>111978880.07549618</v>
      </c>
      <c r="N22" s="336">
        <f t="shared" si="20"/>
        <v>110933101.07549618</v>
      </c>
      <c r="O22" s="336">
        <f t="shared" si="20"/>
        <v>122455778.07549618</v>
      </c>
      <c r="P22" s="336">
        <f t="shared" si="11"/>
        <v>1561471287.6537201</v>
      </c>
      <c r="Q22" s="336">
        <f t="shared" ref="Q22:AF22" si="21">SUM(Q14:Q21)</f>
        <v>1206149.7720623394</v>
      </c>
      <c r="R22" s="336">
        <f t="shared" si="21"/>
        <v>1315380.3610453231</v>
      </c>
      <c r="S22" s="336">
        <f t="shared" si="21"/>
        <v>1306023.7000076084</v>
      </c>
      <c r="T22" s="336">
        <f t="shared" si="21"/>
        <v>1230972.0360506454</v>
      </c>
      <c r="U22" s="336">
        <f t="shared" si="21"/>
        <v>1196678.4523376962</v>
      </c>
      <c r="V22" s="336">
        <f t="shared" si="21"/>
        <v>1290719.3766955533</v>
      </c>
      <c r="W22" s="336">
        <f t="shared" si="21"/>
        <v>1212445.1007997233</v>
      </c>
      <c r="X22" s="336">
        <f t="shared" si="21"/>
        <v>1163219.1341921159</v>
      </c>
      <c r="Y22" s="336">
        <f t="shared" si="21"/>
        <v>1156322.9209274023</v>
      </c>
      <c r="Z22" s="336">
        <f t="shared" si="21"/>
        <v>1020055.4160395612</v>
      </c>
      <c r="AA22" s="336">
        <f t="shared" si="21"/>
        <v>1010538.4678773675</v>
      </c>
      <c r="AB22" s="336">
        <f t="shared" si="21"/>
        <v>1115495.2619646629</v>
      </c>
      <c r="AC22" s="413">
        <f t="shared" si="21"/>
        <v>14223999.999999998</v>
      </c>
      <c r="AD22" s="104">
        <f t="shared" si="21"/>
        <v>-14504455.149259884</v>
      </c>
      <c r="AE22" s="104">
        <f t="shared" si="21"/>
        <v>1561190832.5044601</v>
      </c>
      <c r="AF22" s="857">
        <f t="shared" si="21"/>
        <v>1561190832.5044601</v>
      </c>
    </row>
    <row r="23" spans="1:34">
      <c r="B23" s="4" t="s">
        <v>268</v>
      </c>
      <c r="C23" s="5"/>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f>'Table 2'!G67</f>
        <v>14224000</v>
      </c>
      <c r="AD23" s="104"/>
      <c r="AE23" s="104"/>
      <c r="AF23" s="857"/>
    </row>
    <row r="24" spans="1:34">
      <c r="A24" s="428">
        <v>24</v>
      </c>
      <c r="C24" s="856" t="s">
        <v>51</v>
      </c>
      <c r="D24" s="865">
        <v>1311856</v>
      </c>
      <c r="E24" s="865">
        <v>1436958</v>
      </c>
      <c r="F24" s="865">
        <v>1409262</v>
      </c>
      <c r="G24" s="865">
        <v>1338231</v>
      </c>
      <c r="H24" s="865">
        <v>1329073</v>
      </c>
      <c r="I24" s="865">
        <v>1528597</v>
      </c>
      <c r="J24" s="865">
        <v>1463402</v>
      </c>
      <c r="K24" s="865">
        <v>1466390</v>
      </c>
      <c r="L24" s="865">
        <v>1444127</v>
      </c>
      <c r="M24" s="865">
        <v>1203546</v>
      </c>
      <c r="N24" s="865">
        <v>1027138</v>
      </c>
      <c r="O24" s="865">
        <v>1146944</v>
      </c>
      <c r="P24" s="336">
        <f t="shared" ref="P24:P32" si="22">SUM(D24:O24)</f>
        <v>16105524</v>
      </c>
      <c r="Q24" s="336">
        <f ca="1">D24/$P$24*$AC$24</f>
        <v>24492.071490301871</v>
      </c>
      <c r="R24" s="336">
        <f t="shared" ref="R24:AB24" ca="1" si="23">E24/$P$24*$AC$24</f>
        <v>26827.699125941563</v>
      </c>
      <c r="S24" s="336">
        <f t="shared" ca="1" si="23"/>
        <v>26310.620717949067</v>
      </c>
      <c r="T24" s="336">
        <f t="shared" ca="1" si="23"/>
        <v>24984.487110275946</v>
      </c>
      <c r="U24" s="336">
        <f t="shared" ca="1" si="23"/>
        <v>24813.509205149021</v>
      </c>
      <c r="V24" s="336">
        <f t="shared" ca="1" si="23"/>
        <v>28538.579694616608</v>
      </c>
      <c r="W24" s="336">
        <f t="shared" ca="1" si="23"/>
        <v>27321.402961186846</v>
      </c>
      <c r="X24" s="336">
        <f t="shared" ca="1" si="23"/>
        <v>27377.188283366282</v>
      </c>
      <c r="Y24" s="336">
        <f t="shared" ca="1" si="23"/>
        <v>26961.542825641809</v>
      </c>
      <c r="Z24" s="336">
        <f t="shared" ca="1" si="23"/>
        <v>22469.946910230126</v>
      </c>
      <c r="AA24" s="336">
        <f t="shared" ca="1" si="23"/>
        <v>19176.447206405031</v>
      </c>
      <c r="AB24" s="336">
        <f t="shared" ca="1" si="23"/>
        <v>21413.199652532585</v>
      </c>
      <c r="AC24" s="336">
        <f ca="1">'Exhibit No.__(RMM-11) p1-8'!C360</f>
        <v>300686.69518359675</v>
      </c>
      <c r="AE24" s="450">
        <f t="shared" ref="AE24:AE31" ca="1" si="24">P24+AC24+AD24</f>
        <v>16406210.695183598</v>
      </c>
      <c r="AF24" s="106">
        <f ca="1">'Exhibit No.__(RMM-11) p1-8'!C361</f>
        <v>16406210.695183598</v>
      </c>
    </row>
    <row r="25" spans="1:34">
      <c r="A25" s="428" t="s">
        <v>142</v>
      </c>
      <c r="C25" s="856" t="s">
        <v>52</v>
      </c>
      <c r="D25" s="865">
        <v>2776</v>
      </c>
      <c r="E25" s="865">
        <v>2776</v>
      </c>
      <c r="F25" s="865">
        <v>2776</v>
      </c>
      <c r="G25" s="865">
        <v>2776</v>
      </c>
      <c r="H25" s="865">
        <v>2776</v>
      </c>
      <c r="I25" s="865">
        <v>2776</v>
      </c>
      <c r="J25" s="865">
        <v>2776</v>
      </c>
      <c r="K25" s="865">
        <v>2776</v>
      </c>
      <c r="L25" s="865">
        <v>2776</v>
      </c>
      <c r="M25" s="865">
        <v>2776</v>
      </c>
      <c r="N25" s="865">
        <v>2776</v>
      </c>
      <c r="O25" s="865">
        <v>2776</v>
      </c>
      <c r="P25" s="336">
        <f t="shared" si="22"/>
        <v>33312</v>
      </c>
      <c r="Q25" s="336">
        <f ca="1">D25/$P$25*$AC$25</f>
        <v>51.992795051737303</v>
      </c>
      <c r="R25" s="336">
        <f t="shared" ref="R25:AB25" ca="1" si="25">E25/$P$25*$AC$25</f>
        <v>51.992795051737303</v>
      </c>
      <c r="S25" s="336">
        <f t="shared" ca="1" si="25"/>
        <v>51.992795051737303</v>
      </c>
      <c r="T25" s="336">
        <f t="shared" ca="1" si="25"/>
        <v>51.992795051737303</v>
      </c>
      <c r="U25" s="336">
        <f t="shared" ca="1" si="25"/>
        <v>51.992795051737303</v>
      </c>
      <c r="V25" s="336">
        <f t="shared" ca="1" si="25"/>
        <v>51.992795051737303</v>
      </c>
      <c r="W25" s="336">
        <f t="shared" ca="1" si="25"/>
        <v>51.992795051737303</v>
      </c>
      <c r="X25" s="336">
        <f t="shared" ca="1" si="25"/>
        <v>51.992795051737303</v>
      </c>
      <c r="Y25" s="336">
        <f t="shared" ca="1" si="25"/>
        <v>51.992795051737303</v>
      </c>
      <c r="Z25" s="336">
        <f t="shared" ca="1" si="25"/>
        <v>51.992795051737303</v>
      </c>
      <c r="AA25" s="336">
        <f t="shared" ca="1" si="25"/>
        <v>51.992795051737303</v>
      </c>
      <c r="AB25" s="336">
        <f t="shared" ca="1" si="25"/>
        <v>51.992795051737303</v>
      </c>
      <c r="AC25" s="336">
        <f ca="1">'Exhibit No.__(RMM-11) p1-8'!C465</f>
        <v>623.9135406208477</v>
      </c>
      <c r="AE25" s="450">
        <f t="shared" ca="1" si="24"/>
        <v>33935.913540620844</v>
      </c>
      <c r="AF25" s="106">
        <f ca="1">'Exhibit No.__(RMM-11) p1-8'!C466</f>
        <v>33935.913540620844</v>
      </c>
    </row>
    <row r="26" spans="1:34">
      <c r="A26" s="428" t="s">
        <v>149</v>
      </c>
      <c r="C26" s="856" t="s">
        <v>57</v>
      </c>
      <c r="D26" s="865">
        <v>1112</v>
      </c>
      <c r="E26" s="865">
        <v>1084</v>
      </c>
      <c r="F26" s="865">
        <v>922</v>
      </c>
      <c r="G26" s="865">
        <v>228</v>
      </c>
      <c r="H26" s="865">
        <v>109</v>
      </c>
      <c r="I26" s="865">
        <v>2</v>
      </c>
      <c r="J26" s="865">
        <v>2</v>
      </c>
      <c r="K26" s="865">
        <v>3</v>
      </c>
      <c r="L26" s="865">
        <v>2</v>
      </c>
      <c r="M26" s="865">
        <v>0</v>
      </c>
      <c r="N26" s="865">
        <v>401</v>
      </c>
      <c r="O26" s="865">
        <v>532</v>
      </c>
      <c r="P26" s="336">
        <f t="shared" si="22"/>
        <v>4397</v>
      </c>
      <c r="Q26" s="336">
        <f ca="1">D26/$P$26*$AC$26</f>
        <v>20.827085049543186</v>
      </c>
      <c r="R26" s="336">
        <f t="shared" ref="R26:AB26" ca="1" si="26">E26/$P$26*$AC$26</f>
        <v>20.302662044698575</v>
      </c>
      <c r="S26" s="336">
        <f t="shared" ca="1" si="26"/>
        <v>17.268500373811886</v>
      </c>
      <c r="T26" s="336">
        <f t="shared" ca="1" si="26"/>
        <v>4.2703016108775591</v>
      </c>
      <c r="U26" s="336">
        <f t="shared" ca="1" si="26"/>
        <v>2.0415038402879562</v>
      </c>
      <c r="V26" s="336">
        <f t="shared" ca="1" si="26"/>
        <v>3.7458786060329471E-2</v>
      </c>
      <c r="W26" s="336">
        <f t="shared" ca="1" si="26"/>
        <v>3.7458786060329471E-2</v>
      </c>
      <c r="X26" s="336">
        <f t="shared" ca="1" si="26"/>
        <v>5.61881790904942E-2</v>
      </c>
      <c r="Y26" s="336">
        <f t="shared" ca="1" si="26"/>
        <v>3.7458786060329471E-2</v>
      </c>
      <c r="Z26" s="336">
        <f t="shared" ca="1" si="26"/>
        <v>0</v>
      </c>
      <c r="AA26" s="336">
        <f t="shared" ca="1" si="26"/>
        <v>7.5104866050960588</v>
      </c>
      <c r="AB26" s="336">
        <f t="shared" ca="1" si="26"/>
        <v>9.9640370920476382</v>
      </c>
      <c r="AC26" s="336">
        <f ca="1">'Exhibit No.__(RMM-11) p1-8'!C571</f>
        <v>82.35314115363434</v>
      </c>
      <c r="AE26" s="450">
        <f t="shared" ca="1" si="24"/>
        <v>4479.3531411536342</v>
      </c>
      <c r="AF26" s="106">
        <f ca="1">'Exhibit No.__(RMM-11) p1-8'!C572</f>
        <v>4479.3531411536342</v>
      </c>
    </row>
    <row r="27" spans="1:34">
      <c r="A27" s="428">
        <v>36</v>
      </c>
      <c r="C27" s="856" t="s">
        <v>53</v>
      </c>
      <c r="D27" s="865">
        <v>7880700</v>
      </c>
      <c r="E27" s="865">
        <v>8423744</v>
      </c>
      <c r="F27" s="865">
        <v>9470860</v>
      </c>
      <c r="G27" s="865">
        <v>10339060</v>
      </c>
      <c r="H27" s="865">
        <v>9673680</v>
      </c>
      <c r="I27" s="865">
        <v>8387760</v>
      </c>
      <c r="J27" s="865">
        <v>7987440</v>
      </c>
      <c r="K27" s="865">
        <v>8035735</v>
      </c>
      <c r="L27" s="865">
        <v>8181099</v>
      </c>
      <c r="M27" s="865">
        <v>8089632</v>
      </c>
      <c r="N27" s="865">
        <v>7848860</v>
      </c>
      <c r="O27" s="865">
        <v>7838220</v>
      </c>
      <c r="P27" s="336">
        <f t="shared" si="22"/>
        <v>102156790</v>
      </c>
      <c r="Q27" s="336">
        <f ca="1">D27/$P$27*$AC$27</f>
        <v>146488.94831916661</v>
      </c>
      <c r="R27" s="336">
        <f t="shared" ref="R27:AB27" ca="1" si="27">E27/$P$27*$AC$27</f>
        <v>156583.22223532046</v>
      </c>
      <c r="S27" s="336">
        <f t="shared" ca="1" si="27"/>
        <v>176047.34618473769</v>
      </c>
      <c r="T27" s="336">
        <f t="shared" ca="1" si="27"/>
        <v>192185.72284299147</v>
      </c>
      <c r="U27" s="336">
        <f t="shared" ca="1" si="27"/>
        <v>179817.42860103236</v>
      </c>
      <c r="V27" s="336">
        <f t="shared" ca="1" si="27"/>
        <v>155914.3402430714</v>
      </c>
      <c r="W27" s="336">
        <f t="shared" ca="1" si="27"/>
        <v>148473.06525593463</v>
      </c>
      <c r="X27" s="336">
        <f t="shared" ca="1" si="27"/>
        <v>149370.78801648563</v>
      </c>
      <c r="Y27" s="336">
        <f t="shared" ca="1" si="27"/>
        <v>152072.86010189267</v>
      </c>
      <c r="Z27" s="336">
        <f t="shared" ca="1" si="27"/>
        <v>150372.64252783082</v>
      </c>
      <c r="AA27" s="336">
        <f t="shared" ca="1" si="27"/>
        <v>145897.09631179643</v>
      </c>
      <c r="AB27" s="336">
        <f t="shared" ca="1" si="27"/>
        <v>145699.3166208913</v>
      </c>
      <c r="AC27" s="336">
        <f ca="1">'Exhibit No.__(RMM-11) p1-8'!C730</f>
        <v>1898922.7772611515</v>
      </c>
      <c r="AE27" s="450">
        <f t="shared" ca="1" si="24"/>
        <v>104055712.77726115</v>
      </c>
      <c r="AF27" s="106">
        <f ca="1">'Exhibit No.__(RMM-11) p1-8'!C731</f>
        <v>104055712.77726115</v>
      </c>
    </row>
    <row r="28" spans="1:34">
      <c r="A28" s="428">
        <v>47</v>
      </c>
      <c r="C28" s="856" t="s">
        <v>158</v>
      </c>
      <c r="D28" s="864">
        <v>159000</v>
      </c>
      <c r="E28" s="864">
        <v>168000</v>
      </c>
      <c r="F28" s="864">
        <v>186000</v>
      </c>
      <c r="G28" s="864">
        <v>321000</v>
      </c>
      <c r="H28" s="864">
        <v>309000</v>
      </c>
      <c r="I28" s="864">
        <v>290000</v>
      </c>
      <c r="J28" s="864">
        <v>359000</v>
      </c>
      <c r="K28" s="864">
        <v>214000</v>
      </c>
      <c r="L28" s="864">
        <v>341000</v>
      </c>
      <c r="M28" s="864">
        <v>68000</v>
      </c>
      <c r="N28" s="864">
        <v>119000</v>
      </c>
      <c r="O28" s="864">
        <v>96000</v>
      </c>
      <c r="P28" s="336">
        <f t="shared" si="22"/>
        <v>2630000</v>
      </c>
      <c r="Q28" s="336">
        <f ca="1">D28/$P$28*$AC$28</f>
        <v>2971.8873292416665</v>
      </c>
      <c r="R28" s="336">
        <f t="shared" ref="R28:AB28" ca="1" si="28">E28/$P$28*$AC$28</f>
        <v>3140.1073667459118</v>
      </c>
      <c r="S28" s="336">
        <f t="shared" ca="1" si="28"/>
        <v>3476.5474417544024</v>
      </c>
      <c r="T28" s="336">
        <f t="shared" ca="1" si="28"/>
        <v>5999.8480043180816</v>
      </c>
      <c r="U28" s="336">
        <f t="shared" ca="1" si="28"/>
        <v>5775.5546209790873</v>
      </c>
      <c r="V28" s="336">
        <f t="shared" ca="1" si="28"/>
        <v>5420.4234306923472</v>
      </c>
      <c r="W28" s="336">
        <f t="shared" ca="1" si="28"/>
        <v>6710.1103848915618</v>
      </c>
      <c r="X28" s="336">
        <f t="shared" ca="1" si="28"/>
        <v>3999.8986695453873</v>
      </c>
      <c r="Y28" s="336">
        <f t="shared" ca="1" si="28"/>
        <v>6373.6703098830703</v>
      </c>
      <c r="Z28" s="336">
        <f t="shared" ca="1" si="28"/>
        <v>1270.9958389209642</v>
      </c>
      <c r="AA28" s="336">
        <f t="shared" ca="1" si="28"/>
        <v>2224.2427181116873</v>
      </c>
      <c r="AB28" s="336">
        <f t="shared" ca="1" si="28"/>
        <v>1794.3470667119495</v>
      </c>
      <c r="AC28" s="336">
        <f ca="1">'Exhibit No.__(RMM-11) p1-8'!C912</f>
        <v>49157.633181796118</v>
      </c>
      <c r="AE28" s="450">
        <f t="shared" ca="1" si="24"/>
        <v>2679157.6331817959</v>
      </c>
      <c r="AF28" s="106">
        <f ca="1">'Exhibit No.__(RMM-11) p1-8'!C913</f>
        <v>2679157.6331817959</v>
      </c>
    </row>
    <row r="29" spans="1:34">
      <c r="A29" s="428" t="s">
        <v>568</v>
      </c>
      <c r="C29" s="856" t="s">
        <v>569</v>
      </c>
      <c r="D29" s="865">
        <v>32994000</v>
      </c>
      <c r="E29" s="865">
        <v>35568000</v>
      </c>
      <c r="F29" s="865">
        <v>35496000</v>
      </c>
      <c r="G29" s="865">
        <v>34704000</v>
      </c>
      <c r="H29" s="865">
        <v>23634000</v>
      </c>
      <c r="I29" s="865">
        <v>23274000</v>
      </c>
      <c r="J29" s="865">
        <v>34182000</v>
      </c>
      <c r="K29" s="865">
        <v>40320000</v>
      </c>
      <c r="L29" s="865">
        <v>35586000</v>
      </c>
      <c r="M29" s="865">
        <v>39582000</v>
      </c>
      <c r="N29" s="865">
        <v>37548000</v>
      </c>
      <c r="O29" s="865">
        <v>40158000</v>
      </c>
      <c r="P29" s="336">
        <f t="shared" si="22"/>
        <v>413046000</v>
      </c>
      <c r="Q29" s="336">
        <f ca="1">D29/$P$29*$AC$29</f>
        <v>617957.59363725537</v>
      </c>
      <c r="R29" s="336">
        <f t="shared" ref="R29:AB29" ca="1" si="29">E29/$P$29*$AC$29</f>
        <v>666167.05129689933</v>
      </c>
      <c r="S29" s="336">
        <f t="shared" ca="1" si="29"/>
        <v>664818.5349987275</v>
      </c>
      <c r="T29" s="336">
        <f t="shared" ca="1" si="29"/>
        <v>649984.855718837</v>
      </c>
      <c r="U29" s="336">
        <f t="shared" ca="1" si="29"/>
        <v>442650.4748749134</v>
      </c>
      <c r="V29" s="336">
        <f t="shared" ca="1" si="29"/>
        <v>435907.89338405407</v>
      </c>
      <c r="W29" s="336">
        <f t="shared" ca="1" si="29"/>
        <v>640208.11255709105</v>
      </c>
      <c r="X29" s="336">
        <f t="shared" ca="1" si="29"/>
        <v>755169.12697624217</v>
      </c>
      <c r="Y29" s="336">
        <f t="shared" ca="1" si="29"/>
        <v>666504.18037144234</v>
      </c>
      <c r="Z29" s="336">
        <f t="shared" ca="1" si="29"/>
        <v>741346.83491998073</v>
      </c>
      <c r="AA29" s="336">
        <f t="shared" ca="1" si="29"/>
        <v>703251.2494966255</v>
      </c>
      <c r="AB29" s="336">
        <f t="shared" ca="1" si="29"/>
        <v>752134.96530535561</v>
      </c>
      <c r="AC29" s="336">
        <f ca="1">'Exhibit No.__(RMM-11) p1-8'!C1119</f>
        <v>7736100.873537424</v>
      </c>
      <c r="AE29" s="450">
        <f t="shared" ca="1" si="24"/>
        <v>420782100.87353742</v>
      </c>
      <c r="AF29" s="106">
        <f ca="1">'Exhibit No.__(RMM-11) p1-8'!C1120</f>
        <v>420782100.87353742</v>
      </c>
    </row>
    <row r="30" spans="1:34">
      <c r="A30" s="428" t="s">
        <v>148</v>
      </c>
      <c r="C30" s="856" t="s">
        <v>54</v>
      </c>
      <c r="D30" s="865">
        <v>19085700</v>
      </c>
      <c r="E30" s="865">
        <v>17839100</v>
      </c>
      <c r="F30" s="865">
        <v>17880150</v>
      </c>
      <c r="G30" s="865">
        <v>17740950</v>
      </c>
      <c r="H30" s="865">
        <v>18898200</v>
      </c>
      <c r="I30" s="865">
        <v>16018100</v>
      </c>
      <c r="J30" s="865">
        <v>15315900</v>
      </c>
      <c r="K30" s="865">
        <v>16211600</v>
      </c>
      <c r="L30" s="865">
        <v>15142650</v>
      </c>
      <c r="M30" s="865">
        <v>15263050</v>
      </c>
      <c r="N30" s="865">
        <v>15952800</v>
      </c>
      <c r="O30" s="865">
        <v>16537650</v>
      </c>
      <c r="P30" s="336">
        <f t="shared" si="22"/>
        <v>201885850</v>
      </c>
      <c r="Q30" s="336">
        <f ca="1">D30/$P$30*$AC$30</f>
        <v>358685.48296570545</v>
      </c>
      <c r="R30" s="336">
        <f t="shared" ref="R30:AB30" ca="1" si="30">E30/$P$30*$AC$30</f>
        <v>335257.61167646537</v>
      </c>
      <c r="S30" s="336">
        <f t="shared" ca="1" si="30"/>
        <v>336029.08136716275</v>
      </c>
      <c r="T30" s="336">
        <f t="shared" ca="1" si="30"/>
        <v>333413.03798238642</v>
      </c>
      <c r="U30" s="336">
        <f t="shared" ca="1" si="30"/>
        <v>355161.71763060795</v>
      </c>
      <c r="V30" s="336">
        <f t="shared" ca="1" si="30"/>
        <v>301034.80274199881</v>
      </c>
      <c r="W30" s="336">
        <f t="shared" ca="1" si="30"/>
        <v>287838.06664436974</v>
      </c>
      <c r="X30" s="336">
        <f t="shared" ca="1" si="30"/>
        <v>304671.32856781938</v>
      </c>
      <c r="Y30" s="336">
        <f t="shared" ca="1" si="30"/>
        <v>284582.10747473972</v>
      </c>
      <c r="Z30" s="336">
        <f t="shared" ca="1" si="30"/>
        <v>286844.83465525031</v>
      </c>
      <c r="AA30" s="336">
        <f t="shared" ca="1" si="30"/>
        <v>299807.59273462882</v>
      </c>
      <c r="AB30" s="336">
        <f t="shared" ca="1" si="30"/>
        <v>310798.92156786483</v>
      </c>
      <c r="AC30" s="336">
        <f ca="1">'Exhibit No.__(RMM-11) p1-8'!C1100</f>
        <v>3794124.5860089995</v>
      </c>
      <c r="AE30" s="450">
        <f t="shared" ca="1" si="24"/>
        <v>205679974.586009</v>
      </c>
      <c r="AF30" s="106">
        <f ca="1">'Exhibit No.__(RMM-11) p1-8'!C1101</f>
        <v>205679974.586009</v>
      </c>
    </row>
    <row r="31" spans="1:34">
      <c r="A31" s="428" t="s">
        <v>144</v>
      </c>
      <c r="C31" s="856" t="s">
        <v>55</v>
      </c>
      <c r="D31" s="865">
        <v>10259</v>
      </c>
      <c r="E31" s="865">
        <v>10259</v>
      </c>
      <c r="F31" s="865">
        <v>10259</v>
      </c>
      <c r="G31" s="865">
        <v>10259</v>
      </c>
      <c r="H31" s="865">
        <v>10259</v>
      </c>
      <c r="I31" s="865">
        <v>10259</v>
      </c>
      <c r="J31" s="865">
        <v>10259</v>
      </c>
      <c r="K31" s="865">
        <v>10259</v>
      </c>
      <c r="L31" s="865">
        <v>10259</v>
      </c>
      <c r="M31" s="865">
        <v>10259</v>
      </c>
      <c r="N31" s="865">
        <v>10259</v>
      </c>
      <c r="O31" s="865">
        <v>10259</v>
      </c>
      <c r="P31" s="336">
        <f t="shared" si="22"/>
        <v>123108</v>
      </c>
      <c r="Q31" s="336">
        <f ca="1">D31/$P$31*$AC$31</f>
        <v>191.76401210484667</v>
      </c>
      <c r="R31" s="336">
        <f t="shared" ref="R31:AB31" ca="1" si="31">E31/$P$31*$AC$31</f>
        <v>191.76401210484667</v>
      </c>
      <c r="S31" s="336">
        <f t="shared" ca="1" si="31"/>
        <v>191.76401210484667</v>
      </c>
      <c r="T31" s="336">
        <f t="shared" ca="1" si="31"/>
        <v>191.76401210484667</v>
      </c>
      <c r="U31" s="336">
        <f t="shared" ca="1" si="31"/>
        <v>191.76401210484667</v>
      </c>
      <c r="V31" s="336">
        <f t="shared" ca="1" si="31"/>
        <v>191.76401210484667</v>
      </c>
      <c r="W31" s="336">
        <f t="shared" ca="1" si="31"/>
        <v>191.76401210484667</v>
      </c>
      <c r="X31" s="336">
        <f t="shared" ca="1" si="31"/>
        <v>191.76401210484667</v>
      </c>
      <c r="Y31" s="336">
        <f t="shared" ca="1" si="31"/>
        <v>191.76401210484667</v>
      </c>
      <c r="Z31" s="336">
        <f t="shared" ca="1" si="31"/>
        <v>191.76401210484667</v>
      </c>
      <c r="AA31" s="336">
        <f t="shared" ca="1" si="31"/>
        <v>191.76401210484667</v>
      </c>
      <c r="AB31" s="336">
        <f t="shared" ca="1" si="31"/>
        <v>191.76401210484667</v>
      </c>
      <c r="AC31" s="336">
        <f ca="1">'Exhibit No.__(RMM-11) p1-8'!C83</f>
        <v>2301.1681452581602</v>
      </c>
      <c r="AE31" s="450">
        <f t="shared" ca="1" si="24"/>
        <v>125409.16814525815</v>
      </c>
      <c r="AF31" s="106">
        <f ca="1">'Exhibit No.__(RMM-11) p1-8'!C84</f>
        <v>125409.16814525815</v>
      </c>
    </row>
    <row r="32" spans="1:34">
      <c r="B32" s="4" t="s">
        <v>268</v>
      </c>
      <c r="C32" s="856"/>
      <c r="D32" s="336">
        <f t="shared" ref="D32:O32" si="32">SUM(D24:D31)</f>
        <v>61445403</v>
      </c>
      <c r="E32" s="336">
        <f t="shared" si="32"/>
        <v>63449921</v>
      </c>
      <c r="F32" s="336">
        <f t="shared" si="32"/>
        <v>64456229</v>
      </c>
      <c r="G32" s="336">
        <f t="shared" si="32"/>
        <v>64456504</v>
      </c>
      <c r="H32" s="336">
        <f t="shared" si="32"/>
        <v>53857097</v>
      </c>
      <c r="I32" s="336">
        <f t="shared" si="32"/>
        <v>49511494</v>
      </c>
      <c r="J32" s="336">
        <f t="shared" si="32"/>
        <v>59320779</v>
      </c>
      <c r="K32" s="336">
        <f t="shared" si="32"/>
        <v>66260763</v>
      </c>
      <c r="L32" s="336">
        <f t="shared" si="32"/>
        <v>60707913</v>
      </c>
      <c r="M32" s="336">
        <f t="shared" si="32"/>
        <v>64219263</v>
      </c>
      <c r="N32" s="336">
        <f t="shared" si="32"/>
        <v>62509234</v>
      </c>
      <c r="O32" s="336">
        <f t="shared" si="32"/>
        <v>65790381</v>
      </c>
      <c r="P32" s="336">
        <f t="shared" si="22"/>
        <v>735984981</v>
      </c>
      <c r="Q32" s="336">
        <f t="shared" ref="Q32:AF32" ca="1" si="33">SUM(Q24:Q31)</f>
        <v>1150860.567633877</v>
      </c>
      <c r="R32" s="336">
        <f t="shared" ca="1" si="33"/>
        <v>1188239.7511705738</v>
      </c>
      <c r="S32" s="336">
        <f t="shared" ca="1" si="33"/>
        <v>1206943.1560178618</v>
      </c>
      <c r="T32" s="336">
        <f t="shared" ca="1" si="33"/>
        <v>1206815.9787675764</v>
      </c>
      <c r="U32" s="336">
        <f t="shared" ca="1" si="33"/>
        <v>1008464.4832436787</v>
      </c>
      <c r="V32" s="336">
        <f t="shared" ca="1" si="33"/>
        <v>927059.83376037586</v>
      </c>
      <c r="W32" s="336">
        <f t="shared" ca="1" si="33"/>
        <v>1110794.5520694165</v>
      </c>
      <c r="X32" s="336">
        <f t="shared" ca="1" si="33"/>
        <v>1240832.1435087945</v>
      </c>
      <c r="Y32" s="336">
        <f t="shared" ca="1" si="33"/>
        <v>1136738.1553495422</v>
      </c>
      <c r="Z32" s="336">
        <f t="shared" ca="1" si="33"/>
        <v>1202549.0116593693</v>
      </c>
      <c r="AA32" s="336">
        <f t="shared" ca="1" si="33"/>
        <v>1170607.8957613292</v>
      </c>
      <c r="AB32" s="336">
        <f t="shared" ca="1" si="33"/>
        <v>1232094.471057605</v>
      </c>
      <c r="AC32" s="413">
        <f t="shared" ca="1" si="33"/>
        <v>13782000</v>
      </c>
      <c r="AD32" s="104">
        <f t="shared" si="33"/>
        <v>0</v>
      </c>
      <c r="AE32" s="104">
        <f t="shared" ca="1" si="33"/>
        <v>749766981.00000012</v>
      </c>
      <c r="AF32" s="857">
        <f t="shared" ca="1" si="33"/>
        <v>749766981.00000012</v>
      </c>
    </row>
    <row r="33" spans="1:32">
      <c r="B33" s="856" t="s">
        <v>270</v>
      </c>
      <c r="D33" s="336"/>
      <c r="E33" s="336"/>
      <c r="F33" s="336"/>
      <c r="G33" s="336"/>
      <c r="H33" s="336"/>
      <c r="I33" s="336"/>
      <c r="J33" s="336"/>
      <c r="K33" s="336"/>
      <c r="L33" s="336"/>
      <c r="M33" s="336"/>
      <c r="N33" s="336"/>
      <c r="O33" s="336"/>
      <c r="P33" s="336"/>
      <c r="Q33" s="7"/>
      <c r="R33" s="336"/>
      <c r="S33" s="336"/>
      <c r="T33" s="336"/>
      <c r="U33" s="336"/>
      <c r="V33" s="336"/>
      <c r="W33" s="336"/>
      <c r="X33" s="336"/>
      <c r="Y33" s="336"/>
      <c r="Z33" s="336"/>
      <c r="AA33" s="336"/>
      <c r="AB33" s="336"/>
      <c r="AC33" s="336">
        <f ca="1">'Table 2'!G98</f>
        <v>13782000</v>
      </c>
      <c r="AE33" s="450"/>
      <c r="AF33" s="106"/>
    </row>
    <row r="34" spans="1:32">
      <c r="A34" s="428">
        <v>40</v>
      </c>
      <c r="C34" s="856" t="s">
        <v>58</v>
      </c>
      <c r="D34" s="865">
        <v>20107955</v>
      </c>
      <c r="E34" s="865">
        <v>23005865</v>
      </c>
      <c r="F34" s="865">
        <v>17013112</v>
      </c>
      <c r="G34" s="865">
        <v>10398010</v>
      </c>
      <c r="H34" s="865">
        <v>2623866</v>
      </c>
      <c r="I34" s="865">
        <v>374158</v>
      </c>
      <c r="J34" s="865">
        <v>282582</v>
      </c>
      <c r="K34" s="865">
        <v>282204</v>
      </c>
      <c r="L34" s="865">
        <v>542094</v>
      </c>
      <c r="M34" s="865">
        <v>1579083</v>
      </c>
      <c r="N34" s="865">
        <v>7126678</v>
      </c>
      <c r="O34" s="865">
        <v>14731344</v>
      </c>
      <c r="P34" s="336">
        <f>SUM(D34:O34)</f>
        <v>98066951</v>
      </c>
      <c r="Q34" s="336">
        <f ca="1">D34/$P$34*$AC$34</f>
        <v>1122076.0070642468</v>
      </c>
      <c r="R34" s="336">
        <f t="shared" ref="R34:AB34" ca="1" si="34">E34/$P$34*$AC$34</f>
        <v>1283786.896194024</v>
      </c>
      <c r="S34" s="336">
        <f t="shared" ca="1" si="34"/>
        <v>949375.7461013227</v>
      </c>
      <c r="T34" s="336">
        <f t="shared" ca="1" si="34"/>
        <v>580235.90873433475</v>
      </c>
      <c r="U34" s="336">
        <f t="shared" ca="1" si="34"/>
        <v>146418.52363164912</v>
      </c>
      <c r="V34" s="336">
        <f t="shared" ca="1" si="34"/>
        <v>20878.986184877798</v>
      </c>
      <c r="W34" s="336">
        <f t="shared" ca="1" si="34"/>
        <v>15768.808027878966</v>
      </c>
      <c r="X34" s="336">
        <f t="shared" ca="1" si="34"/>
        <v>15747.714648135958</v>
      </c>
      <c r="Y34" s="336">
        <f t="shared" ca="1" si="34"/>
        <v>30250.250260331584</v>
      </c>
      <c r="Z34" s="336">
        <f t="shared" ca="1" si="34"/>
        <v>88116.924245306494</v>
      </c>
      <c r="AA34" s="336">
        <f t="shared" ca="1" si="34"/>
        <v>397687.10412732733</v>
      </c>
      <c r="AB34" s="336">
        <f t="shared" ca="1" si="34"/>
        <v>822047.17755782977</v>
      </c>
      <c r="AC34" s="336">
        <f ca="1">'Exhibit No.__(RMM-11) p1-8'!C835</f>
        <v>5472390.0467772651</v>
      </c>
      <c r="AD34" s="419">
        <f>Temperature!B92*1000</f>
        <v>-2371115.1598000005</v>
      </c>
      <c r="AE34" s="450">
        <f ca="1">P34+AC34+AD34</f>
        <v>101168225.88697726</v>
      </c>
      <c r="AF34" s="106">
        <f ca="1">'Exhibit No.__(RMM-11) p1-8'!C836</f>
        <v>101168225.88697727</v>
      </c>
    </row>
    <row r="35" spans="1:32">
      <c r="A35" s="428" t="s">
        <v>150</v>
      </c>
      <c r="C35" s="856" t="s">
        <v>59</v>
      </c>
      <c r="D35" s="865">
        <v>11555645</v>
      </c>
      <c r="E35" s="865">
        <v>13324624</v>
      </c>
      <c r="F35" s="865">
        <v>10594957</v>
      </c>
      <c r="G35" s="865">
        <v>6054506</v>
      </c>
      <c r="H35" s="865">
        <v>1357462</v>
      </c>
      <c r="I35" s="865">
        <v>265387</v>
      </c>
      <c r="J35" s="865">
        <v>209668</v>
      </c>
      <c r="K35" s="865">
        <v>252884</v>
      </c>
      <c r="L35" s="865">
        <v>446618</v>
      </c>
      <c r="M35" s="865">
        <v>1058384</v>
      </c>
      <c r="N35" s="865">
        <v>5312613</v>
      </c>
      <c r="O35" s="865">
        <v>9922214</v>
      </c>
      <c r="P35" s="336">
        <f>SUM(D35:O35)</f>
        <v>60354962</v>
      </c>
      <c r="Q35" s="336">
        <f ca="1">D35/$P$35*$AC$35</f>
        <v>626578.45502261329</v>
      </c>
      <c r="R35" s="336">
        <f t="shared" ref="R35:AB35" ca="1" si="35">E35/$P$35*$AC$35</f>
        <v>722497.30064200086</v>
      </c>
      <c r="S35" s="336">
        <f t="shared" ca="1" si="35"/>
        <v>574487.34260104236</v>
      </c>
      <c r="T35" s="336">
        <f t="shared" ca="1" si="35"/>
        <v>328291.75830558507</v>
      </c>
      <c r="U35" s="336">
        <f t="shared" ca="1" si="35"/>
        <v>73605.276270766946</v>
      </c>
      <c r="V35" s="336">
        <f t="shared" ca="1" si="35"/>
        <v>14390.00388494855</v>
      </c>
      <c r="W35" s="336">
        <f t="shared" ca="1" si="35"/>
        <v>11368.76838183254</v>
      </c>
      <c r="X35" s="336">
        <f t="shared" ca="1" si="35"/>
        <v>13712.057268974475</v>
      </c>
      <c r="Y35" s="336">
        <f t="shared" ca="1" si="35"/>
        <v>24216.840896833499</v>
      </c>
      <c r="Z35" s="336">
        <f t="shared" ca="1" si="35"/>
        <v>57388.454866920329</v>
      </c>
      <c r="AA35" s="336">
        <f t="shared" ca="1" si="35"/>
        <v>288064.30499319168</v>
      </c>
      <c r="AB35" s="336">
        <f t="shared" ca="1" si="35"/>
        <v>538009.39008802571</v>
      </c>
      <c r="AC35" s="336">
        <f ca="1">'Exhibit No.__(RMM-11) p1-8'!C888</f>
        <v>3272609.9532227353</v>
      </c>
      <c r="AE35" s="450">
        <f ca="1">P35+AC35+AD35</f>
        <v>63627571.953222737</v>
      </c>
      <c r="AF35" s="106">
        <f ca="1">'Exhibit No.__(RMM-11) p1-8'!C889</f>
        <v>63627571.953222737</v>
      </c>
    </row>
    <row r="36" spans="1:32">
      <c r="B36" s="856" t="s">
        <v>270</v>
      </c>
      <c r="C36" s="856"/>
      <c r="D36" s="336">
        <f t="shared" ref="D36:P36" si="36">SUM(D34:D35)</f>
        <v>31663600</v>
      </c>
      <c r="E36" s="336">
        <f t="shared" si="36"/>
        <v>36330489</v>
      </c>
      <c r="F36" s="336">
        <f t="shared" si="36"/>
        <v>27608069</v>
      </c>
      <c r="G36" s="336">
        <f t="shared" si="36"/>
        <v>16452516</v>
      </c>
      <c r="H36" s="336">
        <f t="shared" si="36"/>
        <v>3981328</v>
      </c>
      <c r="I36" s="336">
        <f t="shared" si="36"/>
        <v>639545</v>
      </c>
      <c r="J36" s="336">
        <f t="shared" si="36"/>
        <v>492250</v>
      </c>
      <c r="K36" s="336">
        <f t="shared" si="36"/>
        <v>535088</v>
      </c>
      <c r="L36" s="336">
        <f t="shared" si="36"/>
        <v>988712</v>
      </c>
      <c r="M36" s="336">
        <f t="shared" si="36"/>
        <v>2637467</v>
      </c>
      <c r="N36" s="336">
        <f t="shared" si="36"/>
        <v>12439291</v>
      </c>
      <c r="O36" s="336">
        <f t="shared" si="36"/>
        <v>24653558</v>
      </c>
      <c r="P36" s="336">
        <f t="shared" si="36"/>
        <v>158421913</v>
      </c>
      <c r="Q36" s="336">
        <f t="shared" ref="Q36:AC36" ca="1" si="37">SUM(Q34:Q35)</f>
        <v>1748654.4620868601</v>
      </c>
      <c r="R36" s="336">
        <f t="shared" ca="1" si="37"/>
        <v>2006284.196836025</v>
      </c>
      <c r="S36" s="336">
        <f t="shared" ca="1" si="37"/>
        <v>1523863.0887023651</v>
      </c>
      <c r="T36" s="336">
        <f t="shared" ca="1" si="37"/>
        <v>908527.66703991988</v>
      </c>
      <c r="U36" s="336">
        <f t="shared" ca="1" si="37"/>
        <v>220023.79990241607</v>
      </c>
      <c r="V36" s="336">
        <f t="shared" ca="1" si="37"/>
        <v>35268.990069826352</v>
      </c>
      <c r="W36" s="336">
        <f t="shared" ca="1" si="37"/>
        <v>27137.576409711506</v>
      </c>
      <c r="X36" s="336">
        <f t="shared" ca="1" si="37"/>
        <v>29459.771917110433</v>
      </c>
      <c r="Y36" s="336">
        <f t="shared" ca="1" si="37"/>
        <v>54467.091157165079</v>
      </c>
      <c r="Z36" s="336">
        <f t="shared" ca="1" si="37"/>
        <v>145505.37911222683</v>
      </c>
      <c r="AA36" s="336">
        <f t="shared" ca="1" si="37"/>
        <v>685751.40912051895</v>
      </c>
      <c r="AB36" s="336">
        <f t="shared" ca="1" si="37"/>
        <v>1360056.5676458555</v>
      </c>
      <c r="AC36" s="413">
        <f t="shared" ca="1" si="37"/>
        <v>8745000</v>
      </c>
      <c r="AD36" s="419">
        <f>SUM(AD34:AD35)</f>
        <v>-2371115.1598000005</v>
      </c>
      <c r="AE36" s="414">
        <f ca="1">SUM(AE34:AE35)</f>
        <v>164795797.84020001</v>
      </c>
      <c r="AF36" s="106">
        <f ca="1">SUM(AF34:AF35)</f>
        <v>164795797.84020001</v>
      </c>
    </row>
    <row r="37" spans="1:32">
      <c r="B37" s="4" t="s">
        <v>564</v>
      </c>
      <c r="C37" s="85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f ca="1">'Table 2'!G120</f>
        <v>8745000</v>
      </c>
      <c r="AE37" s="450"/>
      <c r="AF37" s="106"/>
    </row>
    <row r="38" spans="1:32">
      <c r="A38" s="428">
        <v>52</v>
      </c>
      <c r="C38" s="856" t="s">
        <v>61</v>
      </c>
      <c r="D38" s="865">
        <v>11852.94402239</v>
      </c>
      <c r="E38" s="865">
        <v>12095.7796383487</v>
      </c>
      <c r="F38" s="865">
        <v>11853.0335257636</v>
      </c>
      <c r="G38" s="865">
        <v>11853.0335257636</v>
      </c>
      <c r="H38" s="865">
        <v>11767.4356139301</v>
      </c>
      <c r="I38" s="865">
        <v>11634.017124872</v>
      </c>
      <c r="J38" s="865">
        <v>11634.017124872</v>
      </c>
      <c r="K38" s="865">
        <v>11634.017124872</v>
      </c>
      <c r="L38" s="865">
        <v>11634.0211887476</v>
      </c>
      <c r="M38" s="865">
        <v>11634.019367143799</v>
      </c>
      <c r="N38" s="865">
        <v>11633.893515874101</v>
      </c>
      <c r="O38" s="865">
        <v>11633.893515874101</v>
      </c>
      <c r="P38" s="336">
        <f t="shared" ref="P38:P43" si="38">SUM(D38:O38)</f>
        <v>140860.10528845162</v>
      </c>
      <c r="Q38" s="336">
        <f ca="1">D38/$P$38*$AC$38</f>
        <v>322.28569820593776</v>
      </c>
      <c r="R38" s="336">
        <f t="shared" ref="R38:AB38" ca="1" si="39">E38/$P$38*$AC$38</f>
        <v>328.88848363128716</v>
      </c>
      <c r="S38" s="336">
        <f t="shared" ca="1" si="39"/>
        <v>322.28813183400501</v>
      </c>
      <c r="T38" s="336">
        <f t="shared" ca="1" si="39"/>
        <v>322.28813183400501</v>
      </c>
      <c r="U38" s="336">
        <f t="shared" ca="1" si="39"/>
        <v>319.96069463965745</v>
      </c>
      <c r="V38" s="336">
        <f t="shared" ca="1" si="39"/>
        <v>316.33299920648523</v>
      </c>
      <c r="W38" s="336">
        <f t="shared" ca="1" si="39"/>
        <v>316.33299920648523</v>
      </c>
      <c r="X38" s="336">
        <f t="shared" ca="1" si="39"/>
        <v>316.33299920648523</v>
      </c>
      <c r="Y38" s="336">
        <f t="shared" ca="1" si="39"/>
        <v>316.33310970468568</v>
      </c>
      <c r="Z38" s="336">
        <f t="shared" ca="1" si="39"/>
        <v>316.33306017464054</v>
      </c>
      <c r="AA38" s="336">
        <f t="shared" ca="1" si="39"/>
        <v>316.32963823455134</v>
      </c>
      <c r="AB38" s="336">
        <f t="shared" ca="1" si="39"/>
        <v>316.32963823455134</v>
      </c>
      <c r="AC38" s="336">
        <f ca="1">'Exhibit No.__(RMM-11) p1-8'!C1180</f>
        <v>3830.0355841127775</v>
      </c>
      <c r="AE38" s="450">
        <f ca="1">P38+AC38+AD38</f>
        <v>144690.1408725644</v>
      </c>
      <c r="AF38" s="106">
        <f ca="1">'Exhibit No.__(RMM-11) p1-8'!C1181</f>
        <v>144690.14087256478</v>
      </c>
    </row>
    <row r="39" spans="1:32">
      <c r="A39" s="428" t="s">
        <v>151</v>
      </c>
      <c r="C39" s="856" t="s">
        <v>62</v>
      </c>
      <c r="D39" s="865">
        <v>246492.98819521899</v>
      </c>
      <c r="E39" s="865">
        <v>247606.00513603899</v>
      </c>
      <c r="F39" s="865">
        <v>246496.07323921801</v>
      </c>
      <c r="G39" s="865">
        <v>246496.07323921801</v>
      </c>
      <c r="H39" s="865">
        <v>246496.07323921801</v>
      </c>
      <c r="I39" s="865">
        <v>246496.07323921801</v>
      </c>
      <c r="J39" s="865">
        <v>246779.619565097</v>
      </c>
      <c r="K39" s="865">
        <v>246496.07323921801</v>
      </c>
      <c r="L39" s="865">
        <v>246474.77783086599</v>
      </c>
      <c r="M39" s="865">
        <v>246015.35349753901</v>
      </c>
      <c r="N39" s="865">
        <v>246014.31246655999</v>
      </c>
      <c r="O39" s="865">
        <v>246014.31246655999</v>
      </c>
      <c r="P39" s="336">
        <f t="shared" si="38"/>
        <v>2957877.73535397</v>
      </c>
      <c r="Q39" s="336">
        <f ca="1">D39/$P$39*$AC$39</f>
        <v>6684.2595645070378</v>
      </c>
      <c r="R39" s="336">
        <f t="shared" ref="R39:AB39" ca="1" si="40">E39/$P$39*$AC$39</f>
        <v>6714.4417379903762</v>
      </c>
      <c r="S39" s="336">
        <f t="shared" ca="1" si="40"/>
        <v>6684.3432230119242</v>
      </c>
      <c r="T39" s="336">
        <f t="shared" ca="1" si="40"/>
        <v>6684.3432230119242</v>
      </c>
      <c r="U39" s="336">
        <f t="shared" ca="1" si="40"/>
        <v>6684.3432230119242</v>
      </c>
      <c r="V39" s="336">
        <f t="shared" ca="1" si="40"/>
        <v>6684.3432230119242</v>
      </c>
      <c r="W39" s="336">
        <f t="shared" ca="1" si="40"/>
        <v>6692.0322743501165</v>
      </c>
      <c r="X39" s="336">
        <f t="shared" ca="1" si="40"/>
        <v>6684.3432230119242</v>
      </c>
      <c r="Y39" s="336">
        <f t="shared" ca="1" si="40"/>
        <v>6683.7657459891525</v>
      </c>
      <c r="Z39" s="336">
        <f t="shared" ca="1" si="40"/>
        <v>6671.3073328038818</v>
      </c>
      <c r="AA39" s="336">
        <f t="shared" ca="1" si="40"/>
        <v>6671.2791027056164</v>
      </c>
      <c r="AB39" s="336">
        <f t="shared" ca="1" si="40"/>
        <v>6671.2791027056164</v>
      </c>
      <c r="AC39" s="336">
        <f ca="1">'Exhibit No.__(RMM-11) p1-8'!C1225</f>
        <v>80210.080976111421</v>
      </c>
      <c r="AE39" s="450">
        <f ca="1">P39+AC39+AD39</f>
        <v>3038087.8163300813</v>
      </c>
      <c r="AF39" s="106">
        <f ca="1">'Exhibit No.__(RMM-11) p1-8'!C1226</f>
        <v>3038087.8163300841</v>
      </c>
    </row>
    <row r="40" spans="1:32">
      <c r="A40" s="428" t="s">
        <v>152</v>
      </c>
      <c r="C40" s="856" t="s">
        <v>63</v>
      </c>
      <c r="D40" s="865">
        <v>43200</v>
      </c>
      <c r="E40" s="865">
        <v>47418</v>
      </c>
      <c r="F40" s="865">
        <v>55123</v>
      </c>
      <c r="G40" s="865">
        <v>60425</v>
      </c>
      <c r="H40" s="865">
        <v>70748</v>
      </c>
      <c r="I40" s="865">
        <v>85306</v>
      </c>
      <c r="J40" s="865">
        <v>85818</v>
      </c>
      <c r="K40" s="865">
        <v>74264</v>
      </c>
      <c r="L40" s="865">
        <v>65059</v>
      </c>
      <c r="M40" s="865">
        <v>56955</v>
      </c>
      <c r="N40" s="865">
        <v>49586</v>
      </c>
      <c r="O40" s="865">
        <v>44117</v>
      </c>
      <c r="P40" s="336">
        <f t="shared" si="38"/>
        <v>738019</v>
      </c>
      <c r="Q40" s="336">
        <f ca="1">D40/$P$40*$AC$40</f>
        <v>1172.3350963468547</v>
      </c>
      <c r="R40" s="336">
        <f t="shared" ref="R40:AB40" ca="1" si="41">E40/$P$40*$AC$40</f>
        <v>1286.8005925596103</v>
      </c>
      <c r="S40" s="336">
        <f t="shared" ca="1" si="41"/>
        <v>1495.8941554612886</v>
      </c>
      <c r="T40" s="336">
        <f t="shared" ca="1" si="41"/>
        <v>1639.7765786286736</v>
      </c>
      <c r="U40" s="336">
        <f t="shared" ca="1" si="41"/>
        <v>1919.9158193598907</v>
      </c>
      <c r="V40" s="336">
        <f t="shared" ca="1" si="41"/>
        <v>2314.9818918741853</v>
      </c>
      <c r="W40" s="336">
        <f t="shared" ca="1" si="41"/>
        <v>2328.8762337568146</v>
      </c>
      <c r="X40" s="336">
        <f t="shared" ca="1" si="41"/>
        <v>2015.3308702570098</v>
      </c>
      <c r="Y40" s="336">
        <f t="shared" ca="1" si="41"/>
        <v>1765.5312276210655</v>
      </c>
      <c r="Z40" s="336">
        <f t="shared" ca="1" si="41"/>
        <v>1545.6098475100721</v>
      </c>
      <c r="AA40" s="336">
        <f t="shared" ca="1" si="41"/>
        <v>1345.6344464688691</v>
      </c>
      <c r="AB40" s="336">
        <f t="shared" ca="1" si="41"/>
        <v>1197.2200797577359</v>
      </c>
      <c r="AC40" s="336">
        <f ca="1">'Exhibit No.__(RMM-11) p1-8'!C1238</f>
        <v>20027.90683960207</v>
      </c>
      <c r="AE40" s="450">
        <f ca="1">P40+AC40+AD40</f>
        <v>758046.90683960204</v>
      </c>
      <c r="AF40" s="106">
        <f ca="1">'Exhibit No.__(RMM-11) p1-8'!C1239</f>
        <v>758046.90683960204</v>
      </c>
    </row>
    <row r="41" spans="1:32">
      <c r="A41" s="428">
        <v>51</v>
      </c>
      <c r="C41" s="856" t="s">
        <v>64</v>
      </c>
      <c r="D41" s="865">
        <v>318134.96941278601</v>
      </c>
      <c r="E41" s="865">
        <v>329036.78628560202</v>
      </c>
      <c r="F41" s="865">
        <v>318384.512615496</v>
      </c>
      <c r="G41" s="865">
        <v>318498.982539405</v>
      </c>
      <c r="H41" s="865">
        <v>318418.58174568502</v>
      </c>
      <c r="I41" s="865">
        <v>314078.66498955298</v>
      </c>
      <c r="J41" s="865">
        <v>284491.98792871</v>
      </c>
      <c r="K41" s="865">
        <v>283856.50252529298</v>
      </c>
      <c r="L41" s="865">
        <v>283878.14243410499</v>
      </c>
      <c r="M41" s="865">
        <v>284177.61515175703</v>
      </c>
      <c r="N41" s="865">
        <v>284413.91221807199</v>
      </c>
      <c r="O41" s="865">
        <v>284579.72787257499</v>
      </c>
      <c r="P41" s="336">
        <f t="shared" si="38"/>
        <v>3621950.3857190385</v>
      </c>
      <c r="Q41" s="336">
        <f ca="1">D41/$P$41*$AC$41</f>
        <v>8549.7732686613508</v>
      </c>
      <c r="R41" s="336">
        <f t="shared" ref="R41:AB41" ca="1" si="42">E41/$P$41*$AC$41</f>
        <v>8842.7560320811899</v>
      </c>
      <c r="S41" s="336">
        <f t="shared" ca="1" si="42"/>
        <v>8556.4796606302843</v>
      </c>
      <c r="T41" s="336">
        <f t="shared" ca="1" si="42"/>
        <v>8559.5560024021706</v>
      </c>
      <c r="U41" s="336">
        <f t="shared" ca="1" si="42"/>
        <v>8557.3952573630613</v>
      </c>
      <c r="V41" s="336">
        <f t="shared" ca="1" si="42"/>
        <v>8440.7614137517085</v>
      </c>
      <c r="W41" s="336">
        <f t="shared" ca="1" si="42"/>
        <v>7645.6291429729754</v>
      </c>
      <c r="X41" s="336">
        <f t="shared" ca="1" si="42"/>
        <v>7628.5506805682044</v>
      </c>
      <c r="Y41" s="336">
        <f t="shared" ca="1" si="42"/>
        <v>7629.1322460409929</v>
      </c>
      <c r="Z41" s="336">
        <f t="shared" ca="1" si="42"/>
        <v>7637.180477396385</v>
      </c>
      <c r="AA41" s="336">
        <f t="shared" ca="1" si="42"/>
        <v>7643.5308837813591</v>
      </c>
      <c r="AB41" s="336">
        <f t="shared" ca="1" si="42"/>
        <v>7647.9871252722342</v>
      </c>
      <c r="AC41" s="336">
        <f ca="1">'Exhibit No.__(RMM-11) p1-8'!C1163</f>
        <v>97338.732190921903</v>
      </c>
      <c r="AE41" s="450">
        <f ca="1">P41+AC41+AD41</f>
        <v>3719289.1179099604</v>
      </c>
      <c r="AF41" s="106">
        <f ca="1">'Exhibit No.__(RMM-11) p1-8'!C1164</f>
        <v>3719289.1179099604</v>
      </c>
    </row>
    <row r="42" spans="1:32">
      <c r="A42" s="428">
        <v>57</v>
      </c>
      <c r="C42" s="856" t="s">
        <v>65</v>
      </c>
      <c r="D42" s="865">
        <v>131872.03328115901</v>
      </c>
      <c r="E42" s="865">
        <v>138645.53148340699</v>
      </c>
      <c r="F42" s="865">
        <v>131816.297747879</v>
      </c>
      <c r="G42" s="865">
        <v>131720</v>
      </c>
      <c r="H42" s="865">
        <v>131568</v>
      </c>
      <c r="I42" s="865">
        <v>130475.905530285</v>
      </c>
      <c r="J42" s="865">
        <v>117750.15445667499</v>
      </c>
      <c r="K42" s="865">
        <v>111590.81958899301</v>
      </c>
      <c r="L42" s="865">
        <v>111352.055192261</v>
      </c>
      <c r="M42" s="865">
        <v>111318.752410056</v>
      </c>
      <c r="N42" s="865">
        <v>111054.226882745</v>
      </c>
      <c r="O42" s="865">
        <v>110540.37700617001</v>
      </c>
      <c r="P42" s="336">
        <f t="shared" si="38"/>
        <v>1469704.1535796302</v>
      </c>
      <c r="Q42" s="336">
        <f ca="1">D42/$P$42*$AC$42</f>
        <v>3552.5800425405341</v>
      </c>
      <c r="R42" s="336">
        <f t="shared" ref="R42:AB42" ca="1" si="43">E42/$P$42*$AC$42</f>
        <v>3735.0553857407544</v>
      </c>
      <c r="S42" s="336">
        <f t="shared" ca="1" si="43"/>
        <v>3551.0785494774168</v>
      </c>
      <c r="T42" s="336">
        <f t="shared" ca="1" si="43"/>
        <v>3548.4843265118302</v>
      </c>
      <c r="U42" s="336">
        <f t="shared" ca="1" si="43"/>
        <v>3544.3895070642916</v>
      </c>
      <c r="V42" s="336">
        <f t="shared" ca="1" si="43"/>
        <v>3514.9689171094333</v>
      </c>
      <c r="W42" s="336">
        <f t="shared" ca="1" si="43"/>
        <v>3172.1422527623627</v>
      </c>
      <c r="X42" s="336">
        <f t="shared" ca="1" si="43"/>
        <v>3006.212225130208</v>
      </c>
      <c r="Y42" s="336">
        <f t="shared" ca="1" si="43"/>
        <v>2999.7800073991684</v>
      </c>
      <c r="Z42" s="336">
        <f t="shared" ca="1" si="43"/>
        <v>2998.882843713443</v>
      </c>
      <c r="AA42" s="336">
        <f t="shared" ca="1" si="43"/>
        <v>2991.7566313871043</v>
      </c>
      <c r="AB42" s="336">
        <f t="shared" ca="1" si="43"/>
        <v>2977.9137204152971</v>
      </c>
      <c r="AC42" s="336">
        <f ca="1">'Exhibit No.__(RMM-11) p1-8'!C1294</f>
        <v>39593.244409251849</v>
      </c>
      <c r="AD42" s="7"/>
      <c r="AE42" s="450">
        <f ca="1">P42+AC42+AD42</f>
        <v>1509297.3979888821</v>
      </c>
      <c r="AF42" s="106">
        <f ca="1">'Exhibit No.__(RMM-11) p1-8'!C1295</f>
        <v>1509297.3979888824</v>
      </c>
    </row>
    <row r="43" spans="1:32">
      <c r="B43" s="4" t="s">
        <v>564</v>
      </c>
      <c r="C43" s="856"/>
      <c r="D43" s="9">
        <f t="shared" ref="D43:O43" si="44">SUM(D38:D42)</f>
        <v>751552.9349115541</v>
      </c>
      <c r="E43" s="9">
        <f t="shared" si="44"/>
        <v>774802.10254339676</v>
      </c>
      <c r="F43" s="9">
        <f t="shared" si="44"/>
        <v>763672.91712835664</v>
      </c>
      <c r="G43" s="9">
        <f t="shared" si="44"/>
        <v>768993.08930438664</v>
      </c>
      <c r="H43" s="9">
        <f t="shared" si="44"/>
        <v>778998.09059883305</v>
      </c>
      <c r="I43" s="9">
        <f t="shared" si="44"/>
        <v>787990.66088392795</v>
      </c>
      <c r="J43" s="9">
        <f t="shared" si="44"/>
        <v>746473.7790753541</v>
      </c>
      <c r="K43" s="9">
        <f t="shared" si="44"/>
        <v>727841.41247837595</v>
      </c>
      <c r="L43" s="9">
        <f t="shared" si="44"/>
        <v>718397.99664597958</v>
      </c>
      <c r="M43" s="9">
        <f t="shared" si="44"/>
        <v>710100.74042649579</v>
      </c>
      <c r="N43" s="9">
        <f t="shared" si="44"/>
        <v>702702.34508325113</v>
      </c>
      <c r="O43" s="9">
        <f t="shared" si="44"/>
        <v>696885.31086117902</v>
      </c>
      <c r="P43" s="9">
        <f t="shared" si="38"/>
        <v>8928411.3799410909</v>
      </c>
      <c r="Q43" s="9">
        <f t="shared" ref="Q43:AF43" ca="1" si="45">SUM(Q38:Q42)</f>
        <v>20281.233670261718</v>
      </c>
      <c r="R43" s="9">
        <f t="shared" ca="1" si="45"/>
        <v>20907.942232003217</v>
      </c>
      <c r="S43" s="9">
        <f t="shared" ca="1" si="45"/>
        <v>20610.083720414921</v>
      </c>
      <c r="T43" s="9">
        <f t="shared" ca="1" si="45"/>
        <v>20754.448262388603</v>
      </c>
      <c r="U43" s="9">
        <f t="shared" ca="1" si="45"/>
        <v>21026.004501438823</v>
      </c>
      <c r="V43" s="9">
        <f t="shared" ca="1" si="45"/>
        <v>21271.388444953736</v>
      </c>
      <c r="W43" s="9">
        <f t="shared" ca="1" si="45"/>
        <v>20155.012903048755</v>
      </c>
      <c r="X43" s="9">
        <f t="shared" ca="1" si="45"/>
        <v>19650.769998173833</v>
      </c>
      <c r="Y43" s="9">
        <f t="shared" ca="1" si="45"/>
        <v>19394.542336755065</v>
      </c>
      <c r="Z43" s="9">
        <f t="shared" ca="1" si="45"/>
        <v>19169.313561598421</v>
      </c>
      <c r="AA43" s="9">
        <f t="shared" ca="1" si="45"/>
        <v>18968.5307025775</v>
      </c>
      <c r="AB43" s="9">
        <f t="shared" ca="1" si="45"/>
        <v>18810.729666385436</v>
      </c>
      <c r="AC43" s="415">
        <f t="shared" ca="1" si="45"/>
        <v>241000</v>
      </c>
      <c r="AD43" s="416">
        <f t="shared" si="45"/>
        <v>0</v>
      </c>
      <c r="AE43" s="416">
        <f t="shared" ca="1" si="45"/>
        <v>9169411.3799410909</v>
      </c>
      <c r="AF43" s="860">
        <f t="shared" ca="1" si="45"/>
        <v>9169411.3799410928</v>
      </c>
    </row>
    <row r="44" spans="1:32">
      <c r="C44" s="856"/>
      <c r="D44" s="7"/>
      <c r="E44" s="7"/>
      <c r="F44" s="7"/>
      <c r="G44" s="7"/>
      <c r="H44" s="7"/>
      <c r="I44" s="7"/>
      <c r="J44" s="7"/>
      <c r="K44" s="7"/>
      <c r="L44" s="7"/>
      <c r="M44" s="7"/>
      <c r="N44" s="7"/>
      <c r="O44" s="7"/>
      <c r="P44" s="7"/>
      <c r="Q44" s="7"/>
      <c r="R44" s="7"/>
      <c r="S44" s="7"/>
      <c r="T44" s="7"/>
      <c r="U44" s="7"/>
      <c r="V44" s="7"/>
      <c r="W44" s="7"/>
      <c r="X44" s="7"/>
      <c r="Y44" s="7"/>
      <c r="Z44" s="7"/>
      <c r="AA44" s="7"/>
      <c r="AB44" s="7"/>
      <c r="AC44" s="336">
        <f ca="1">'Table 2'!G140</f>
        <v>241000</v>
      </c>
      <c r="AD44" s="104">
        <f>SUM(AD43,AD36,AD32,AD22,AD12)</f>
        <v>-77101942.939099997</v>
      </c>
      <c r="AE44" s="104">
        <f ca="1">SUM(AE43,AE36,AE32,AE22,AE12)</f>
        <v>4031133626.0945611</v>
      </c>
      <c r="AF44" s="857">
        <f ca="1">SUM(AF43,AF36,AF32,AF22,AF12)</f>
        <v>4031133626.0945611</v>
      </c>
    </row>
    <row r="45" spans="1:32">
      <c r="C45" s="856" t="s">
        <v>9</v>
      </c>
      <c r="D45" s="9">
        <f t="shared" ref="D45:O45" si="46">D12+D22+D32+D36+D43</f>
        <v>339538177.5329783</v>
      </c>
      <c r="E45" s="9">
        <f t="shared" si="46"/>
        <v>381391707.56531864</v>
      </c>
      <c r="F45" s="9">
        <f t="shared" si="46"/>
        <v>340019397.87990361</v>
      </c>
      <c r="G45" s="9">
        <f t="shared" si="46"/>
        <v>305889261.05207962</v>
      </c>
      <c r="H45" s="9">
        <f t="shared" si="46"/>
        <v>312315609.05337405</v>
      </c>
      <c r="I45" s="9">
        <f t="shared" si="46"/>
        <v>377443160.62365913</v>
      </c>
      <c r="J45" s="9">
        <f t="shared" si="46"/>
        <v>380325782.7722041</v>
      </c>
      <c r="K45" s="9">
        <f t="shared" si="46"/>
        <v>388605254.44651884</v>
      </c>
      <c r="L45" s="9">
        <f t="shared" si="46"/>
        <v>385734174.98476535</v>
      </c>
      <c r="M45" s="9">
        <f t="shared" si="46"/>
        <v>293633940.31592268</v>
      </c>
      <c r="N45" s="9">
        <f t="shared" si="46"/>
        <v>276245041.42057943</v>
      </c>
      <c r="O45" s="9">
        <f t="shared" si="46"/>
        <v>310998061.38635737</v>
      </c>
      <c r="P45" s="9">
        <f>SUM(D45:O45)</f>
        <v>4092139569.0336614</v>
      </c>
      <c r="Q45" s="9">
        <f ca="1">Q12+Q22+Q32+Q36+Q43</f>
        <v>2671487.7700119824</v>
      </c>
      <c r="R45" s="7"/>
      <c r="S45" s="7"/>
      <c r="T45" s="7"/>
      <c r="U45" s="7"/>
      <c r="V45" s="7"/>
      <c r="W45" s="7"/>
      <c r="X45" s="7"/>
      <c r="Y45" s="7"/>
      <c r="Z45" s="7"/>
      <c r="AA45" s="7"/>
      <c r="AB45" s="7"/>
      <c r="AC45" s="9">
        <f ca="1">AC12+AC22+AC32+AC36+AC43</f>
        <v>16096000.000000002</v>
      </c>
      <c r="AD45" s="106" t="s">
        <v>31</v>
      </c>
      <c r="AE45" s="106" t="s">
        <v>31</v>
      </c>
      <c r="AF45" s="106" t="s">
        <v>31</v>
      </c>
    </row>
    <row r="46" spans="1:32">
      <c r="B46" s="33"/>
      <c r="C46" s="861"/>
      <c r="D46" s="33"/>
      <c r="E46" s="33"/>
      <c r="F46" s="33"/>
      <c r="G46" s="33"/>
      <c r="H46" s="33"/>
      <c r="I46" s="33"/>
      <c r="J46" s="33"/>
      <c r="K46" s="33"/>
      <c r="L46" s="33"/>
      <c r="M46" s="33"/>
      <c r="N46" s="33"/>
      <c r="O46" s="33"/>
      <c r="P46" s="33"/>
    </row>
    <row r="47" spans="1:32">
      <c r="B47" s="7"/>
      <c r="C47" s="858"/>
      <c r="D47" s="7"/>
      <c r="E47" s="7"/>
      <c r="F47" s="7"/>
      <c r="G47" s="7"/>
      <c r="H47" s="7"/>
      <c r="I47" s="7"/>
      <c r="J47" s="7"/>
      <c r="K47" s="7"/>
      <c r="L47" s="7"/>
      <c r="M47" s="7"/>
      <c r="N47" s="7"/>
      <c r="O47" s="7"/>
      <c r="P47" s="7"/>
    </row>
    <row r="48" spans="1:32">
      <c r="B48" s="7"/>
      <c r="C48" s="4" t="s">
        <v>167</v>
      </c>
      <c r="D48" s="7"/>
      <c r="E48" s="7"/>
      <c r="F48" s="7"/>
      <c r="G48" s="7"/>
      <c r="H48" s="7"/>
      <c r="I48" s="7"/>
      <c r="J48" s="7"/>
      <c r="K48" s="7"/>
      <c r="L48" s="7"/>
      <c r="M48" s="7"/>
      <c r="N48" s="7"/>
      <c r="O48" s="7"/>
      <c r="P48" s="7"/>
      <c r="Q48" s="31"/>
    </row>
    <row r="49" spans="2:18">
      <c r="B49" s="7"/>
      <c r="C49" s="7" t="s">
        <v>916</v>
      </c>
      <c r="D49" s="7"/>
      <c r="E49" s="7"/>
      <c r="F49" s="7"/>
      <c r="G49" s="7"/>
      <c r="H49" s="7"/>
      <c r="I49" s="7"/>
      <c r="J49" s="7"/>
      <c r="K49" s="7"/>
      <c r="L49" s="7"/>
      <c r="M49" s="7"/>
      <c r="N49" s="7"/>
      <c r="O49" s="7"/>
      <c r="P49" s="7"/>
      <c r="Q49" s="31"/>
    </row>
    <row r="50" spans="2:18">
      <c r="B50" s="7"/>
      <c r="C50" s="7"/>
      <c r="D50" s="7">
        <v>201807</v>
      </c>
      <c r="E50" s="7">
        <v>201808</v>
      </c>
      <c r="F50" s="7">
        <v>201809</v>
      </c>
      <c r="G50" s="7">
        <v>201810</v>
      </c>
      <c r="H50" s="7">
        <v>201811</v>
      </c>
      <c r="I50" s="7">
        <v>201812</v>
      </c>
      <c r="J50" s="7">
        <v>201901</v>
      </c>
      <c r="K50" s="7">
        <v>201902</v>
      </c>
      <c r="L50" s="7">
        <v>201903</v>
      </c>
      <c r="M50" s="7">
        <v>201904</v>
      </c>
      <c r="N50" s="7">
        <v>201905</v>
      </c>
      <c r="O50" s="7">
        <v>201906</v>
      </c>
      <c r="P50" s="7" t="s">
        <v>35</v>
      </c>
      <c r="Q50" s="106" t="s">
        <v>161</v>
      </c>
    </row>
    <row r="51" spans="2:18">
      <c r="B51" s="7"/>
      <c r="D51" s="7"/>
      <c r="E51" s="7"/>
      <c r="F51" s="7"/>
      <c r="G51" s="7"/>
      <c r="H51" s="7"/>
      <c r="I51" s="7"/>
      <c r="J51" s="7"/>
      <c r="K51" s="7"/>
      <c r="L51" s="7"/>
      <c r="M51" s="7"/>
      <c r="N51" s="7"/>
      <c r="O51" s="7"/>
      <c r="P51" s="7"/>
      <c r="Q51" s="106"/>
    </row>
    <row r="52" spans="2:18">
      <c r="B52" s="7"/>
      <c r="C52" s="4" t="s">
        <v>48</v>
      </c>
      <c r="D52" s="867">
        <f>D6+Q6+Temperature!B10*1000</f>
        <v>99807482.341956168</v>
      </c>
      <c r="E52" s="867">
        <f>E6+R6+Temperature!B11*1000</f>
        <v>128412058.58347589</v>
      </c>
      <c r="F52" s="867">
        <f>F6+S6+Temperature!B12*1000</f>
        <v>99576240.462391242</v>
      </c>
      <c r="G52" s="867">
        <f>G6+T6+Temperature!B13*1000</f>
        <v>81291415.96396783</v>
      </c>
      <c r="H52" s="867">
        <f>H6+U6+Temperature!B14*1000</f>
        <v>107328043.61663955</v>
      </c>
      <c r="I52" s="867">
        <f>I6+V6+Temperature!B15*1000</f>
        <v>192662456.69170934</v>
      </c>
      <c r="J52" s="867">
        <f>J6+W6+Temperature!B16*1000</f>
        <v>180162175.94227642</v>
      </c>
      <c r="K52" s="867">
        <f>K6+X6+Temperature!B17*1000</f>
        <v>126052395.34161164</v>
      </c>
      <c r="L52" s="867">
        <f>L6+Y6+Temperature!B18*1000</f>
        <v>146628413.03158256</v>
      </c>
      <c r="M52" s="867">
        <f>M6+Z6+Temperature!B19*1000</f>
        <v>111997372.85653619</v>
      </c>
      <c r="N52" s="867">
        <f>N6+AA6+Temperature!B20*1000</f>
        <v>84710856.457801417</v>
      </c>
      <c r="O52" s="867">
        <f>O6+AB6+Temperature!B21*1000</f>
        <v>88698900.522701129</v>
      </c>
      <c r="P52" s="31">
        <f t="shared" ref="P52:P57" si="47">SUM(D52:O52)</f>
        <v>1447327811.8126493</v>
      </c>
      <c r="Q52" s="106">
        <f t="shared" ref="Q52:Q57" si="48">AE6</f>
        <v>1447327811.8126493</v>
      </c>
      <c r="R52" s="85">
        <f t="shared" ref="R52:R58" si="49">Q52-P52</f>
        <v>0</v>
      </c>
    </row>
    <row r="53" spans="2:18">
      <c r="B53" s="7"/>
      <c r="C53" s="4" t="s">
        <v>93</v>
      </c>
      <c r="D53" s="867">
        <f>D7+Q7+Temperature!B28*1000</f>
        <v>3855598.4905785765</v>
      </c>
      <c r="E53" s="867">
        <f>E7+R7+Temperature!B29*1000</f>
        <v>4724015.4636371965</v>
      </c>
      <c r="F53" s="867">
        <f>F7+S7+Temperature!B30*1000</f>
        <v>3866666.3790279487</v>
      </c>
      <c r="G53" s="867">
        <f>G7+T7+Temperature!B31*1000</f>
        <v>3798092.1813157825</v>
      </c>
      <c r="H53" s="867">
        <f>H7+U7+Temperature!B32*1000</f>
        <v>5715139.0218164166</v>
      </c>
      <c r="I53" s="867">
        <f>I7+V7+Temperature!B33*1000</f>
        <v>10989882.761472022</v>
      </c>
      <c r="J53" s="867">
        <f>J7+W7+Temperature!B34*1000</f>
        <v>10895420.901878504</v>
      </c>
      <c r="K53" s="867">
        <f>K7+X7+Temperature!B35*1000</f>
        <v>8116493.121398842</v>
      </c>
      <c r="L53" s="867">
        <f>L7+Y7+Temperature!B36*1000</f>
        <v>8548892.2261706218</v>
      </c>
      <c r="M53" s="867">
        <f>M7+Z7+Temperature!B37*1000</f>
        <v>6227504.8055458479</v>
      </c>
      <c r="N53" s="867">
        <f>N7+AA7+Temperature!B38*1000</f>
        <v>4260940.3723688992</v>
      </c>
      <c r="O53" s="867">
        <f>O7+AB7+Temperature!B39*1000</f>
        <v>4068281.6922845943</v>
      </c>
      <c r="P53" s="31">
        <f t="shared" si="47"/>
        <v>75066927.417495266</v>
      </c>
      <c r="Q53" s="106">
        <f t="shared" si="48"/>
        <v>75066927.417495251</v>
      </c>
      <c r="R53" s="85">
        <f t="shared" si="49"/>
        <v>0</v>
      </c>
    </row>
    <row r="54" spans="2:18">
      <c r="B54" s="7"/>
      <c r="C54" s="4" t="s">
        <v>49</v>
      </c>
      <c r="D54" s="867">
        <f>D8+Q8+Temperature!B46*1000</f>
        <v>156405.43806383281</v>
      </c>
      <c r="E54" s="867">
        <f>E8+R8+Temperature!B47*1000</f>
        <v>186933.49566235772</v>
      </c>
      <c r="F54" s="867">
        <f>F8+S8+Temperature!B48*1000</f>
        <v>163935.00229396272</v>
      </c>
      <c r="G54" s="867">
        <f>G8+T8+Temperature!B49*1000</f>
        <v>132903.00645920163</v>
      </c>
      <c r="H54" s="867">
        <f>H8+U8+Temperature!B50*1000</f>
        <v>150421.47482042445</v>
      </c>
      <c r="I54" s="867">
        <f>I8+V8+Temperature!B51*1000</f>
        <v>245107.72646985977</v>
      </c>
      <c r="J54" s="867">
        <f>J8+W8+Temperature!B52*1000</f>
        <v>224040.14823453643</v>
      </c>
      <c r="K54" s="867">
        <f>K8+X8+Temperature!B53*1000</f>
        <v>141030.67352736444</v>
      </c>
      <c r="L54" s="867">
        <f>L8+Y8+Temperature!B54*1000</f>
        <v>175398.83862361062</v>
      </c>
      <c r="M54" s="867">
        <f>M8+Z8+Temperature!B55*1000</f>
        <v>150442.41733903019</v>
      </c>
      <c r="N54" s="867">
        <f>N8+AA8+Temperature!B56*1000</f>
        <v>130566.04518338478</v>
      </c>
      <c r="O54" s="867">
        <f>O8+AB8+Temperature!B57*1000</f>
        <v>149257.69230195243</v>
      </c>
      <c r="P54" s="31">
        <f t="shared" si="47"/>
        <v>2006441.9589795179</v>
      </c>
      <c r="Q54" s="106">
        <f t="shared" si="48"/>
        <v>2006441.9589795179</v>
      </c>
      <c r="R54" s="85">
        <f t="shared" si="49"/>
        <v>0</v>
      </c>
    </row>
    <row r="55" spans="2:18">
      <c r="B55" s="7"/>
      <c r="C55" s="7" t="s">
        <v>155</v>
      </c>
      <c r="D55" s="867">
        <f t="shared" ref="D55:O56" si="50">D9+Q9</f>
        <v>34024.476144031272</v>
      </c>
      <c r="E55" s="867">
        <f t="shared" si="50"/>
        <v>37199.185729408724</v>
      </c>
      <c r="F55" s="867">
        <f t="shared" si="50"/>
        <v>25451.970534759574</v>
      </c>
      <c r="G55" s="867">
        <f t="shared" si="50"/>
        <v>21061.078670406685</v>
      </c>
      <c r="H55" s="867">
        <f t="shared" si="50"/>
        <v>21820.205433825606</v>
      </c>
      <c r="I55" s="867">
        <f t="shared" si="50"/>
        <v>29331.513031815972</v>
      </c>
      <c r="J55" s="867">
        <f t="shared" si="50"/>
        <v>28698.742868810081</v>
      </c>
      <c r="K55" s="867">
        <f t="shared" si="50"/>
        <v>28995.878311968856</v>
      </c>
      <c r="L55" s="867">
        <f t="shared" si="50"/>
        <v>32167.626414524122</v>
      </c>
      <c r="M55" s="867">
        <f t="shared" si="50"/>
        <v>20972.234185741268</v>
      </c>
      <c r="N55" s="867">
        <f t="shared" si="50"/>
        <v>18427.333280547529</v>
      </c>
      <c r="O55" s="867">
        <f t="shared" si="50"/>
        <v>18880.44015234114</v>
      </c>
      <c r="P55" s="31">
        <f t="shared" si="47"/>
        <v>317030.68475818081</v>
      </c>
      <c r="Q55" s="106">
        <f t="shared" si="48"/>
        <v>317030.68475818081</v>
      </c>
      <c r="R55" s="85">
        <f t="shared" si="49"/>
        <v>0</v>
      </c>
    </row>
    <row r="56" spans="2:18">
      <c r="B56" s="7"/>
      <c r="C56" s="4" t="s">
        <v>50</v>
      </c>
      <c r="D56" s="867">
        <f t="shared" si="50"/>
        <v>78544.483647243207</v>
      </c>
      <c r="E56" s="867">
        <f t="shared" si="50"/>
        <v>78934.928061721119</v>
      </c>
      <c r="F56" s="867">
        <f t="shared" si="50"/>
        <v>79084.985080686078</v>
      </c>
      <c r="G56" s="867">
        <f t="shared" si="50"/>
        <v>79310.070609133531</v>
      </c>
      <c r="H56" s="867">
        <f t="shared" si="50"/>
        <v>78707.868098813604</v>
      </c>
      <c r="I56" s="867">
        <f t="shared" si="50"/>
        <v>78133.307670934606</v>
      </c>
      <c r="J56" s="867">
        <f t="shared" si="50"/>
        <v>78238.9399145481</v>
      </c>
      <c r="K56" s="867">
        <f t="shared" si="50"/>
        <v>77766.062861362458</v>
      </c>
      <c r="L56" s="867">
        <f t="shared" si="50"/>
        <v>76814.385451610971</v>
      </c>
      <c r="M56" s="867">
        <f t="shared" si="50"/>
        <v>77235.433600219898</v>
      </c>
      <c r="N56" s="867">
        <f t="shared" si="50"/>
        <v>77356.367710898892</v>
      </c>
      <c r="O56" s="867">
        <f t="shared" si="50"/>
        <v>77276.40311526625</v>
      </c>
      <c r="P56" s="31">
        <f t="shared" si="47"/>
        <v>937403.23582243873</v>
      </c>
      <c r="Q56" s="106">
        <f t="shared" si="48"/>
        <v>937403.23582243873</v>
      </c>
      <c r="R56" s="85">
        <f t="shared" si="49"/>
        <v>0</v>
      </c>
    </row>
    <row r="57" spans="2:18">
      <c r="B57" s="7"/>
      <c r="C57" s="522" t="s">
        <v>51</v>
      </c>
      <c r="D57" s="867">
        <f>D11+Q11+Temperature!O63*1000</f>
        <v>1679847.3837657704</v>
      </c>
      <c r="E57" s="867">
        <f>E11+R11+Temperature!O64*1000</f>
        <v>1919382.8849554288</v>
      </c>
      <c r="F57" s="867">
        <f>F11+S11+Temperature!O65*1000</f>
        <v>1671485.276739015</v>
      </c>
      <c r="G57" s="867">
        <f>G11+T11+Temperature!O66*1000</f>
        <v>1359387.8569903162</v>
      </c>
      <c r="H57" s="867">
        <f>H11+U11+Temperature!O67*1000</f>
        <v>1383493.755411474</v>
      </c>
      <c r="I57" s="867">
        <f>I11+V11+Temperature!O68*1000</f>
        <v>2080804.4780781893</v>
      </c>
      <c r="J57" s="867">
        <f>J11+W11+Temperature!O69*1000</f>
        <v>2079115.5910087284</v>
      </c>
      <c r="K57" s="867">
        <f>K11+X11+Temperature!O70*1000</f>
        <v>2011178.6987100565</v>
      </c>
      <c r="L57" s="867">
        <f>L11+Y11+Temperature!O71*1000</f>
        <v>2209986.0613382338</v>
      </c>
      <c r="M57" s="867">
        <f>M11+Z11+Temperature!O72*1000</f>
        <v>1420707.8125599038</v>
      </c>
      <c r="N57" s="867">
        <f>N11+AA11+Temperature!O73*1000</f>
        <v>1245750.9563635592</v>
      </c>
      <c r="O57" s="867">
        <f>O11+AB11+Temperature!O74*1000</f>
        <v>1493847.5043344146</v>
      </c>
      <c r="P57" s="31">
        <f t="shared" si="47"/>
        <v>20554988.260255091</v>
      </c>
      <c r="Q57" s="106">
        <f t="shared" si="48"/>
        <v>20554988.260255091</v>
      </c>
      <c r="R57" s="85">
        <f t="shared" si="49"/>
        <v>0</v>
      </c>
    </row>
    <row r="58" spans="2:18">
      <c r="B58" s="7"/>
      <c r="C58" s="5"/>
      <c r="D58" s="867">
        <f>SUM(D52:D57)</f>
        <v>105611902.61415562</v>
      </c>
      <c r="E58" s="867">
        <f t="shared" ref="E58:O58" si="51">SUM(E52:E57)</f>
        <v>135358524.54152203</v>
      </c>
      <c r="F58" s="867">
        <f t="shared" si="51"/>
        <v>105382864.07606761</v>
      </c>
      <c r="G58" s="867">
        <f t="shared" si="51"/>
        <v>86682170.158012688</v>
      </c>
      <c r="H58" s="867">
        <f t="shared" si="51"/>
        <v>114677625.94222051</v>
      </c>
      <c r="I58" s="867">
        <f t="shared" si="51"/>
        <v>206085716.47843215</v>
      </c>
      <c r="J58" s="867">
        <f t="shared" si="51"/>
        <v>193467690.26618156</v>
      </c>
      <c r="K58" s="867">
        <f t="shared" si="51"/>
        <v>136427859.77642122</v>
      </c>
      <c r="L58" s="867">
        <f t="shared" si="51"/>
        <v>157671672.1695812</v>
      </c>
      <c r="M58" s="867">
        <f t="shared" si="51"/>
        <v>119894235.55976693</v>
      </c>
      <c r="N58" s="867">
        <f t="shared" si="51"/>
        <v>90443897.532708719</v>
      </c>
      <c r="O58" s="867">
        <f t="shared" si="51"/>
        <v>94506444.254889727</v>
      </c>
      <c r="P58" s="31">
        <f>SUM(P52:P57)</f>
        <v>1546210603.3699598</v>
      </c>
      <c r="Q58" s="106">
        <f>SUM(Q52:Q57)</f>
        <v>1546210603.3699598</v>
      </c>
      <c r="R58" s="85">
        <f t="shared" si="49"/>
        <v>0</v>
      </c>
    </row>
    <row r="59" spans="2:18">
      <c r="B59" s="7"/>
      <c r="C59" s="5"/>
      <c r="D59" s="867"/>
      <c r="E59" s="867"/>
      <c r="F59" s="867"/>
      <c r="G59" s="867"/>
      <c r="H59" s="867"/>
      <c r="I59" s="867"/>
      <c r="J59" s="867"/>
      <c r="K59" s="867"/>
      <c r="L59" s="867"/>
      <c r="M59" s="867"/>
      <c r="N59" s="867"/>
      <c r="O59" s="867"/>
      <c r="P59" s="31"/>
      <c r="Q59" s="106"/>
      <c r="R59" s="85"/>
    </row>
    <row r="60" spans="2:18">
      <c r="B60" s="7"/>
      <c r="C60" s="522" t="s">
        <v>51</v>
      </c>
      <c r="D60" s="868">
        <f>D14+Q14+Temperature!B63*1000</f>
        <v>43751242.411107391</v>
      </c>
      <c r="E60" s="868">
        <f>E14+R14+Temperature!B64*1000</f>
        <v>51589132.307263426</v>
      </c>
      <c r="F60" s="868">
        <f>F14+S14+Temperature!B65*1000</f>
        <v>45902792.263051488</v>
      </c>
      <c r="G60" s="868">
        <f>G14+T14+Temperature!B66*1000</f>
        <v>39527852.102453351</v>
      </c>
      <c r="H60" s="868">
        <f>H14+U14+Temperature!B67*1000</f>
        <v>39180356.756724745</v>
      </c>
      <c r="I60" s="868">
        <f>I14+V14+Temperature!B68*1000</f>
        <v>49152849.816286601</v>
      </c>
      <c r="J60" s="868">
        <f>J14+W14+Temperature!B69*1000</f>
        <v>47005185.223467529</v>
      </c>
      <c r="K60" s="868">
        <f>K14+X14+Temperature!B70*1000</f>
        <v>42537520.884994835</v>
      </c>
      <c r="L60" s="868">
        <f>L14+Y14+Temperature!B71*1000</f>
        <v>44648261.109269924</v>
      </c>
      <c r="M60" s="868">
        <f>M14+Z14+Temperature!B72*1000</f>
        <v>37572135.722687542</v>
      </c>
      <c r="N60" s="868">
        <f>N14+AA14+Temperature!B73*1000</f>
        <v>35345817.820471808</v>
      </c>
      <c r="O60" s="868">
        <f>O14+AB14+Temperature!B74*1000</f>
        <v>40158039.081309281</v>
      </c>
      <c r="P60" s="31">
        <f t="shared" ref="P60:P67" si="52">SUM(D60:O60)</f>
        <v>516371185.49908793</v>
      </c>
      <c r="Q60" s="106">
        <f t="shared" ref="Q60:Q68" si="53">AE14</f>
        <v>516371185.49908793</v>
      </c>
      <c r="R60" s="85">
        <f t="shared" ref="R60:R68" si="54">Q60-P60</f>
        <v>0</v>
      </c>
    </row>
    <row r="61" spans="2:18">
      <c r="B61" s="7"/>
      <c r="C61" s="522" t="s">
        <v>52</v>
      </c>
      <c r="D61" s="867">
        <f t="shared" ref="D61:O63" si="55">D15+Q15</f>
        <v>103479.02260256867</v>
      </c>
      <c r="E61" s="867">
        <f t="shared" si="55"/>
        <v>102985.43734827281</v>
      </c>
      <c r="F61" s="867">
        <f t="shared" si="55"/>
        <v>102981.40095782779</v>
      </c>
      <c r="G61" s="867">
        <f t="shared" si="55"/>
        <v>102981.40095782779</v>
      </c>
      <c r="H61" s="867">
        <f t="shared" si="55"/>
        <v>102981.40095782779</v>
      </c>
      <c r="I61" s="867">
        <f t="shared" si="55"/>
        <v>102981.40095782779</v>
      </c>
      <c r="J61" s="867">
        <f t="shared" si="55"/>
        <v>103478.91670993633</v>
      </c>
      <c r="K61" s="867">
        <f t="shared" si="55"/>
        <v>102981.4728714385</v>
      </c>
      <c r="L61" s="867">
        <f t="shared" si="55"/>
        <v>103478.91165492652</v>
      </c>
      <c r="M61" s="867">
        <f t="shared" si="55"/>
        <v>102981.51470429935</v>
      </c>
      <c r="N61" s="867">
        <f t="shared" si="55"/>
        <v>102981.51470429935</v>
      </c>
      <c r="O61" s="867">
        <f t="shared" si="55"/>
        <v>102981.51470429935</v>
      </c>
      <c r="P61" s="31">
        <f t="shared" si="52"/>
        <v>1237273.9091313521</v>
      </c>
      <c r="Q61" s="106">
        <f t="shared" si="53"/>
        <v>1237273.9091313521</v>
      </c>
      <c r="R61" s="85">
        <f t="shared" si="54"/>
        <v>0</v>
      </c>
    </row>
    <row r="62" spans="2:18">
      <c r="B62" s="7"/>
      <c r="C62" s="869" t="s">
        <v>57</v>
      </c>
      <c r="D62" s="867">
        <f t="shared" si="55"/>
        <v>11826.127807162025</v>
      </c>
      <c r="E62" s="867">
        <f t="shared" si="55"/>
        <v>11976.489872463429</v>
      </c>
      <c r="F62" s="867">
        <f t="shared" si="55"/>
        <v>13731.386728565039</v>
      </c>
      <c r="G62" s="867">
        <f t="shared" si="55"/>
        <v>17384.478516424628</v>
      </c>
      <c r="H62" s="867">
        <f t="shared" si="55"/>
        <v>9968.2985305185157</v>
      </c>
      <c r="I62" s="867">
        <f t="shared" si="55"/>
        <v>5843.9377191974818</v>
      </c>
      <c r="J62" s="867">
        <f t="shared" si="55"/>
        <v>4707.644527725135</v>
      </c>
      <c r="K62" s="867">
        <f t="shared" si="55"/>
        <v>7133.6204001048181</v>
      </c>
      <c r="L62" s="867">
        <f t="shared" si="55"/>
        <v>7517.094123692289</v>
      </c>
      <c r="M62" s="867">
        <f t="shared" si="55"/>
        <v>7119.4924208147531</v>
      </c>
      <c r="N62" s="867">
        <f t="shared" si="55"/>
        <v>24728.000323124696</v>
      </c>
      <c r="O62" s="867">
        <f t="shared" si="55"/>
        <v>9121.6289144924958</v>
      </c>
      <c r="P62" s="31">
        <f t="shared" si="52"/>
        <v>131058.19988428531</v>
      </c>
      <c r="Q62" s="106">
        <f t="shared" si="53"/>
        <v>131058.19988428531</v>
      </c>
      <c r="R62" s="85">
        <f t="shared" si="54"/>
        <v>0</v>
      </c>
    </row>
    <row r="63" spans="2:18">
      <c r="B63" s="7"/>
      <c r="C63" s="522" t="s">
        <v>266</v>
      </c>
      <c r="D63" s="867">
        <f t="shared" si="55"/>
        <v>0</v>
      </c>
      <c r="E63" s="867">
        <f t="shared" si="55"/>
        <v>0</v>
      </c>
      <c r="F63" s="867">
        <f t="shared" si="55"/>
        <v>0</v>
      </c>
      <c r="G63" s="867">
        <f t="shared" si="55"/>
        <v>0</v>
      </c>
      <c r="H63" s="867">
        <f t="shared" si="55"/>
        <v>0</v>
      </c>
      <c r="I63" s="867">
        <f t="shared" si="55"/>
        <v>0</v>
      </c>
      <c r="J63" s="867">
        <f t="shared" si="55"/>
        <v>0</v>
      </c>
      <c r="K63" s="867">
        <f t="shared" si="55"/>
        <v>0</v>
      </c>
      <c r="L63" s="867">
        <f t="shared" si="55"/>
        <v>0</v>
      </c>
      <c r="M63" s="867">
        <f t="shared" si="55"/>
        <v>0</v>
      </c>
      <c r="N63" s="867">
        <f t="shared" si="55"/>
        <v>0</v>
      </c>
      <c r="O63" s="867">
        <f t="shared" si="55"/>
        <v>0</v>
      </c>
      <c r="P63" s="31">
        <f t="shared" si="52"/>
        <v>0</v>
      </c>
      <c r="Q63" s="106">
        <f t="shared" si="53"/>
        <v>0</v>
      </c>
      <c r="R63" s="85">
        <f t="shared" si="54"/>
        <v>0</v>
      </c>
    </row>
    <row r="64" spans="2:18">
      <c r="B64" s="7"/>
      <c r="C64" s="522" t="s">
        <v>53</v>
      </c>
      <c r="D64" s="867">
        <f>D18+Q18+Temperature!B98*1000</f>
        <v>68539858.155826688</v>
      </c>
      <c r="E64" s="867">
        <f>E18+R18+Temperature!B99*1000</f>
        <v>75712830.206372395</v>
      </c>
      <c r="F64" s="867">
        <f>F18+S18+Temperature!B100*1000</f>
        <v>80821213.487171665</v>
      </c>
      <c r="G64" s="867">
        <f>G18+T18+Temperature!B101*1000</f>
        <v>79074233.613261849</v>
      </c>
      <c r="H64" s="867">
        <f>H18+U18+Temperature!B102*1000</f>
        <v>74779164.442788675</v>
      </c>
      <c r="I64" s="867">
        <f>I18+V18+Temperature!B103*1000</f>
        <v>79961843.680306464</v>
      </c>
      <c r="J64" s="867">
        <f>J18+W18+Temperature!B104*1000</f>
        <v>73158970.474145606</v>
      </c>
      <c r="K64" s="867">
        <f>K18+X18+Temperature!B105*1000</f>
        <v>63131288.68247965</v>
      </c>
      <c r="L64" s="867">
        <f>L18+Y18+Temperature!B106*1000</f>
        <v>63967560.096781068</v>
      </c>
      <c r="M64" s="867">
        <f>M18+Z18+Temperature!B107*1000</f>
        <v>61577999.769105159</v>
      </c>
      <c r="N64" s="867">
        <f>N18+AA18+Temperature!B108*1000</f>
        <v>59694908.018109836</v>
      </c>
      <c r="O64" s="867">
        <f>O18+AB18+Temperature!B109*1000</f>
        <v>66265677.780492291</v>
      </c>
      <c r="P64" s="31">
        <f t="shared" si="52"/>
        <v>846685548.40684128</v>
      </c>
      <c r="Q64" s="106">
        <f t="shared" si="53"/>
        <v>846685548.40684128</v>
      </c>
      <c r="R64" s="85">
        <f t="shared" si="54"/>
        <v>0</v>
      </c>
    </row>
    <row r="65" spans="2:18">
      <c r="B65" s="7"/>
      <c r="C65" s="522" t="s">
        <v>54</v>
      </c>
      <c r="D65" s="867">
        <f>D19+Q19+(Temperature!B115+Temperature!F115)*1000</f>
        <v>17689440.118859332</v>
      </c>
      <c r="E65" s="867">
        <f>E19+R19+(Temperature!B116+Temperature!F116)*1000</f>
        <v>18265209.05968947</v>
      </c>
      <c r="F65" s="867">
        <f>F19+S19+(Temperature!B117+Temperature!F117)*1000</f>
        <v>19789982.428766891</v>
      </c>
      <c r="G65" s="867">
        <f>G19+T19+(Temperature!B118+Temperature!F118)*1000</f>
        <v>18487368.077135947</v>
      </c>
      <c r="H65" s="867">
        <f>H19+U19+(Temperature!B119+Temperature!F119)*1000</f>
        <v>17102649.759768225</v>
      </c>
      <c r="I65" s="867">
        <f>I19+V19+(Temperature!B120+Temperature!F120)*1000</f>
        <v>17951375.441157583</v>
      </c>
      <c r="J65" s="867">
        <f>J19+W19+(Temperature!B121+Temperature!F121)*1000</f>
        <v>15343354.012439357</v>
      </c>
      <c r="K65" s="867">
        <f>K19+X19+(Temperature!B122+Temperature!F122)*1000</f>
        <v>13802837.220075632</v>
      </c>
      <c r="L65" s="867">
        <f>L19+Y19+(Temperature!B123+Temperature!F123)*1000</f>
        <v>13567030.916887403</v>
      </c>
      <c r="M65" s="867">
        <f>M19+Z19+(Temperature!B124+Temperature!F124)*1000</f>
        <v>13652286.894105447</v>
      </c>
      <c r="N65" s="867">
        <f>N19+AA19+(Temperature!B125+Temperature!F125)*1000</f>
        <v>13395527.190792937</v>
      </c>
      <c r="O65" s="867">
        <f>O19+AB19+(Temperature!B126+Temperature!F126)*1000</f>
        <v>15458527.794680635</v>
      </c>
      <c r="P65" s="31">
        <f t="shared" si="52"/>
        <v>194505588.91435882</v>
      </c>
      <c r="Q65" s="106">
        <f t="shared" si="53"/>
        <v>194505588.91435885</v>
      </c>
      <c r="R65" s="85">
        <f t="shared" si="54"/>
        <v>0</v>
      </c>
    </row>
    <row r="66" spans="2:18">
      <c r="B66" s="7"/>
      <c r="C66" s="522" t="s">
        <v>55</v>
      </c>
      <c r="D66" s="867">
        <f t="shared" ref="D66:O67" si="56">D20+Q20</f>
        <v>164874.92458435841</v>
      </c>
      <c r="E66" s="867">
        <f t="shared" si="56"/>
        <v>165735.16702860667</v>
      </c>
      <c r="F66" s="867">
        <f t="shared" si="56"/>
        <v>167258.37637710254</v>
      </c>
      <c r="G66" s="867">
        <f t="shared" si="56"/>
        <v>166658.98164175538</v>
      </c>
      <c r="H66" s="867">
        <f t="shared" si="56"/>
        <v>166394.60214569315</v>
      </c>
      <c r="I66" s="867">
        <f t="shared" si="56"/>
        <v>164802.27067704362</v>
      </c>
      <c r="J66" s="867">
        <f t="shared" si="56"/>
        <v>163611.55386271758</v>
      </c>
      <c r="K66" s="867">
        <f t="shared" si="56"/>
        <v>163690.26226230862</v>
      </c>
      <c r="L66" s="867">
        <f t="shared" si="56"/>
        <v>161424.87306895107</v>
      </c>
      <c r="M66" s="867">
        <f t="shared" si="56"/>
        <v>162516.69984276526</v>
      </c>
      <c r="N66" s="867">
        <f t="shared" si="56"/>
        <v>164114.07672164502</v>
      </c>
      <c r="O66" s="867">
        <f t="shared" si="56"/>
        <v>163814.37935397142</v>
      </c>
      <c r="P66" s="31">
        <f t="shared" si="52"/>
        <v>1974896.1675669188</v>
      </c>
      <c r="Q66" s="106">
        <f t="shared" si="53"/>
        <v>1974896.1675669188</v>
      </c>
      <c r="R66" s="85">
        <f t="shared" si="54"/>
        <v>0</v>
      </c>
    </row>
    <row r="67" spans="2:18">
      <c r="B67" s="7"/>
      <c r="C67" s="522" t="s">
        <v>56</v>
      </c>
      <c r="D67" s="867">
        <f t="shared" si="56"/>
        <v>26818.543144624895</v>
      </c>
      <c r="E67" s="867">
        <f t="shared" si="56"/>
        <v>18173.682583989703</v>
      </c>
      <c r="F67" s="867">
        <f t="shared" si="56"/>
        <v>21446.156355221163</v>
      </c>
      <c r="G67" s="867">
        <f t="shared" si="56"/>
        <v>28142.467161848352</v>
      </c>
      <c r="H67" s="867">
        <f t="shared" si="56"/>
        <v>30971.951113292391</v>
      </c>
      <c r="I67" s="867">
        <f t="shared" si="56"/>
        <v>23152.524886566338</v>
      </c>
      <c r="J67" s="867">
        <f t="shared" si="56"/>
        <v>19975.914515972247</v>
      </c>
      <c r="K67" s="867">
        <f t="shared" si="56"/>
        <v>29258.518962952883</v>
      </c>
      <c r="L67" s="867">
        <f t="shared" si="56"/>
        <v>25439.119263874538</v>
      </c>
      <c r="M67" s="867">
        <f t="shared" si="56"/>
        <v>24173.722375461261</v>
      </c>
      <c r="N67" s="867">
        <f t="shared" si="56"/>
        <v>20190.850351085504</v>
      </c>
      <c r="O67" s="867">
        <f t="shared" si="56"/>
        <v>17537.956874499781</v>
      </c>
      <c r="P67" s="31">
        <f t="shared" si="52"/>
        <v>285281.40758938907</v>
      </c>
      <c r="Q67" s="106">
        <f t="shared" si="53"/>
        <v>285281.40758938907</v>
      </c>
      <c r="R67" s="85">
        <f t="shared" si="54"/>
        <v>0</v>
      </c>
    </row>
    <row r="68" spans="2:18">
      <c r="B68" s="7"/>
      <c r="C68" s="5"/>
      <c r="D68" s="867">
        <f t="shared" ref="D68:P68" si="57">SUM(D60:D67)</f>
        <v>130287539.30393213</v>
      </c>
      <c r="E68" s="867">
        <f t="shared" si="57"/>
        <v>145866042.35015863</v>
      </c>
      <c r="F68" s="867">
        <f t="shared" si="57"/>
        <v>146819405.49940875</v>
      </c>
      <c r="G68" s="867">
        <f t="shared" si="57"/>
        <v>137404621.12112901</v>
      </c>
      <c r="H68" s="867">
        <f t="shared" si="57"/>
        <v>131372487.21202898</v>
      </c>
      <c r="I68" s="867">
        <f t="shared" si="57"/>
        <v>147362849.07199129</v>
      </c>
      <c r="J68" s="867">
        <f t="shared" si="57"/>
        <v>135799283.73966885</v>
      </c>
      <c r="K68" s="867">
        <f t="shared" si="57"/>
        <v>119774710.66204694</v>
      </c>
      <c r="L68" s="867">
        <f t="shared" si="57"/>
        <v>122480712.12104984</v>
      </c>
      <c r="M68" s="867">
        <f t="shared" si="57"/>
        <v>113099213.8152415</v>
      </c>
      <c r="N68" s="867">
        <f t="shared" si="57"/>
        <v>108748267.47147472</v>
      </c>
      <c r="O68" s="867">
        <f t="shared" si="57"/>
        <v>122175700.13632947</v>
      </c>
      <c r="P68" s="31">
        <f t="shared" si="57"/>
        <v>1561190832.5044601</v>
      </c>
      <c r="Q68" s="106">
        <f t="shared" si="53"/>
        <v>1561190832.5044601</v>
      </c>
      <c r="R68" s="85">
        <f t="shared" si="54"/>
        <v>0</v>
      </c>
    </row>
    <row r="69" spans="2:18">
      <c r="B69" s="7"/>
      <c r="C69" s="5"/>
      <c r="D69" s="867"/>
      <c r="E69" s="867"/>
      <c r="F69" s="867"/>
      <c r="G69" s="867"/>
      <c r="H69" s="867"/>
      <c r="I69" s="867"/>
      <c r="J69" s="867"/>
      <c r="K69" s="867"/>
      <c r="L69" s="867"/>
      <c r="M69" s="867"/>
      <c r="N69" s="867"/>
      <c r="O69" s="867"/>
      <c r="P69" s="31"/>
      <c r="Q69" s="106"/>
      <c r="R69" s="85"/>
    </row>
    <row r="70" spans="2:18">
      <c r="B70" s="7"/>
      <c r="C70" s="522" t="s">
        <v>51</v>
      </c>
      <c r="D70" s="867">
        <f t="shared" ref="D70:O77" ca="1" si="58">D24+Q24</f>
        <v>1336348.071490302</v>
      </c>
      <c r="E70" s="867">
        <f t="shared" ca="1" si="58"/>
        <v>1463785.6991259416</v>
      </c>
      <c r="F70" s="867">
        <f t="shared" ca="1" si="58"/>
        <v>1435572.620717949</v>
      </c>
      <c r="G70" s="867">
        <f t="shared" ca="1" si="58"/>
        <v>1363215.487110276</v>
      </c>
      <c r="H70" s="867">
        <f t="shared" ca="1" si="58"/>
        <v>1353886.509205149</v>
      </c>
      <c r="I70" s="867">
        <f t="shared" ca="1" si="58"/>
        <v>1557135.5796946166</v>
      </c>
      <c r="J70" s="867">
        <f t="shared" ca="1" si="58"/>
        <v>1490723.4029611868</v>
      </c>
      <c r="K70" s="867">
        <f t="shared" ca="1" si="58"/>
        <v>1493767.1882833664</v>
      </c>
      <c r="L70" s="867">
        <f t="shared" ca="1" si="58"/>
        <v>1471088.5428256418</v>
      </c>
      <c r="M70" s="867">
        <f t="shared" ca="1" si="58"/>
        <v>1226015.9469102302</v>
      </c>
      <c r="N70" s="867">
        <f t="shared" ca="1" si="58"/>
        <v>1046314.447206405</v>
      </c>
      <c r="O70" s="867">
        <f t="shared" ca="1" si="58"/>
        <v>1168357.1996525326</v>
      </c>
      <c r="P70" s="31">
        <f t="shared" ref="P70:P77" ca="1" si="59">SUM(D70:O70)</f>
        <v>16406210.695183599</v>
      </c>
      <c r="Q70" s="106">
        <f t="shared" ref="Q70:Q77" ca="1" si="60">AE24</f>
        <v>16406210.695183598</v>
      </c>
      <c r="R70" s="85">
        <f t="shared" ref="R70:R77" ca="1" si="61">Q70-P70</f>
        <v>0</v>
      </c>
    </row>
    <row r="71" spans="2:18">
      <c r="B71" s="7"/>
      <c r="C71" s="522" t="s">
        <v>52</v>
      </c>
      <c r="D71" s="867">
        <f t="shared" ca="1" si="58"/>
        <v>2827.9927950517372</v>
      </c>
      <c r="E71" s="867">
        <f t="shared" ca="1" si="58"/>
        <v>2827.9927950517372</v>
      </c>
      <c r="F71" s="867">
        <f t="shared" ca="1" si="58"/>
        <v>2827.9927950517372</v>
      </c>
      <c r="G71" s="867">
        <f t="shared" ca="1" si="58"/>
        <v>2827.9927950517372</v>
      </c>
      <c r="H71" s="867">
        <f t="shared" ca="1" si="58"/>
        <v>2827.9927950517372</v>
      </c>
      <c r="I71" s="867">
        <f t="shared" ca="1" si="58"/>
        <v>2827.9927950517372</v>
      </c>
      <c r="J71" s="867">
        <f t="shared" ca="1" si="58"/>
        <v>2827.9927950517372</v>
      </c>
      <c r="K71" s="867">
        <f t="shared" ca="1" si="58"/>
        <v>2827.9927950517372</v>
      </c>
      <c r="L71" s="867">
        <f t="shared" ca="1" si="58"/>
        <v>2827.9927950517372</v>
      </c>
      <c r="M71" s="867">
        <f t="shared" ca="1" si="58"/>
        <v>2827.9927950517372</v>
      </c>
      <c r="N71" s="867">
        <f t="shared" ca="1" si="58"/>
        <v>2827.9927950517372</v>
      </c>
      <c r="O71" s="867">
        <f t="shared" ca="1" si="58"/>
        <v>2827.9927950517372</v>
      </c>
      <c r="P71" s="31">
        <f t="shared" ca="1" si="59"/>
        <v>33935.913540620844</v>
      </c>
      <c r="Q71" s="106">
        <f t="shared" ca="1" si="60"/>
        <v>33935.913540620844</v>
      </c>
      <c r="R71" s="85">
        <f t="shared" ca="1" si="61"/>
        <v>0</v>
      </c>
    </row>
    <row r="72" spans="2:18">
      <c r="B72" s="7"/>
      <c r="C72" s="522" t="s">
        <v>57</v>
      </c>
      <c r="D72" s="867">
        <f t="shared" ca="1" si="58"/>
        <v>1132.8270850495433</v>
      </c>
      <c r="E72" s="867">
        <f t="shared" ca="1" si="58"/>
        <v>1104.3026620446985</v>
      </c>
      <c r="F72" s="867">
        <f t="shared" ca="1" si="58"/>
        <v>939.26850037381189</v>
      </c>
      <c r="G72" s="867">
        <f t="shared" ca="1" si="58"/>
        <v>232.27030161087757</v>
      </c>
      <c r="H72" s="867">
        <f t="shared" ca="1" si="58"/>
        <v>111.04150384028796</v>
      </c>
      <c r="I72" s="867">
        <f t="shared" ca="1" si="58"/>
        <v>2.0374587860603293</v>
      </c>
      <c r="J72" s="867">
        <f t="shared" ca="1" si="58"/>
        <v>2.0374587860603293</v>
      </c>
      <c r="K72" s="867">
        <f t="shared" ca="1" si="58"/>
        <v>3.0561881790904941</v>
      </c>
      <c r="L72" s="867">
        <f t="shared" ca="1" si="58"/>
        <v>2.0374587860603293</v>
      </c>
      <c r="M72" s="867">
        <f t="shared" ca="1" si="58"/>
        <v>0</v>
      </c>
      <c r="N72" s="867">
        <f t="shared" ca="1" si="58"/>
        <v>408.51048660509605</v>
      </c>
      <c r="O72" s="867">
        <f t="shared" ca="1" si="58"/>
        <v>541.96403709204765</v>
      </c>
      <c r="P72" s="31">
        <f t="shared" ca="1" si="59"/>
        <v>4479.3531411536342</v>
      </c>
      <c r="Q72" s="106">
        <f t="shared" ca="1" si="60"/>
        <v>4479.3531411536342</v>
      </c>
      <c r="R72" s="85">
        <f t="shared" ca="1" si="61"/>
        <v>0</v>
      </c>
    </row>
    <row r="73" spans="2:18">
      <c r="B73" s="7"/>
      <c r="C73" s="522" t="s">
        <v>53</v>
      </c>
      <c r="D73" s="867">
        <f t="shared" ca="1" si="58"/>
        <v>8027188.9483191669</v>
      </c>
      <c r="E73" s="867">
        <f t="shared" ca="1" si="58"/>
        <v>8580327.2222353201</v>
      </c>
      <c r="F73" s="867">
        <f t="shared" ca="1" si="58"/>
        <v>9646907.346184738</v>
      </c>
      <c r="G73" s="867">
        <f t="shared" ca="1" si="58"/>
        <v>10531245.722842991</v>
      </c>
      <c r="H73" s="867">
        <f t="shared" ca="1" si="58"/>
        <v>9853497.4286010321</v>
      </c>
      <c r="I73" s="867">
        <f t="shared" ca="1" si="58"/>
        <v>8543674.3402430713</v>
      </c>
      <c r="J73" s="867">
        <f t="shared" ca="1" si="58"/>
        <v>8135913.0652559344</v>
      </c>
      <c r="K73" s="867">
        <f t="shared" ca="1" si="58"/>
        <v>8185105.788016486</v>
      </c>
      <c r="L73" s="867">
        <f t="shared" ca="1" si="58"/>
        <v>8333171.8601018926</v>
      </c>
      <c r="M73" s="867">
        <f t="shared" ca="1" si="58"/>
        <v>8240004.6425278308</v>
      </c>
      <c r="N73" s="867">
        <f t="shared" ca="1" si="58"/>
        <v>7994757.0963117965</v>
      </c>
      <c r="O73" s="867">
        <f t="shared" ca="1" si="58"/>
        <v>7983919.316620891</v>
      </c>
      <c r="P73" s="31">
        <f t="shared" ca="1" si="59"/>
        <v>104055712.77726115</v>
      </c>
      <c r="Q73" s="106">
        <f t="shared" ca="1" si="60"/>
        <v>104055712.77726115</v>
      </c>
      <c r="R73" s="85">
        <f t="shared" ca="1" si="61"/>
        <v>0</v>
      </c>
    </row>
    <row r="74" spans="2:18">
      <c r="B74" s="7"/>
      <c r="C74" s="522" t="s">
        <v>158</v>
      </c>
      <c r="D74" s="867">
        <f t="shared" ca="1" si="58"/>
        <v>161971.88732924167</v>
      </c>
      <c r="E74" s="867">
        <f t="shared" ca="1" si="58"/>
        <v>171140.10736674591</v>
      </c>
      <c r="F74" s="867">
        <f t="shared" ca="1" si="58"/>
        <v>189476.5474417544</v>
      </c>
      <c r="G74" s="867">
        <f t="shared" ca="1" si="58"/>
        <v>326999.84800431808</v>
      </c>
      <c r="H74" s="867">
        <f t="shared" ca="1" si="58"/>
        <v>314775.55462097906</v>
      </c>
      <c r="I74" s="867">
        <f t="shared" ca="1" si="58"/>
        <v>295420.42343069235</v>
      </c>
      <c r="J74" s="867">
        <f t="shared" ca="1" si="58"/>
        <v>365710.11038489157</v>
      </c>
      <c r="K74" s="867">
        <f t="shared" ca="1" si="58"/>
        <v>217999.89866954539</v>
      </c>
      <c r="L74" s="867">
        <f t="shared" ca="1" si="58"/>
        <v>347373.67030988308</v>
      </c>
      <c r="M74" s="867">
        <f t="shared" ca="1" si="58"/>
        <v>69270.995838920964</v>
      </c>
      <c r="N74" s="867">
        <f t="shared" ca="1" si="58"/>
        <v>121224.24271811169</v>
      </c>
      <c r="O74" s="867">
        <f t="shared" ca="1" si="58"/>
        <v>97794.347066711955</v>
      </c>
      <c r="P74" s="31">
        <f t="shared" ca="1" si="59"/>
        <v>2679157.6331817964</v>
      </c>
      <c r="Q74" s="106">
        <f t="shared" ca="1" si="60"/>
        <v>2679157.6331817959</v>
      </c>
      <c r="R74" s="85">
        <f t="shared" ca="1" si="61"/>
        <v>0</v>
      </c>
    </row>
    <row r="75" spans="2:18">
      <c r="B75" s="7"/>
      <c r="C75" s="522" t="s">
        <v>917</v>
      </c>
      <c r="D75" s="867">
        <f t="shared" ca="1" si="58"/>
        <v>33611957.593637258</v>
      </c>
      <c r="E75" s="867">
        <f t="shared" ca="1" si="58"/>
        <v>36234167.051296897</v>
      </c>
      <c r="F75" s="867">
        <f t="shared" ca="1" si="58"/>
        <v>36160818.53499873</v>
      </c>
      <c r="G75" s="867">
        <f t="shared" ca="1" si="58"/>
        <v>35353984.855718836</v>
      </c>
      <c r="H75" s="867">
        <f t="shared" ca="1" si="58"/>
        <v>24076650.474874914</v>
      </c>
      <c r="I75" s="867">
        <f t="shared" ca="1" si="58"/>
        <v>23709907.893384054</v>
      </c>
      <c r="J75" s="867">
        <f t="shared" ca="1" si="58"/>
        <v>34822208.112557091</v>
      </c>
      <c r="K75" s="867">
        <f t="shared" ca="1" si="58"/>
        <v>41075169.126976244</v>
      </c>
      <c r="L75" s="867">
        <f t="shared" ca="1" si="58"/>
        <v>36252504.180371441</v>
      </c>
      <c r="M75" s="867">
        <f t="shared" ca="1" si="58"/>
        <v>40323346.834919982</v>
      </c>
      <c r="N75" s="867">
        <f t="shared" ca="1" si="58"/>
        <v>38251251.249496624</v>
      </c>
      <c r="O75" s="867">
        <f t="shared" ca="1" si="58"/>
        <v>40910134.965305358</v>
      </c>
      <c r="P75" s="31">
        <f t="shared" ca="1" si="59"/>
        <v>420782100.87353742</v>
      </c>
      <c r="Q75" s="106">
        <f t="shared" ca="1" si="60"/>
        <v>420782100.87353742</v>
      </c>
      <c r="R75" s="85">
        <f t="shared" ca="1" si="61"/>
        <v>0</v>
      </c>
    </row>
    <row r="76" spans="2:18">
      <c r="B76" s="7"/>
      <c r="C76" s="522" t="s">
        <v>54</v>
      </c>
      <c r="D76" s="867">
        <f t="shared" ca="1" si="58"/>
        <v>19444385.482965704</v>
      </c>
      <c r="E76" s="867">
        <f t="shared" ca="1" si="58"/>
        <v>18174357.611676466</v>
      </c>
      <c r="F76" s="867">
        <f t="shared" ca="1" si="58"/>
        <v>18216179.081367161</v>
      </c>
      <c r="G76" s="867">
        <f t="shared" ca="1" si="58"/>
        <v>18074363.037982386</v>
      </c>
      <c r="H76" s="867">
        <f t="shared" ca="1" si="58"/>
        <v>19253361.717630606</v>
      </c>
      <c r="I76" s="867">
        <f t="shared" ca="1" si="58"/>
        <v>16319134.802741999</v>
      </c>
      <c r="J76" s="867">
        <f t="shared" ca="1" si="58"/>
        <v>15603738.066644371</v>
      </c>
      <c r="K76" s="867">
        <f t="shared" ca="1" si="58"/>
        <v>16516271.32856782</v>
      </c>
      <c r="L76" s="867">
        <f t="shared" ca="1" si="58"/>
        <v>15427232.107474741</v>
      </c>
      <c r="M76" s="867">
        <f t="shared" ca="1" si="58"/>
        <v>15549894.834655249</v>
      </c>
      <c r="N76" s="867">
        <f t="shared" ca="1" si="58"/>
        <v>16252607.592734629</v>
      </c>
      <c r="O76" s="867">
        <f t="shared" ca="1" si="58"/>
        <v>16848448.921567865</v>
      </c>
      <c r="P76" s="31">
        <f t="shared" ca="1" si="59"/>
        <v>205679974.58600903</v>
      </c>
      <c r="Q76" s="106">
        <f t="shared" ca="1" si="60"/>
        <v>205679974.586009</v>
      </c>
      <c r="R76" s="85">
        <f t="shared" ca="1" si="61"/>
        <v>0</v>
      </c>
    </row>
    <row r="77" spans="2:18">
      <c r="B77" s="7"/>
      <c r="C77" s="522" t="s">
        <v>55</v>
      </c>
      <c r="D77" s="867">
        <f t="shared" ca="1" si="58"/>
        <v>10450.764012104846</v>
      </c>
      <c r="E77" s="867">
        <f t="shared" ca="1" si="58"/>
        <v>10450.764012104846</v>
      </c>
      <c r="F77" s="867">
        <f t="shared" ca="1" si="58"/>
        <v>10450.764012104846</v>
      </c>
      <c r="G77" s="867">
        <f t="shared" ca="1" si="58"/>
        <v>10450.764012104846</v>
      </c>
      <c r="H77" s="867">
        <f t="shared" ca="1" si="58"/>
        <v>10450.764012104846</v>
      </c>
      <c r="I77" s="867">
        <f t="shared" ca="1" si="58"/>
        <v>10450.764012104846</v>
      </c>
      <c r="J77" s="867">
        <f t="shared" ca="1" si="58"/>
        <v>10450.764012104846</v>
      </c>
      <c r="K77" s="867">
        <f t="shared" ca="1" si="58"/>
        <v>10450.764012104846</v>
      </c>
      <c r="L77" s="867">
        <f t="shared" ca="1" si="58"/>
        <v>10450.764012104846</v>
      </c>
      <c r="M77" s="867">
        <f t="shared" ca="1" si="58"/>
        <v>10450.764012104846</v>
      </c>
      <c r="N77" s="867">
        <f t="shared" ca="1" si="58"/>
        <v>10450.764012104846</v>
      </c>
      <c r="O77" s="867">
        <f t="shared" ca="1" si="58"/>
        <v>10450.764012104846</v>
      </c>
      <c r="P77" s="31">
        <f t="shared" ca="1" si="59"/>
        <v>125409.16814525815</v>
      </c>
      <c r="Q77" s="106">
        <f t="shared" ca="1" si="60"/>
        <v>125409.16814525815</v>
      </c>
      <c r="R77" s="85">
        <f t="shared" ca="1" si="61"/>
        <v>0</v>
      </c>
    </row>
    <row r="78" spans="2:18">
      <c r="B78" s="7"/>
      <c r="C78" s="522"/>
      <c r="D78" s="867">
        <f t="shared" ref="D78:P78" ca="1" si="62">SUM(D70:D77)</f>
        <v>62596263.567633875</v>
      </c>
      <c r="E78" s="867">
        <f t="shared" ca="1" si="62"/>
        <v>64638160.751170568</v>
      </c>
      <c r="F78" s="867">
        <f t="shared" ca="1" si="62"/>
        <v>65663172.156017862</v>
      </c>
      <c r="G78" s="867">
        <f t="shared" ca="1" si="62"/>
        <v>65663319.978767581</v>
      </c>
      <c r="H78" s="867">
        <f t="shared" ca="1" si="62"/>
        <v>54865561.483243681</v>
      </c>
      <c r="I78" s="867">
        <f t="shared" ca="1" si="62"/>
        <v>50438553.833760373</v>
      </c>
      <c r="J78" s="867">
        <f t="shared" ca="1" si="62"/>
        <v>60431573.552069418</v>
      </c>
      <c r="K78" s="867">
        <f t="shared" ca="1" si="62"/>
        <v>67501595.143508792</v>
      </c>
      <c r="L78" s="867">
        <f t="shared" ca="1" si="62"/>
        <v>61844651.155349545</v>
      </c>
      <c r="M78" s="867">
        <f t="shared" ca="1" si="62"/>
        <v>65421812.011659369</v>
      </c>
      <c r="N78" s="867">
        <f t="shared" ca="1" si="62"/>
        <v>63679841.895761326</v>
      </c>
      <c r="O78" s="867">
        <f t="shared" ca="1" si="62"/>
        <v>67022475.471057609</v>
      </c>
      <c r="P78" s="867">
        <f t="shared" ca="1" si="62"/>
        <v>749766981.00000012</v>
      </c>
      <c r="Q78" s="106"/>
      <c r="R78" s="85"/>
    </row>
    <row r="79" spans="2:18">
      <c r="B79" s="7"/>
      <c r="C79" s="522"/>
      <c r="D79" s="867"/>
      <c r="E79" s="867"/>
      <c r="F79" s="867"/>
      <c r="G79" s="867"/>
      <c r="H79" s="867"/>
      <c r="I79" s="867"/>
      <c r="J79" s="867"/>
      <c r="K79" s="867"/>
      <c r="L79" s="867"/>
      <c r="M79" s="867"/>
      <c r="N79" s="867"/>
      <c r="O79" s="867"/>
      <c r="P79" s="31"/>
      <c r="Q79" s="106"/>
      <c r="R79" s="85"/>
    </row>
    <row r="80" spans="2:18">
      <c r="B80" s="7"/>
      <c r="C80" s="522" t="s">
        <v>58</v>
      </c>
      <c r="D80" s="867">
        <f ca="1">D34+Q34+Temperature!B80*1000</f>
        <v>19932198.873564247</v>
      </c>
      <c r="E80" s="867">
        <f ca="1">E34+R34+Temperature!B81*1000</f>
        <v>24384985.651594024</v>
      </c>
      <c r="F80" s="867">
        <f ca="1">F34+S34+Temperature!B82*1000</f>
        <v>19584565.933001325</v>
      </c>
      <c r="G80" s="867">
        <f ca="1">G34+T34+Temperature!B83*1000</f>
        <v>11433852.593634335</v>
      </c>
      <c r="H80" s="867">
        <f ca="1">H34+U34+Temperature!B84*1000</f>
        <v>2770284.5236316491</v>
      </c>
      <c r="I80" s="867">
        <f ca="1">I34+V34+Temperature!B85*1000</f>
        <v>395036.98618487781</v>
      </c>
      <c r="J80" s="867">
        <f ca="1">J34+W34+Temperature!B86*1000</f>
        <v>298350.80802787899</v>
      </c>
      <c r="K80" s="867">
        <f ca="1">K34+X34+Temperature!B87*1000</f>
        <v>297951.71464813594</v>
      </c>
      <c r="L80" s="867">
        <f ca="1">L34+Y34+Temperature!B88*1000</f>
        <v>572344.25026033155</v>
      </c>
      <c r="M80" s="867">
        <f ca="1">M34+Z34+Temperature!B89*1000</f>
        <v>1667199.9242453065</v>
      </c>
      <c r="N80" s="867">
        <f ca="1">N34+AA34+Temperature!B90*1000</f>
        <v>5198916.4600273268</v>
      </c>
      <c r="O80" s="867">
        <f ca="1">O34+AB34+Temperature!B91*1000</f>
        <v>14632538.168157829</v>
      </c>
      <c r="P80" s="31">
        <f ca="1">SUM(D80:O80)</f>
        <v>101168225.88697729</v>
      </c>
      <c r="Q80" s="106">
        <f ca="1">AE34</f>
        <v>101168225.88697726</v>
      </c>
      <c r="R80" s="85">
        <f ca="1">Q80-P80</f>
        <v>0</v>
      </c>
    </row>
    <row r="81" spans="2:18">
      <c r="B81" s="7"/>
      <c r="C81" s="522" t="s">
        <v>59</v>
      </c>
      <c r="D81" s="867">
        <f t="shared" ref="D81:O81" ca="1" si="63">D35+Q35</f>
        <v>12182223.455022613</v>
      </c>
      <c r="E81" s="867">
        <f t="shared" ca="1" si="63"/>
        <v>14047121.300642001</v>
      </c>
      <c r="F81" s="867">
        <f t="shared" ca="1" si="63"/>
        <v>11169444.342601042</v>
      </c>
      <c r="G81" s="867">
        <f t="shared" ca="1" si="63"/>
        <v>6382797.758305585</v>
      </c>
      <c r="H81" s="867">
        <f t="shared" ca="1" si="63"/>
        <v>1431067.276270767</v>
      </c>
      <c r="I81" s="867">
        <f t="shared" ca="1" si="63"/>
        <v>279777.00388494856</v>
      </c>
      <c r="J81" s="867">
        <f t="shared" ca="1" si="63"/>
        <v>221036.76838183255</v>
      </c>
      <c r="K81" s="867">
        <f t="shared" ca="1" si="63"/>
        <v>266596.05726897449</v>
      </c>
      <c r="L81" s="867">
        <f t="shared" ca="1" si="63"/>
        <v>470834.84089683351</v>
      </c>
      <c r="M81" s="867">
        <f t="shared" ca="1" si="63"/>
        <v>1115772.4548669204</v>
      </c>
      <c r="N81" s="867">
        <f t="shared" ca="1" si="63"/>
        <v>5600677.3049931917</v>
      </c>
      <c r="O81" s="867">
        <f t="shared" ca="1" si="63"/>
        <v>10460223.390088025</v>
      </c>
      <c r="P81" s="31">
        <f ca="1">SUM(D81:O81)</f>
        <v>63627571.953222737</v>
      </c>
      <c r="Q81" s="106">
        <f ca="1">AE35</f>
        <v>63627571.953222737</v>
      </c>
      <c r="R81" s="85">
        <f ca="1">Q81-P81</f>
        <v>0</v>
      </c>
    </row>
    <row r="82" spans="2:18">
      <c r="B82" s="7"/>
      <c r="C82" s="522"/>
      <c r="D82" s="867">
        <f t="shared" ref="D82:P82" ca="1" si="64">SUM(D80:D81)</f>
        <v>32114422.328586861</v>
      </c>
      <c r="E82" s="867">
        <f t="shared" ca="1" si="64"/>
        <v>38432106.952236027</v>
      </c>
      <c r="F82" s="867">
        <f t="shared" ca="1" si="64"/>
        <v>30754010.275602367</v>
      </c>
      <c r="G82" s="867">
        <f t="shared" ca="1" si="64"/>
        <v>17816650.35193992</v>
      </c>
      <c r="H82" s="867">
        <f t="shared" ca="1" si="64"/>
        <v>4201351.7999024158</v>
      </c>
      <c r="I82" s="867">
        <f t="shared" ca="1" si="64"/>
        <v>674813.99006982637</v>
      </c>
      <c r="J82" s="867">
        <f t="shared" ca="1" si="64"/>
        <v>519387.5764097115</v>
      </c>
      <c r="K82" s="867">
        <f t="shared" ca="1" si="64"/>
        <v>564547.77191711043</v>
      </c>
      <c r="L82" s="867">
        <f t="shared" ca="1" si="64"/>
        <v>1043179.0911571651</v>
      </c>
      <c r="M82" s="867">
        <f t="shared" ca="1" si="64"/>
        <v>2782972.3791122269</v>
      </c>
      <c r="N82" s="867">
        <f t="shared" ca="1" si="64"/>
        <v>10799593.765020519</v>
      </c>
      <c r="O82" s="867">
        <f t="shared" ca="1" si="64"/>
        <v>25092761.558245853</v>
      </c>
      <c r="P82" s="867">
        <f t="shared" ca="1" si="64"/>
        <v>164795797.84020001</v>
      </c>
      <c r="Q82" s="106">
        <f ca="1">AE36</f>
        <v>164795797.84020001</v>
      </c>
      <c r="R82" s="85">
        <f ca="1">Q82-P82</f>
        <v>0</v>
      </c>
    </row>
    <row r="83" spans="2:18">
      <c r="B83" s="7"/>
      <c r="C83" s="522"/>
      <c r="D83" s="867" t="s">
        <v>31</v>
      </c>
      <c r="E83" s="867" t="s">
        <v>31</v>
      </c>
      <c r="F83" s="867" t="s">
        <v>31</v>
      </c>
      <c r="G83" s="867" t="s">
        <v>31</v>
      </c>
      <c r="H83" s="867" t="s">
        <v>31</v>
      </c>
      <c r="I83" s="867" t="s">
        <v>31</v>
      </c>
      <c r="J83" s="867" t="s">
        <v>31</v>
      </c>
      <c r="K83" s="867" t="s">
        <v>31</v>
      </c>
      <c r="L83" s="867" t="s">
        <v>31</v>
      </c>
      <c r="M83" s="867" t="s">
        <v>31</v>
      </c>
      <c r="N83" s="867" t="s">
        <v>31</v>
      </c>
      <c r="O83" s="867" t="s">
        <v>31</v>
      </c>
      <c r="P83" s="31" t="s">
        <v>31</v>
      </c>
      <c r="Q83" s="7"/>
    </row>
    <row r="84" spans="2:18">
      <c r="B84" s="7"/>
      <c r="C84" s="522" t="s">
        <v>61</v>
      </c>
      <c r="D84" s="867">
        <f t="shared" ref="D84:O88" ca="1" si="65">D38+Q38</f>
        <v>12175.229720595938</v>
      </c>
      <c r="E84" s="867">
        <f t="shared" ca="1" si="65"/>
        <v>12424.668121979987</v>
      </c>
      <c r="F84" s="867">
        <f t="shared" ca="1" si="65"/>
        <v>12175.321657597604</v>
      </c>
      <c r="G84" s="867">
        <f t="shared" ca="1" si="65"/>
        <v>12175.321657597604</v>
      </c>
      <c r="H84" s="867">
        <f t="shared" ca="1" si="65"/>
        <v>12087.396308569758</v>
      </c>
      <c r="I84" s="867">
        <f t="shared" ca="1" si="65"/>
        <v>11950.350124078484</v>
      </c>
      <c r="J84" s="867">
        <f t="shared" ca="1" si="65"/>
        <v>11950.350124078484</v>
      </c>
      <c r="K84" s="867">
        <f t="shared" ca="1" si="65"/>
        <v>11950.350124078484</v>
      </c>
      <c r="L84" s="867">
        <f t="shared" ca="1" si="65"/>
        <v>11950.354298452285</v>
      </c>
      <c r="M84" s="867">
        <f t="shared" ca="1" si="65"/>
        <v>11950.352427318439</v>
      </c>
      <c r="N84" s="867">
        <f t="shared" ca="1" si="65"/>
        <v>11950.223154108651</v>
      </c>
      <c r="O84" s="867">
        <f t="shared" ca="1" si="65"/>
        <v>11950.223154108651</v>
      </c>
      <c r="P84" s="31">
        <f ca="1">SUM(D84:O84)</f>
        <v>144690.14087256437</v>
      </c>
      <c r="Q84" s="106">
        <f t="shared" ref="Q84:Q89" ca="1" si="66">AE38</f>
        <v>144690.1408725644</v>
      </c>
      <c r="R84" s="85">
        <f t="shared" ref="R84:R89" ca="1" si="67">Q84-P84</f>
        <v>0</v>
      </c>
    </row>
    <row r="85" spans="2:18">
      <c r="B85" s="7"/>
      <c r="C85" s="522" t="s">
        <v>62</v>
      </c>
      <c r="D85" s="867">
        <f t="shared" ca="1" si="65"/>
        <v>253177.24775972601</v>
      </c>
      <c r="E85" s="867">
        <f t="shared" ca="1" si="65"/>
        <v>254320.44687402938</v>
      </c>
      <c r="F85" s="867">
        <f t="shared" ca="1" si="65"/>
        <v>253180.41646222994</v>
      </c>
      <c r="G85" s="867">
        <f t="shared" ca="1" si="65"/>
        <v>253180.41646222994</v>
      </c>
      <c r="H85" s="867">
        <f t="shared" ca="1" si="65"/>
        <v>253180.41646222994</v>
      </c>
      <c r="I85" s="867">
        <f t="shared" ca="1" si="65"/>
        <v>253180.41646222994</v>
      </c>
      <c r="J85" s="867">
        <f t="shared" ca="1" si="65"/>
        <v>253471.65183944712</v>
      </c>
      <c r="K85" s="867">
        <f t="shared" ca="1" si="65"/>
        <v>253180.41646222994</v>
      </c>
      <c r="L85" s="867">
        <f t="shared" ca="1" si="65"/>
        <v>253158.54357685515</v>
      </c>
      <c r="M85" s="867">
        <f t="shared" ca="1" si="65"/>
        <v>252686.66083034288</v>
      </c>
      <c r="N85" s="867">
        <f t="shared" ca="1" si="65"/>
        <v>252685.59156926561</v>
      </c>
      <c r="O85" s="867">
        <f t="shared" ca="1" si="65"/>
        <v>252685.59156926561</v>
      </c>
      <c r="P85" s="31">
        <f ca="1">SUM(D85:O85)</f>
        <v>3038087.8163300818</v>
      </c>
      <c r="Q85" s="106">
        <f t="shared" ca="1" si="66"/>
        <v>3038087.8163300813</v>
      </c>
      <c r="R85" s="85">
        <f t="shared" ca="1" si="67"/>
        <v>0</v>
      </c>
    </row>
    <row r="86" spans="2:18">
      <c r="B86" s="7"/>
      <c r="C86" s="522" t="s">
        <v>63</v>
      </c>
      <c r="D86" s="867">
        <f t="shared" ca="1" si="65"/>
        <v>44372.335096346855</v>
      </c>
      <c r="E86" s="867">
        <f t="shared" ca="1" si="65"/>
        <v>48704.800592559608</v>
      </c>
      <c r="F86" s="867">
        <f t="shared" ca="1" si="65"/>
        <v>56618.89415546129</v>
      </c>
      <c r="G86" s="867">
        <f t="shared" ca="1" si="65"/>
        <v>62064.776578628676</v>
      </c>
      <c r="H86" s="867">
        <f t="shared" ca="1" si="65"/>
        <v>72667.915819359885</v>
      </c>
      <c r="I86" s="867">
        <f t="shared" ca="1" si="65"/>
        <v>87620.98189187418</v>
      </c>
      <c r="J86" s="867">
        <f t="shared" ca="1" si="65"/>
        <v>88146.876233756819</v>
      </c>
      <c r="K86" s="867">
        <f t="shared" ca="1" si="65"/>
        <v>76279.330870257007</v>
      </c>
      <c r="L86" s="867">
        <f t="shared" ca="1" si="65"/>
        <v>66824.531227621061</v>
      </c>
      <c r="M86" s="867">
        <f t="shared" ca="1" si="65"/>
        <v>58500.609847510073</v>
      </c>
      <c r="N86" s="867">
        <f t="shared" ca="1" si="65"/>
        <v>50931.634446468866</v>
      </c>
      <c r="O86" s="867">
        <f t="shared" ca="1" si="65"/>
        <v>45314.220079757739</v>
      </c>
      <c r="P86" s="31">
        <f ca="1">SUM(D86:O86)</f>
        <v>758046.90683960216</v>
      </c>
      <c r="Q86" s="106">
        <f t="shared" ca="1" si="66"/>
        <v>758046.90683960204</v>
      </c>
      <c r="R86" s="85">
        <f t="shared" ca="1" si="67"/>
        <v>0</v>
      </c>
    </row>
    <row r="87" spans="2:18">
      <c r="B87" s="7"/>
      <c r="C87" s="522" t="s">
        <v>64</v>
      </c>
      <c r="D87" s="867">
        <f t="shared" ca="1" si="65"/>
        <v>326684.74268144736</v>
      </c>
      <c r="E87" s="867">
        <f t="shared" ca="1" si="65"/>
        <v>337879.54231768323</v>
      </c>
      <c r="F87" s="867">
        <f t="shared" ca="1" si="65"/>
        <v>326940.99227612629</v>
      </c>
      <c r="G87" s="867">
        <f t="shared" ca="1" si="65"/>
        <v>327058.53854180715</v>
      </c>
      <c r="H87" s="867">
        <f t="shared" ca="1" si="65"/>
        <v>326975.97700304806</v>
      </c>
      <c r="I87" s="867">
        <f t="shared" ca="1" si="65"/>
        <v>322519.42640330468</v>
      </c>
      <c r="J87" s="867">
        <f t="shared" ca="1" si="65"/>
        <v>292137.61707168299</v>
      </c>
      <c r="K87" s="867">
        <f t="shared" ca="1" si="65"/>
        <v>291485.05320586119</v>
      </c>
      <c r="L87" s="867">
        <f t="shared" ca="1" si="65"/>
        <v>291507.27468014596</v>
      </c>
      <c r="M87" s="867">
        <f t="shared" ca="1" si="65"/>
        <v>291814.79562915344</v>
      </c>
      <c r="N87" s="867">
        <f t="shared" ca="1" si="65"/>
        <v>292057.44310185337</v>
      </c>
      <c r="O87" s="867">
        <f t="shared" ca="1" si="65"/>
        <v>292227.71499784722</v>
      </c>
      <c r="P87" s="31">
        <f ca="1">SUM(D87:O87)</f>
        <v>3719289.1179099609</v>
      </c>
      <c r="Q87" s="106">
        <f t="shared" ca="1" si="66"/>
        <v>3719289.1179099604</v>
      </c>
      <c r="R87" s="85">
        <f t="shared" ca="1" si="67"/>
        <v>0</v>
      </c>
    </row>
    <row r="88" spans="2:18">
      <c r="B88" s="7"/>
      <c r="C88" s="522" t="s">
        <v>65</v>
      </c>
      <c r="D88" s="867">
        <f t="shared" ca="1" si="65"/>
        <v>135424.61332369954</v>
      </c>
      <c r="E88" s="867">
        <f t="shared" ca="1" si="65"/>
        <v>142380.58686914775</v>
      </c>
      <c r="F88" s="867">
        <f t="shared" ca="1" si="65"/>
        <v>135367.37629735642</v>
      </c>
      <c r="G88" s="867">
        <f t="shared" ca="1" si="65"/>
        <v>135268.48432651183</v>
      </c>
      <c r="H88" s="867">
        <f t="shared" ca="1" si="65"/>
        <v>135112.3895070643</v>
      </c>
      <c r="I88" s="867">
        <f t="shared" ca="1" si="65"/>
        <v>133990.87444739442</v>
      </c>
      <c r="J88" s="867">
        <f t="shared" ca="1" si="65"/>
        <v>120922.29670943736</v>
      </c>
      <c r="K88" s="867">
        <f t="shared" ca="1" si="65"/>
        <v>114597.03181412321</v>
      </c>
      <c r="L88" s="867">
        <f t="shared" ca="1" si="65"/>
        <v>114351.83519966017</v>
      </c>
      <c r="M88" s="867">
        <f t="shared" ca="1" si="65"/>
        <v>114317.63525376943</v>
      </c>
      <c r="N88" s="867">
        <f t="shared" ca="1" si="65"/>
        <v>114045.98351413211</v>
      </c>
      <c r="O88" s="867">
        <f t="shared" ca="1" si="65"/>
        <v>113518.2907265853</v>
      </c>
      <c r="P88" s="31">
        <f ca="1">SUM(D88:O88)</f>
        <v>1509297.3979888819</v>
      </c>
      <c r="Q88" s="106">
        <f t="shared" ca="1" si="66"/>
        <v>1509297.3979888821</v>
      </c>
      <c r="R88" s="85">
        <f t="shared" ca="1" si="67"/>
        <v>0</v>
      </c>
    </row>
    <row r="89" spans="2:18">
      <c r="B89" s="7"/>
      <c r="D89" s="867">
        <f t="shared" ref="D89:P89" ca="1" si="68">SUM(D84:D88)</f>
        <v>771834.16858181579</v>
      </c>
      <c r="E89" s="867">
        <f t="shared" ca="1" si="68"/>
        <v>795710.04477539996</v>
      </c>
      <c r="F89" s="867">
        <f t="shared" ca="1" si="68"/>
        <v>784283.00084877154</v>
      </c>
      <c r="G89" s="867">
        <f t="shared" ca="1" si="68"/>
        <v>789747.53756677522</v>
      </c>
      <c r="H89" s="867">
        <f t="shared" ca="1" si="68"/>
        <v>800024.09510027198</v>
      </c>
      <c r="I89" s="867">
        <f t="shared" ca="1" si="68"/>
        <v>809262.04932888167</v>
      </c>
      <c r="J89" s="867">
        <f t="shared" ca="1" si="68"/>
        <v>766628.79197840276</v>
      </c>
      <c r="K89" s="867">
        <f t="shared" ca="1" si="68"/>
        <v>747492.18247654987</v>
      </c>
      <c r="L89" s="867">
        <f t="shared" ca="1" si="68"/>
        <v>737792.53898273455</v>
      </c>
      <c r="M89" s="867">
        <f t="shared" ca="1" si="68"/>
        <v>729270.05398809433</v>
      </c>
      <c r="N89" s="867">
        <f t="shared" ca="1" si="68"/>
        <v>721670.87578582857</v>
      </c>
      <c r="O89" s="867">
        <f t="shared" ca="1" si="68"/>
        <v>715696.04052756447</v>
      </c>
      <c r="P89" s="31">
        <f t="shared" ca="1" si="68"/>
        <v>9169411.3799410909</v>
      </c>
      <c r="Q89" s="106">
        <f t="shared" ca="1" si="66"/>
        <v>9169411.3799410909</v>
      </c>
      <c r="R89" s="85">
        <f t="shared" ca="1" si="67"/>
        <v>0</v>
      </c>
    </row>
    <row r="90" spans="2:18">
      <c r="B90" s="7"/>
      <c r="D90" s="7"/>
      <c r="E90" s="7"/>
      <c r="F90" s="7"/>
      <c r="G90" s="7"/>
      <c r="H90" s="7"/>
      <c r="I90" s="7"/>
      <c r="J90" s="7"/>
      <c r="K90" s="7"/>
      <c r="L90" s="7"/>
      <c r="M90" s="7"/>
      <c r="N90" s="7"/>
      <c r="O90" s="7"/>
      <c r="P90" s="104" t="s">
        <v>31</v>
      </c>
      <c r="Q90" s="7"/>
    </row>
    <row r="91" spans="2:18">
      <c r="B91" s="7"/>
      <c r="C91" s="522" t="s">
        <v>9</v>
      </c>
      <c r="D91" s="867">
        <f t="shared" ref="D91:O91" ca="1" si="69">D58+D68+D78+D82+D89</f>
        <v>331381961.98289037</v>
      </c>
      <c r="E91" s="867">
        <f t="shared" ca="1" si="69"/>
        <v>385090544.63986272</v>
      </c>
      <c r="F91" s="867">
        <f t="shared" ca="1" si="69"/>
        <v>349403735.0079453</v>
      </c>
      <c r="G91" s="867">
        <f t="shared" ca="1" si="69"/>
        <v>308356509.147416</v>
      </c>
      <c r="H91" s="867">
        <f t="shared" ca="1" si="69"/>
        <v>305917050.53249592</v>
      </c>
      <c r="I91" s="867">
        <f t="shared" ca="1" si="69"/>
        <v>405371195.42358249</v>
      </c>
      <c r="J91" s="867">
        <f t="shared" ca="1" si="69"/>
        <v>390984563.92630798</v>
      </c>
      <c r="K91" s="867">
        <f t="shared" ca="1" si="69"/>
        <v>325016205.53637058</v>
      </c>
      <c r="L91" s="867">
        <f t="shared" ca="1" si="69"/>
        <v>343778007.0761205</v>
      </c>
      <c r="M91" s="867">
        <f t="shared" ca="1" si="69"/>
        <v>301927503.81976813</v>
      </c>
      <c r="N91" s="867">
        <f t="shared" ca="1" si="69"/>
        <v>274393271.5407511</v>
      </c>
      <c r="O91" s="867">
        <f t="shared" ca="1" si="69"/>
        <v>309513077.46105021</v>
      </c>
      <c r="P91" s="867">
        <f ca="1">SUM(D91:O91)</f>
        <v>4031133626.0945611</v>
      </c>
      <c r="Q91" s="857">
        <f ca="1">AE44</f>
        <v>4031133626.0945611</v>
      </c>
      <c r="R91" s="85">
        <f ca="1">Q91-P91</f>
        <v>0</v>
      </c>
    </row>
    <row r="92" spans="2:18">
      <c r="B92" s="7"/>
      <c r="C92" s="858"/>
      <c r="D92" s="7"/>
      <c r="E92" s="7"/>
      <c r="F92" s="7"/>
      <c r="G92" s="7"/>
      <c r="H92" s="7"/>
      <c r="I92" s="7"/>
      <c r="J92" s="7"/>
      <c r="K92" s="7"/>
      <c r="L92" s="7"/>
      <c r="M92" s="7"/>
      <c r="N92" s="7"/>
      <c r="O92" s="7"/>
      <c r="P92" s="7"/>
    </row>
    <row r="93" spans="2:18">
      <c r="B93" s="7"/>
      <c r="C93" s="858"/>
      <c r="D93" s="7"/>
      <c r="E93" s="7"/>
      <c r="F93" s="7"/>
      <c r="G93" s="7"/>
      <c r="H93" s="7"/>
      <c r="I93" s="7"/>
      <c r="J93" s="7"/>
      <c r="K93" s="7"/>
      <c r="L93" s="7"/>
      <c r="M93" s="7"/>
      <c r="N93" s="7"/>
      <c r="O93" s="7"/>
      <c r="P93" s="7"/>
    </row>
    <row r="94" spans="2:18">
      <c r="B94" s="7"/>
      <c r="C94" s="858"/>
      <c r="D94" s="7"/>
      <c r="E94" s="7"/>
      <c r="F94" s="7"/>
      <c r="G94" s="7"/>
      <c r="H94" s="7"/>
      <c r="I94" s="7"/>
      <c r="J94" s="7"/>
      <c r="K94" s="7"/>
      <c r="L94" s="7"/>
      <c r="M94" s="7"/>
      <c r="N94" s="7"/>
      <c r="O94" s="7"/>
      <c r="P94" s="7"/>
    </row>
    <row r="95" spans="2:18">
      <c r="C95" s="856"/>
      <c r="D95" s="7"/>
      <c r="E95" s="7"/>
      <c r="F95" s="7"/>
      <c r="G95" s="7"/>
      <c r="H95" s="7"/>
      <c r="I95" s="7"/>
      <c r="J95" s="7"/>
      <c r="K95" s="7"/>
      <c r="L95" s="7"/>
      <c r="M95" s="7"/>
      <c r="N95" s="7"/>
      <c r="O95" s="7"/>
      <c r="P95" s="7"/>
    </row>
    <row r="96" spans="2:18">
      <c r="C96" s="4" t="s">
        <v>903</v>
      </c>
      <c r="D96" s="419">
        <f ca="1">D98*$Q$96</f>
        <v>46766946.328801043</v>
      </c>
      <c r="E96" s="419">
        <f t="shared" ref="E96:O96" ca="1" si="70">E98*$Q$96</f>
        <v>54950481.783982567</v>
      </c>
      <c r="F96" s="419">
        <f t="shared" ca="1" si="70"/>
        <v>49004842.055613108</v>
      </c>
      <c r="G96" s="419">
        <f t="shared" ca="1" si="70"/>
        <v>42265650.682665341</v>
      </c>
      <c r="H96" s="419">
        <f t="shared" ca="1" si="70"/>
        <v>41926263.926411331</v>
      </c>
      <c r="I96" s="419">
        <f t="shared" ca="1" si="70"/>
        <v>52767322.394012384</v>
      </c>
      <c r="J96" s="419">
        <f t="shared" ca="1" si="70"/>
        <v>50556579.075996682</v>
      </c>
      <c r="K96" s="419">
        <f t="shared" ca="1" si="70"/>
        <v>46037523.261693388</v>
      </c>
      <c r="L96" s="419">
        <f t="shared" ca="1" si="70"/>
        <v>48319428.753779218</v>
      </c>
      <c r="M96" s="419">
        <f t="shared" ca="1" si="70"/>
        <v>40228773.467572562</v>
      </c>
      <c r="N96" s="419">
        <f t="shared" ca="1" si="70"/>
        <v>37672360.510398209</v>
      </c>
      <c r="O96" s="419">
        <f t="shared" ca="1" si="70"/>
        <v>42826050.945697278</v>
      </c>
      <c r="P96" s="419">
        <f ca="1">SUM(D96:O96)</f>
        <v>553322223.18662322</v>
      </c>
      <c r="Q96" s="870">
        <v>0.99744581090047468</v>
      </c>
    </row>
    <row r="97" spans="3:21">
      <c r="C97" s="4" t="s">
        <v>904</v>
      </c>
      <c r="D97" s="419">
        <f ca="1">D98-D96</f>
        <v>119757.50785224885</v>
      </c>
      <c r="E97" s="419">
        <f t="shared" ref="E97:O97" ca="1" si="71">E98-E96</f>
        <v>140713.33004005998</v>
      </c>
      <c r="F97" s="419">
        <f t="shared" ca="1" si="71"/>
        <v>125488.15387716144</v>
      </c>
      <c r="G97" s="419">
        <f t="shared" ca="1" si="71"/>
        <v>108230.90645951778</v>
      </c>
      <c r="H97" s="419">
        <f t="shared" ca="1" si="71"/>
        <v>107361.82871727645</v>
      </c>
      <c r="I97" s="419">
        <f t="shared" ca="1" si="71"/>
        <v>135122.84897787869</v>
      </c>
      <c r="J97" s="419">
        <f t="shared" ca="1" si="71"/>
        <v>129461.73293226212</v>
      </c>
      <c r="K97" s="419">
        <f t="shared" ca="1" si="71"/>
        <v>117889.65254964679</v>
      </c>
      <c r="L97" s="419">
        <f t="shared" ca="1" si="71"/>
        <v>123732.99568703026</v>
      </c>
      <c r="M97" s="419">
        <f t="shared" ca="1" si="71"/>
        <v>103015.01450528204</v>
      </c>
      <c r="N97" s="419">
        <f t="shared" ca="1" si="71"/>
        <v>96468.731952644885</v>
      </c>
      <c r="O97" s="419">
        <f t="shared" ca="1" si="71"/>
        <v>109665.94004987925</v>
      </c>
      <c r="P97" s="419">
        <f ca="1">SUM(D97:O97)</f>
        <v>1416908.6436008886</v>
      </c>
      <c r="Q97" s="870">
        <v>2.5541890995253208E-3</v>
      </c>
      <c r="U97" s="4" t="s">
        <v>31</v>
      </c>
    </row>
    <row r="98" spans="3:21">
      <c r="C98" s="856" t="s">
        <v>905</v>
      </c>
      <c r="D98" s="419">
        <f ca="1">D57+D60+D61+D62+D70+D71+D72</f>
        <v>46886703.836653292</v>
      </c>
      <c r="E98" s="419">
        <f t="shared" ref="E98:O98" ca="1" si="72">E57+E60+E61+E62+E70+E71+E72</f>
        <v>55091195.114022627</v>
      </c>
      <c r="F98" s="419">
        <f t="shared" ca="1" si="72"/>
        <v>49130330.209490269</v>
      </c>
      <c r="G98" s="419">
        <f t="shared" ca="1" si="72"/>
        <v>42373881.589124858</v>
      </c>
      <c r="H98" s="419">
        <f t="shared" ca="1" si="72"/>
        <v>42033625.755128607</v>
      </c>
      <c r="I98" s="419">
        <f t="shared" ca="1" si="72"/>
        <v>52902445.242990263</v>
      </c>
      <c r="J98" s="419">
        <f t="shared" ca="1" si="72"/>
        <v>50686040.808928944</v>
      </c>
      <c r="K98" s="419">
        <f t="shared" ca="1" si="72"/>
        <v>46155412.914243035</v>
      </c>
      <c r="L98" s="419">
        <f t="shared" ca="1" si="72"/>
        <v>48443161.749466248</v>
      </c>
      <c r="M98" s="419">
        <f t="shared" ca="1" si="72"/>
        <v>40331788.482077844</v>
      </c>
      <c r="N98" s="419">
        <f t="shared" ca="1" si="72"/>
        <v>37768829.242350854</v>
      </c>
      <c r="O98" s="419">
        <f t="shared" ca="1" si="72"/>
        <v>42935716.885747157</v>
      </c>
      <c r="P98" s="419">
        <f ca="1">SUM(D98:O98)</f>
        <v>554739131.83022404</v>
      </c>
    </row>
    <row r="100" spans="3:21">
      <c r="C100" s="4" t="s">
        <v>906</v>
      </c>
      <c r="D100" s="419">
        <f ca="1">D102*$Q$100</f>
        <v>75140717.816488996</v>
      </c>
      <c r="E100" s="419">
        <f t="shared" ref="E100:O100" ca="1" si="73">E102*$Q$100</f>
        <v>82722902.289657965</v>
      </c>
      <c r="F100" s="419">
        <f t="shared" ca="1" si="73"/>
        <v>88782835.384534284</v>
      </c>
      <c r="G100" s="419">
        <f t="shared" ca="1" si="73"/>
        <v>87936263.604985222</v>
      </c>
      <c r="H100" s="419">
        <f t="shared" ca="1" si="73"/>
        <v>83056082.273702875</v>
      </c>
      <c r="I100" s="419">
        <f t="shared" ca="1" si="73"/>
        <v>86856792.919524759</v>
      </c>
      <c r="J100" s="419">
        <f t="shared" ca="1" si="73"/>
        <v>79780481.747581333</v>
      </c>
      <c r="K100" s="419">
        <f t="shared" ca="1" si="73"/>
        <v>69987876.968900457</v>
      </c>
      <c r="L100" s="419">
        <f t="shared" ca="1" si="73"/>
        <v>70953877.723770618</v>
      </c>
      <c r="M100" s="419">
        <f t="shared" ca="1" si="73"/>
        <v>68517399.670240581</v>
      </c>
      <c r="N100" s="419">
        <f t="shared" ca="1" si="73"/>
        <v>66428708.143036015</v>
      </c>
      <c r="O100" s="419">
        <f t="shared" ca="1" si="73"/>
        <v>72866438.428446174</v>
      </c>
      <c r="P100" s="419">
        <f ca="1">SUM(D100:O100)</f>
        <v>933030376.9708693</v>
      </c>
      <c r="Q100" s="870">
        <v>0.98137149933813206</v>
      </c>
    </row>
    <row r="101" spans="3:21">
      <c r="C101" s="4" t="s">
        <v>907</v>
      </c>
      <c r="D101" s="419">
        <f ca="1">D102-D100</f>
        <v>1426329.2876568586</v>
      </c>
      <c r="E101" s="419">
        <f t="shared" ref="E101:P101" ca="1" si="74">E102-E100</f>
        <v>1570255.1389497519</v>
      </c>
      <c r="F101" s="419">
        <f t="shared" ca="1" si="74"/>
        <v>1685285.4488221258</v>
      </c>
      <c r="G101" s="419">
        <f t="shared" ca="1" si="74"/>
        <v>1669215.7311196178</v>
      </c>
      <c r="H101" s="419">
        <f t="shared" ca="1" si="74"/>
        <v>1576579.5976868272</v>
      </c>
      <c r="I101" s="419">
        <f t="shared" ca="1" si="74"/>
        <v>1648725.1010247767</v>
      </c>
      <c r="J101" s="419">
        <f t="shared" ca="1" si="74"/>
        <v>1514401.7918202132</v>
      </c>
      <c r="K101" s="419">
        <f t="shared" ca="1" si="74"/>
        <v>1328517.5015956759</v>
      </c>
      <c r="L101" s="419">
        <f t="shared" ca="1" si="74"/>
        <v>1346854.2331123352</v>
      </c>
      <c r="M101" s="419">
        <f t="shared" ca="1" si="74"/>
        <v>1300604.7413924038</v>
      </c>
      <c r="N101" s="419">
        <f t="shared" ca="1" si="74"/>
        <v>1260956.9713856205</v>
      </c>
      <c r="O101" s="419">
        <f t="shared" ca="1" si="74"/>
        <v>1383158.6686670035</v>
      </c>
      <c r="P101" s="419">
        <f t="shared" ca="1" si="74"/>
        <v>17710884.213233232</v>
      </c>
      <c r="Q101" s="870">
        <v>1.86285006618679E-2</v>
      </c>
    </row>
    <row r="102" spans="3:21">
      <c r="C102" s="856" t="s">
        <v>908</v>
      </c>
      <c r="D102" s="419">
        <f ca="1">D64+D73</f>
        <v>76567047.104145855</v>
      </c>
      <c r="E102" s="419">
        <f t="shared" ref="E102:O102" ca="1" si="75">E64+E73</f>
        <v>84293157.428607717</v>
      </c>
      <c r="F102" s="419">
        <f t="shared" ca="1" si="75"/>
        <v>90468120.83335641</v>
      </c>
      <c r="G102" s="419">
        <f t="shared" ca="1" si="75"/>
        <v>89605479.33610484</v>
      </c>
      <c r="H102" s="419">
        <f t="shared" ca="1" si="75"/>
        <v>84632661.871389702</v>
      </c>
      <c r="I102" s="419">
        <f t="shared" ca="1" si="75"/>
        <v>88505518.020549536</v>
      </c>
      <c r="J102" s="419">
        <f t="shared" ca="1" si="75"/>
        <v>81294883.539401546</v>
      </c>
      <c r="K102" s="419">
        <f t="shared" ca="1" si="75"/>
        <v>71316394.470496133</v>
      </c>
      <c r="L102" s="419">
        <f t="shared" ca="1" si="75"/>
        <v>72300731.956882954</v>
      </c>
      <c r="M102" s="419">
        <f t="shared" ca="1" si="75"/>
        <v>69818004.411632985</v>
      </c>
      <c r="N102" s="419">
        <f t="shared" ca="1" si="75"/>
        <v>67689665.114421636</v>
      </c>
      <c r="O102" s="419">
        <f t="shared" ca="1" si="75"/>
        <v>74249597.097113177</v>
      </c>
      <c r="P102" s="419">
        <f ca="1">SUM(D102:O102)</f>
        <v>950741261.18410254</v>
      </c>
    </row>
    <row r="104" spans="3:21">
      <c r="C104" s="4" t="s">
        <v>909</v>
      </c>
      <c r="D104" s="419">
        <f ca="1">D106*$Q$104</f>
        <v>30380663.886203475</v>
      </c>
      <c r="E104" s="419">
        <f t="shared" ref="E104:O104" ca="1" si="76">E106*$Q$104</f>
        <v>29812662.963205751</v>
      </c>
      <c r="F104" s="419">
        <f t="shared" ca="1" si="76"/>
        <v>31094356.687757965</v>
      </c>
      <c r="G104" s="419">
        <f t="shared" ca="1" si="76"/>
        <v>29912610.567427393</v>
      </c>
      <c r="H104" s="419">
        <f t="shared" ca="1" si="76"/>
        <v>29744303.12624523</v>
      </c>
      <c r="I104" s="419">
        <f t="shared" ca="1" si="76"/>
        <v>28038071.382481955</v>
      </c>
      <c r="J104" s="419">
        <f t="shared" ca="1" si="76"/>
        <v>25319050.420267615</v>
      </c>
      <c r="K104" s="419">
        <f t="shared" ca="1" si="76"/>
        <v>24805272.045560118</v>
      </c>
      <c r="L104" s="419">
        <f t="shared" ca="1" si="76"/>
        <v>23721363.077873435</v>
      </c>
      <c r="M104" s="419">
        <f t="shared" ca="1" si="76"/>
        <v>23891469.663220163</v>
      </c>
      <c r="N104" s="419">
        <f t="shared" ca="1" si="76"/>
        <v>24256321.645107862</v>
      </c>
      <c r="O104" s="419">
        <f t="shared" ca="1" si="76"/>
        <v>26431626.283813555</v>
      </c>
      <c r="P104" s="419">
        <f ca="1">SUM(D104:O104)</f>
        <v>327407771.74916452</v>
      </c>
      <c r="Q104" s="870">
        <v>0.81813988711980001</v>
      </c>
    </row>
    <row r="105" spans="3:21">
      <c r="C105" s="4" t="s">
        <v>910</v>
      </c>
      <c r="D105" s="419">
        <f ca="1">D106-D104</f>
        <v>6753161.7156215608</v>
      </c>
      <c r="E105" s="419">
        <f t="shared" ref="E105:O105" ca="1" si="77">E106-E104</f>
        <v>6626903.7081601806</v>
      </c>
      <c r="F105" s="419">
        <f t="shared" ca="1" si="77"/>
        <v>6911804.822376091</v>
      </c>
      <c r="G105" s="419">
        <f t="shared" ca="1" si="77"/>
        <v>6649120.5476909392</v>
      </c>
      <c r="H105" s="419">
        <f t="shared" ca="1" si="77"/>
        <v>6611708.3511535972</v>
      </c>
      <c r="I105" s="419">
        <f t="shared" ca="1" si="77"/>
        <v>6232438.8614176288</v>
      </c>
      <c r="J105" s="419">
        <f t="shared" ca="1" si="77"/>
        <v>5628041.6588161103</v>
      </c>
      <c r="K105" s="419">
        <f t="shared" ca="1" si="77"/>
        <v>5513836.5030833334</v>
      </c>
      <c r="L105" s="419">
        <f t="shared" ca="1" si="77"/>
        <v>5272899.9464887083</v>
      </c>
      <c r="M105" s="419">
        <f t="shared" ca="1" si="77"/>
        <v>5310712.0655405335</v>
      </c>
      <c r="N105" s="419">
        <f t="shared" ca="1" si="77"/>
        <v>5391813.1384197064</v>
      </c>
      <c r="O105" s="419">
        <f t="shared" ca="1" si="77"/>
        <v>5875350.4324349426</v>
      </c>
      <c r="P105" s="419">
        <f t="shared" ref="P105" ca="1" si="78">P106-P104</f>
        <v>72777791.751203418</v>
      </c>
      <c r="Q105" s="870">
        <v>1.86285006618679E-2</v>
      </c>
    </row>
    <row r="106" spans="3:21">
      <c r="C106" s="856" t="s">
        <v>911</v>
      </c>
      <c r="D106" s="419">
        <f ca="1">D65+D76</f>
        <v>37133825.601825036</v>
      </c>
      <c r="E106" s="419">
        <f t="shared" ref="E106:O106" ca="1" si="79">E65+E76</f>
        <v>36439566.671365932</v>
      </c>
      <c r="F106" s="419">
        <f t="shared" ca="1" si="79"/>
        <v>38006161.510134056</v>
      </c>
      <c r="G106" s="419">
        <f t="shared" ca="1" si="79"/>
        <v>36561731.115118332</v>
      </c>
      <c r="H106" s="419">
        <f t="shared" ca="1" si="79"/>
        <v>36356011.477398828</v>
      </c>
      <c r="I106" s="419">
        <f t="shared" ca="1" si="79"/>
        <v>34270510.243899584</v>
      </c>
      <c r="J106" s="419">
        <f t="shared" ca="1" si="79"/>
        <v>30947092.079083726</v>
      </c>
      <c r="K106" s="419">
        <f t="shared" ca="1" si="79"/>
        <v>30319108.548643451</v>
      </c>
      <c r="L106" s="419">
        <f t="shared" ca="1" si="79"/>
        <v>28994263.024362143</v>
      </c>
      <c r="M106" s="419">
        <f t="shared" ca="1" si="79"/>
        <v>29202181.728760697</v>
      </c>
      <c r="N106" s="419">
        <f t="shared" ca="1" si="79"/>
        <v>29648134.783527568</v>
      </c>
      <c r="O106" s="419">
        <f t="shared" ca="1" si="79"/>
        <v>32306976.716248497</v>
      </c>
      <c r="P106" s="419">
        <f ca="1">SUM(D106:O106)</f>
        <v>400185563.50036794</v>
      </c>
    </row>
    <row r="109" spans="3:21">
      <c r="P109" s="4" t="s">
        <v>31</v>
      </c>
    </row>
    <row r="110" spans="3:21">
      <c r="N110" s="4" t="s">
        <v>31</v>
      </c>
    </row>
  </sheetData>
  <phoneticPr fontId="23" type="noConversion"/>
  <pageMargins left="0.75" right="0.75" top="1" bottom="1" header="0.5" footer="0.5"/>
  <pageSetup scale="45" fitToWidth="2" fitToHeight="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AJ93"/>
  <sheetViews>
    <sheetView workbookViewId="0">
      <selection activeCell="B8" sqref="B8"/>
    </sheetView>
  </sheetViews>
  <sheetFormatPr defaultRowHeight="15.75"/>
  <cols>
    <col min="1" max="1" width="4.875" style="428" bestFit="1" customWidth="1"/>
    <col min="2" max="2" width="2.875" style="4" customWidth="1"/>
    <col min="3" max="3" width="16.125" style="4" customWidth="1"/>
    <col min="4" max="4" width="15" style="4" bestFit="1" customWidth="1"/>
    <col min="5" max="11" width="15.375" style="4" bestFit="1" customWidth="1"/>
    <col min="12" max="12" width="16" style="4" bestFit="1" customWidth="1"/>
    <col min="13" max="15" width="15.375" style="4" bestFit="1" customWidth="1"/>
    <col min="16" max="16" width="17" style="4" bestFit="1" customWidth="1"/>
    <col min="17" max="17" width="17.625" style="7" bestFit="1" customWidth="1"/>
    <col min="18" max="19" width="13.25" style="4" customWidth="1"/>
    <col min="20" max="20" width="13.25" style="79" customWidth="1"/>
    <col min="21" max="28" width="13.25" style="4" customWidth="1"/>
    <col min="29" max="29" width="15.125" style="4" bestFit="1" customWidth="1"/>
    <col min="30" max="30" width="13.875" style="4" bestFit="1" customWidth="1"/>
    <col min="31" max="31" width="16.5" style="4" customWidth="1"/>
    <col min="32" max="32" width="18.125" style="4" bestFit="1" customWidth="1"/>
    <col min="33" max="33" width="17.625" style="4" bestFit="1" customWidth="1"/>
    <col min="34" max="34" width="9" style="4"/>
    <col min="35" max="35" width="13.75" style="4" bestFit="1" customWidth="1"/>
    <col min="36" max="36" width="13.25" style="4" bestFit="1" customWidth="1"/>
    <col min="37" max="16384" width="9" style="4"/>
  </cols>
  <sheetData>
    <row r="2" spans="1:36">
      <c r="C2" s="4" t="s">
        <v>562</v>
      </c>
    </row>
    <row r="3" spans="1:36">
      <c r="C3" s="7" t="s">
        <v>563</v>
      </c>
      <c r="D3" s="7"/>
      <c r="E3" s="7"/>
      <c r="F3" s="7"/>
      <c r="G3" s="7"/>
      <c r="H3" s="7"/>
      <c r="I3" s="7"/>
      <c r="J3" s="7"/>
      <c r="K3" s="7"/>
      <c r="L3" s="7"/>
      <c r="M3" s="7"/>
      <c r="N3" s="7"/>
      <c r="O3" s="7"/>
      <c r="P3" s="7"/>
      <c r="Q3" s="39"/>
    </row>
    <row r="4" spans="1:36">
      <c r="C4" s="7"/>
      <c r="D4" s="7">
        <v>201807</v>
      </c>
      <c r="E4" s="7">
        <v>201808</v>
      </c>
      <c r="F4" s="7">
        <v>201809</v>
      </c>
      <c r="G4" s="7">
        <v>201810</v>
      </c>
      <c r="H4" s="7">
        <v>201811</v>
      </c>
      <c r="I4" s="7">
        <v>201812</v>
      </c>
      <c r="J4" s="7">
        <v>201901</v>
      </c>
      <c r="K4" s="7">
        <v>201902</v>
      </c>
      <c r="L4" s="7">
        <v>201903</v>
      </c>
      <c r="M4" s="7">
        <v>201904</v>
      </c>
      <c r="N4" s="7">
        <v>201905</v>
      </c>
      <c r="O4" s="7">
        <v>201906</v>
      </c>
      <c r="P4" s="7" t="s">
        <v>35</v>
      </c>
      <c r="R4" s="7"/>
      <c r="S4" s="7"/>
      <c r="T4" s="7"/>
      <c r="U4" s="7"/>
      <c r="V4" s="7"/>
      <c r="W4" s="7"/>
      <c r="X4" s="7"/>
      <c r="Y4" s="7"/>
      <c r="Z4" s="7"/>
      <c r="AA4" s="7"/>
      <c r="AB4" s="7"/>
      <c r="AC4" s="7"/>
      <c r="AF4" s="79"/>
    </row>
    <row r="5" spans="1:36" ht="17.25" customHeight="1">
      <c r="B5" s="7" t="s">
        <v>258</v>
      </c>
      <c r="D5" s="7"/>
      <c r="E5" s="7"/>
      <c r="F5" s="7"/>
      <c r="G5" s="7"/>
      <c r="H5" s="7"/>
      <c r="I5" s="7"/>
      <c r="J5" s="7"/>
      <c r="K5" s="7"/>
      <c r="L5" s="7"/>
      <c r="M5" s="7"/>
      <c r="N5" s="7"/>
      <c r="O5" s="7"/>
      <c r="P5" s="7"/>
      <c r="R5" s="7"/>
      <c r="S5" s="7"/>
      <c r="T5" s="7"/>
      <c r="U5" s="7"/>
      <c r="V5" s="7"/>
      <c r="W5" s="7"/>
      <c r="X5" s="7"/>
      <c r="Y5" s="7"/>
      <c r="Z5" s="7"/>
      <c r="AA5" s="7"/>
      <c r="AB5" s="7"/>
      <c r="AC5" s="7"/>
      <c r="AF5" s="79"/>
    </row>
    <row r="6" spans="1:36">
      <c r="A6" s="428">
        <v>16</v>
      </c>
      <c r="C6" s="4" t="s">
        <v>48</v>
      </c>
      <c r="D6" s="853">
        <v>10191532.4</v>
      </c>
      <c r="E6" s="853">
        <v>12488932.85</v>
      </c>
      <c r="F6" s="853">
        <v>9190627.8399999999</v>
      </c>
      <c r="G6" s="853">
        <v>7705631.0599999996</v>
      </c>
      <c r="H6" s="853">
        <v>10653117.93</v>
      </c>
      <c r="I6" s="853">
        <v>16183194.41</v>
      </c>
      <c r="J6" s="853">
        <v>16087567.52</v>
      </c>
      <c r="K6" s="853">
        <v>16663321.98</v>
      </c>
      <c r="L6" s="853">
        <v>17216355.449999999</v>
      </c>
      <c r="M6" s="853">
        <v>9496399.7400000002</v>
      </c>
      <c r="N6" s="853">
        <v>7276308.0899999999</v>
      </c>
      <c r="O6" s="853">
        <v>8009713.2399999993</v>
      </c>
      <c r="P6" s="435">
        <f t="shared" ref="P6:P12" si="0">SUM(D6:O6)</f>
        <v>141162702.50999999</v>
      </c>
      <c r="Q6" s="854"/>
      <c r="R6" s="336"/>
      <c r="S6" s="336"/>
      <c r="T6" s="336"/>
      <c r="U6" s="336"/>
      <c r="V6" s="336"/>
      <c r="W6" s="336"/>
      <c r="X6" s="336"/>
      <c r="Y6" s="336"/>
      <c r="Z6" s="336"/>
      <c r="AA6" s="336"/>
      <c r="AB6" s="336"/>
      <c r="AC6" s="336"/>
      <c r="AD6" s="419"/>
      <c r="AE6" s="450"/>
      <c r="AF6" s="106"/>
      <c r="AG6" s="85"/>
      <c r="AI6" s="435"/>
      <c r="AJ6" s="436"/>
    </row>
    <row r="7" spans="1:36">
      <c r="A7" s="428">
        <v>17</v>
      </c>
      <c r="C7" s="4" t="s">
        <v>93</v>
      </c>
      <c r="D7" s="855">
        <v>385054.76</v>
      </c>
      <c r="E7" s="855">
        <v>449008.13</v>
      </c>
      <c r="F7" s="855">
        <v>349331.45</v>
      </c>
      <c r="G7" s="855">
        <v>356290.49</v>
      </c>
      <c r="H7" s="855">
        <v>568895.21</v>
      </c>
      <c r="I7" s="855">
        <v>928558.46</v>
      </c>
      <c r="J7" s="855">
        <v>979568.11</v>
      </c>
      <c r="K7" s="855">
        <v>1080005.17</v>
      </c>
      <c r="L7" s="855">
        <v>1009800.03</v>
      </c>
      <c r="M7" s="855">
        <v>530729.41</v>
      </c>
      <c r="N7" s="855">
        <v>362382.19</v>
      </c>
      <c r="O7" s="855">
        <v>359877.9</v>
      </c>
      <c r="P7" s="435">
        <f t="shared" si="0"/>
        <v>7359501.3100000005</v>
      </c>
      <c r="Q7" s="336"/>
      <c r="R7" s="336"/>
      <c r="S7" s="336"/>
      <c r="T7" s="336"/>
      <c r="U7" s="336"/>
      <c r="V7" s="336"/>
      <c r="W7" s="336"/>
      <c r="X7" s="336"/>
      <c r="Y7" s="336"/>
      <c r="Z7" s="336"/>
      <c r="AA7" s="336"/>
      <c r="AB7" s="336"/>
      <c r="AC7" s="336"/>
      <c r="AD7" s="419"/>
      <c r="AE7" s="450"/>
      <c r="AF7" s="106"/>
      <c r="AG7" s="85"/>
      <c r="AI7" s="435"/>
      <c r="AJ7" s="436"/>
    </row>
    <row r="8" spans="1:36">
      <c r="A8" s="428">
        <v>18</v>
      </c>
      <c r="C8" s="4" t="s">
        <v>49</v>
      </c>
      <c r="D8" s="855">
        <v>18112.71</v>
      </c>
      <c r="E8" s="855">
        <v>20009.62</v>
      </c>
      <c r="F8" s="855">
        <v>17037.12</v>
      </c>
      <c r="G8" s="855">
        <v>14435.8</v>
      </c>
      <c r="H8" s="855">
        <v>16514.43</v>
      </c>
      <c r="I8" s="855">
        <v>21715.99</v>
      </c>
      <c r="J8" s="855">
        <v>21394.65</v>
      </c>
      <c r="K8" s="855">
        <v>21734.57</v>
      </c>
      <c r="L8" s="855">
        <v>22682.3</v>
      </c>
      <c r="M8" s="855">
        <v>13965.06</v>
      </c>
      <c r="N8" s="855">
        <v>12827.54</v>
      </c>
      <c r="O8" s="855">
        <v>15464.38</v>
      </c>
      <c r="P8" s="435">
        <f t="shared" si="0"/>
        <v>215894.17</v>
      </c>
      <c r="Q8" s="336"/>
      <c r="R8" s="336"/>
      <c r="S8" s="336"/>
      <c r="T8" s="336"/>
      <c r="U8" s="336"/>
      <c r="V8" s="336"/>
      <c r="W8" s="336"/>
      <c r="X8" s="336"/>
      <c r="Y8" s="336"/>
      <c r="Z8" s="336"/>
      <c r="AA8" s="336"/>
      <c r="AB8" s="336"/>
      <c r="AC8" s="336"/>
      <c r="AD8" s="419"/>
      <c r="AE8" s="450"/>
      <c r="AF8" s="106"/>
      <c r="AG8" s="85"/>
      <c r="AI8" s="435"/>
      <c r="AJ8" s="436"/>
    </row>
    <row r="9" spans="1:36">
      <c r="A9" s="428" t="s">
        <v>154</v>
      </c>
      <c r="C9" s="7" t="s">
        <v>155</v>
      </c>
      <c r="D9" s="855">
        <v>3665.21</v>
      </c>
      <c r="E9" s="855">
        <v>4009.42</v>
      </c>
      <c r="F9" s="855">
        <v>2663.33</v>
      </c>
      <c r="G9" s="855">
        <v>2172.17</v>
      </c>
      <c r="H9" s="855">
        <v>2220.9</v>
      </c>
      <c r="I9" s="855">
        <v>2944.56</v>
      </c>
      <c r="J9" s="855">
        <v>2854.9</v>
      </c>
      <c r="K9" s="855">
        <v>2874.77</v>
      </c>
      <c r="L9" s="855">
        <v>3250.29</v>
      </c>
      <c r="M9" s="855">
        <v>2069.86</v>
      </c>
      <c r="N9" s="855">
        <v>1792.82</v>
      </c>
      <c r="O9" s="855">
        <v>1841.81</v>
      </c>
      <c r="P9" s="435">
        <f t="shared" si="0"/>
        <v>32360.040000000005</v>
      </c>
      <c r="Q9" s="336"/>
      <c r="R9" s="336"/>
      <c r="S9" s="336"/>
      <c r="T9" s="336"/>
      <c r="U9" s="336"/>
      <c r="V9" s="336"/>
      <c r="W9" s="336"/>
      <c r="X9" s="336"/>
      <c r="Y9" s="336"/>
      <c r="Z9" s="336"/>
      <c r="AA9" s="336"/>
      <c r="AB9" s="336"/>
      <c r="AC9" s="336"/>
      <c r="AE9" s="450"/>
      <c r="AF9" s="106"/>
      <c r="AG9" s="85"/>
      <c r="AI9" s="435"/>
      <c r="AJ9" s="436"/>
    </row>
    <row r="10" spans="1:36">
      <c r="A10" s="428" t="s">
        <v>153</v>
      </c>
      <c r="C10" s="4" t="s">
        <v>50</v>
      </c>
      <c r="D10" s="855">
        <v>12744.09</v>
      </c>
      <c r="E10" s="855">
        <v>12718.51</v>
      </c>
      <c r="F10" s="855">
        <v>12676.57</v>
      </c>
      <c r="G10" s="855">
        <v>12644.45</v>
      </c>
      <c r="H10" s="855">
        <v>12659.82</v>
      </c>
      <c r="I10" s="855">
        <v>12591.25</v>
      </c>
      <c r="J10" s="855">
        <v>12571.97</v>
      </c>
      <c r="K10" s="855">
        <v>12518.83</v>
      </c>
      <c r="L10" s="855">
        <v>12511.4</v>
      </c>
      <c r="M10" s="855">
        <v>12496.32</v>
      </c>
      <c r="N10" s="855">
        <v>12467.48</v>
      </c>
      <c r="O10" s="855">
        <v>12480.3</v>
      </c>
      <c r="P10" s="435">
        <f t="shared" si="0"/>
        <v>151080.99</v>
      </c>
      <c r="Q10" s="336"/>
      <c r="R10" s="336"/>
      <c r="S10" s="336"/>
      <c r="T10" s="336"/>
      <c r="U10" s="336"/>
      <c r="V10" s="336"/>
      <c r="W10" s="336"/>
      <c r="X10" s="336"/>
      <c r="Y10" s="336"/>
      <c r="Z10" s="336"/>
      <c r="AA10" s="336"/>
      <c r="AB10" s="336"/>
      <c r="AC10" s="336"/>
      <c r="AE10" s="450"/>
      <c r="AF10" s="106"/>
      <c r="AG10" s="85"/>
      <c r="AI10" s="435"/>
      <c r="AJ10" s="436"/>
    </row>
    <row r="11" spans="1:36">
      <c r="A11" s="428">
        <v>24</v>
      </c>
      <c r="C11" s="856" t="s">
        <v>51</v>
      </c>
      <c r="D11" s="855">
        <v>215523.98</v>
      </c>
      <c r="E11" s="855">
        <v>232222.85</v>
      </c>
      <c r="F11" s="855">
        <v>207088.93999999997</v>
      </c>
      <c r="G11" s="855">
        <v>179580.03</v>
      </c>
      <c r="H11" s="855">
        <v>184217.3</v>
      </c>
      <c r="I11" s="855">
        <v>243169.33</v>
      </c>
      <c r="J11" s="855">
        <v>245399.9</v>
      </c>
      <c r="K11" s="855">
        <v>251305.97</v>
      </c>
      <c r="L11" s="855">
        <v>263259.68</v>
      </c>
      <c r="M11" s="855">
        <v>183836.84000000003</v>
      </c>
      <c r="N11" s="855">
        <v>171034.38</v>
      </c>
      <c r="O11" s="855">
        <v>191791.96000000002</v>
      </c>
      <c r="P11" s="435">
        <f t="shared" ref="P11" si="1">SUM(D11:O11)</f>
        <v>2568431.1599999997</v>
      </c>
      <c r="Q11" s="336"/>
      <c r="R11" s="336"/>
      <c r="S11" s="336"/>
      <c r="T11" s="336"/>
      <c r="U11" s="336"/>
      <c r="V11" s="336"/>
      <c r="W11" s="336"/>
      <c r="X11" s="336"/>
      <c r="Y11" s="336"/>
      <c r="Z11" s="336"/>
      <c r="AA11" s="336"/>
      <c r="AB11" s="336"/>
      <c r="AC11" s="336"/>
      <c r="AD11" s="419"/>
      <c r="AE11" s="450"/>
      <c r="AF11" s="106"/>
      <c r="AG11" s="85"/>
      <c r="AI11" s="435"/>
      <c r="AJ11" s="436"/>
    </row>
    <row r="12" spans="1:36">
      <c r="B12" s="7" t="s">
        <v>258</v>
      </c>
      <c r="C12" s="5"/>
      <c r="D12" s="435">
        <f>SUM(D6:D11)</f>
        <v>10826633.150000002</v>
      </c>
      <c r="E12" s="435">
        <f t="shared" ref="E12:O12" si="2">SUM(E6:E11)</f>
        <v>13206901.379999999</v>
      </c>
      <c r="F12" s="435">
        <f t="shared" si="2"/>
        <v>9779425.2499999981</v>
      </c>
      <c r="G12" s="435">
        <f t="shared" si="2"/>
        <v>8270754</v>
      </c>
      <c r="H12" s="435">
        <f t="shared" si="2"/>
        <v>11437625.590000002</v>
      </c>
      <c r="I12" s="435">
        <f t="shared" si="2"/>
        <v>17392173.999999996</v>
      </c>
      <c r="J12" s="435">
        <f t="shared" si="2"/>
        <v>17349357.049999993</v>
      </c>
      <c r="K12" s="435">
        <f t="shared" si="2"/>
        <v>18031761.289999995</v>
      </c>
      <c r="L12" s="435">
        <f t="shared" si="2"/>
        <v>18527859.149999999</v>
      </c>
      <c r="M12" s="435">
        <f t="shared" si="2"/>
        <v>10239497.23</v>
      </c>
      <c r="N12" s="435">
        <f t="shared" si="2"/>
        <v>7836812.5000000009</v>
      </c>
      <c r="O12" s="435">
        <f t="shared" si="2"/>
        <v>8591169.5899999999</v>
      </c>
      <c r="P12" s="435">
        <f t="shared" si="0"/>
        <v>151489970.17999998</v>
      </c>
      <c r="Q12" s="336"/>
      <c r="R12" s="336"/>
      <c r="S12" s="336"/>
      <c r="T12" s="336"/>
      <c r="U12" s="336"/>
      <c r="V12" s="336"/>
      <c r="W12" s="336"/>
      <c r="X12" s="336"/>
      <c r="Y12" s="336"/>
      <c r="Z12" s="336"/>
      <c r="AA12" s="336"/>
      <c r="AB12" s="336"/>
      <c r="AC12" s="413"/>
      <c r="AD12" s="104"/>
      <c r="AE12" s="104"/>
      <c r="AF12" s="857"/>
      <c r="AG12" s="85"/>
    </row>
    <row r="13" spans="1:36">
      <c r="B13" s="4" t="s">
        <v>265</v>
      </c>
      <c r="C13" s="5"/>
      <c r="D13" s="435"/>
      <c r="E13" s="435"/>
      <c r="F13" s="435"/>
      <c r="G13" s="435"/>
      <c r="H13" s="435"/>
      <c r="I13" s="435"/>
      <c r="J13" s="435"/>
      <c r="K13" s="435"/>
      <c r="L13" s="435"/>
      <c r="M13" s="435"/>
      <c r="N13" s="435"/>
      <c r="O13" s="435"/>
      <c r="P13" s="435"/>
      <c r="Q13" s="336"/>
      <c r="R13" s="336"/>
      <c r="S13" s="336"/>
      <c r="T13" s="336"/>
      <c r="U13" s="336"/>
      <c r="V13" s="336"/>
      <c r="W13" s="336"/>
      <c r="X13" s="336"/>
      <c r="Y13" s="336"/>
      <c r="Z13" s="336"/>
      <c r="AA13" s="336"/>
      <c r="AB13" s="336"/>
      <c r="AC13" s="336"/>
      <c r="AD13" s="104"/>
      <c r="AE13" s="104"/>
      <c r="AF13" s="857"/>
      <c r="AG13" s="85"/>
    </row>
    <row r="14" spans="1:36">
      <c r="A14" s="428">
        <v>24</v>
      </c>
      <c r="C14" s="856" t="s">
        <v>51</v>
      </c>
      <c r="D14" s="436">
        <v>4249327.0200000005</v>
      </c>
      <c r="E14" s="436">
        <v>4775205.42</v>
      </c>
      <c r="F14" s="436">
        <v>4284366.2200000007</v>
      </c>
      <c r="G14" s="436">
        <v>3802807.5400000005</v>
      </c>
      <c r="H14" s="436">
        <v>3825196.0999999996</v>
      </c>
      <c r="I14" s="436">
        <v>4477795.72</v>
      </c>
      <c r="J14" s="436">
        <v>4378019.2700000005</v>
      </c>
      <c r="K14" s="436">
        <v>4294133.75</v>
      </c>
      <c r="L14" s="436">
        <v>4330371.1800000006</v>
      </c>
      <c r="M14" s="436">
        <v>3606668.11</v>
      </c>
      <c r="N14" s="436">
        <v>3492818.5799999996</v>
      </c>
      <c r="O14" s="436">
        <v>3811138.71</v>
      </c>
      <c r="P14" s="435">
        <f t="shared" ref="P14:P22" si="3">SUM(D14:O14)</f>
        <v>49327847.620000005</v>
      </c>
      <c r="Q14" s="336"/>
      <c r="R14" s="336"/>
      <c r="S14" s="336"/>
      <c r="T14" s="336"/>
      <c r="U14" s="336"/>
      <c r="V14" s="336"/>
      <c r="W14" s="336"/>
      <c r="X14" s="336"/>
      <c r="Y14" s="336"/>
      <c r="Z14" s="336"/>
      <c r="AA14" s="336"/>
      <c r="AB14" s="336"/>
      <c r="AC14" s="336"/>
      <c r="AD14" s="419"/>
      <c r="AE14" s="450"/>
      <c r="AF14" s="106"/>
      <c r="AG14" s="85"/>
      <c r="AI14" s="435"/>
      <c r="AJ14" s="436"/>
    </row>
    <row r="15" spans="1:36">
      <c r="A15" s="428" t="s">
        <v>142</v>
      </c>
      <c r="C15" s="856" t="s">
        <v>52</v>
      </c>
      <c r="D15" s="436">
        <v>14652.7</v>
      </c>
      <c r="E15" s="436">
        <v>14577.48</v>
      </c>
      <c r="F15" s="436">
        <v>14539.91</v>
      </c>
      <c r="G15" s="436">
        <v>14539.91</v>
      </c>
      <c r="H15" s="436">
        <v>14539.91</v>
      </c>
      <c r="I15" s="436">
        <v>14539.91</v>
      </c>
      <c r="J15" s="436">
        <v>14604.14</v>
      </c>
      <c r="K15" s="436">
        <v>14451.699999999999</v>
      </c>
      <c r="L15" s="436">
        <v>14408.28</v>
      </c>
      <c r="M15" s="436">
        <v>14324.78</v>
      </c>
      <c r="N15" s="436">
        <v>14299.789999999999</v>
      </c>
      <c r="O15" s="436">
        <v>14299.789999999999</v>
      </c>
      <c r="P15" s="435">
        <f t="shared" si="3"/>
        <v>173778.30000000002</v>
      </c>
      <c r="Q15" s="336"/>
      <c r="R15" s="336"/>
      <c r="S15" s="336"/>
      <c r="T15" s="336"/>
      <c r="U15" s="336"/>
      <c r="V15" s="336"/>
      <c r="W15" s="336"/>
      <c r="X15" s="336"/>
      <c r="Y15" s="336"/>
      <c r="Z15" s="336"/>
      <c r="AA15" s="336"/>
      <c r="AB15" s="336"/>
      <c r="AC15" s="336"/>
      <c r="AE15" s="450"/>
      <c r="AF15" s="106"/>
      <c r="AG15" s="85"/>
      <c r="AI15" s="435"/>
      <c r="AJ15" s="436"/>
    </row>
    <row r="16" spans="1:36">
      <c r="A16" s="428" t="s">
        <v>149</v>
      </c>
      <c r="C16" s="858" t="s">
        <v>57</v>
      </c>
      <c r="D16" s="436">
        <v>2092.71</v>
      </c>
      <c r="E16" s="436">
        <v>1212.68</v>
      </c>
      <c r="F16" s="436">
        <v>3305.51</v>
      </c>
      <c r="G16" s="436">
        <v>2443.0100000000002</v>
      </c>
      <c r="H16" s="436">
        <v>42291.42</v>
      </c>
      <c r="I16" s="436">
        <v>590.63</v>
      </c>
      <c r="J16" s="436">
        <v>744.56</v>
      </c>
      <c r="K16" s="436">
        <v>1056.05</v>
      </c>
      <c r="L16" s="436">
        <v>972.05</v>
      </c>
      <c r="M16" s="436">
        <v>3628.67</v>
      </c>
      <c r="N16" s="436">
        <v>10254.969999999999</v>
      </c>
      <c r="O16" s="436">
        <v>1196.6500000000001</v>
      </c>
      <c r="P16" s="435">
        <f t="shared" si="3"/>
        <v>69788.909999999989</v>
      </c>
      <c r="Q16" s="336"/>
      <c r="R16" s="336"/>
      <c r="S16" s="336"/>
      <c r="T16" s="336"/>
      <c r="U16" s="336"/>
      <c r="V16" s="336"/>
      <c r="W16" s="336"/>
      <c r="X16" s="336"/>
      <c r="Y16" s="336"/>
      <c r="Z16" s="336"/>
      <c r="AA16" s="336"/>
      <c r="AB16" s="336"/>
      <c r="AC16" s="336"/>
      <c r="AE16" s="450"/>
      <c r="AF16" s="106"/>
      <c r="AG16" s="85"/>
      <c r="AI16" s="435"/>
      <c r="AJ16" s="436"/>
    </row>
    <row r="17" spans="1:36">
      <c r="A17" s="428">
        <v>33</v>
      </c>
      <c r="C17" s="856" t="s">
        <v>266</v>
      </c>
      <c r="D17" s="436">
        <v>0</v>
      </c>
      <c r="E17" s="436">
        <v>0</v>
      </c>
      <c r="F17" s="436">
        <v>0</v>
      </c>
      <c r="G17" s="436">
        <v>0</v>
      </c>
      <c r="H17" s="436">
        <v>0</v>
      </c>
      <c r="I17" s="436">
        <v>0</v>
      </c>
      <c r="J17" s="436">
        <v>0</v>
      </c>
      <c r="K17" s="436">
        <v>0</v>
      </c>
      <c r="L17" s="436">
        <v>0</v>
      </c>
      <c r="M17" s="436">
        <v>0</v>
      </c>
      <c r="N17" s="436">
        <v>0</v>
      </c>
      <c r="O17" s="436">
        <v>0</v>
      </c>
      <c r="P17" s="435">
        <f t="shared" si="3"/>
        <v>0</v>
      </c>
      <c r="Q17" s="336"/>
      <c r="R17" s="336"/>
      <c r="S17" s="336"/>
      <c r="T17" s="336"/>
      <c r="U17" s="336"/>
      <c r="V17" s="336"/>
      <c r="W17" s="336"/>
      <c r="X17" s="336"/>
      <c r="Y17" s="336"/>
      <c r="Z17" s="336"/>
      <c r="AA17" s="336"/>
      <c r="AB17" s="336"/>
      <c r="AC17" s="336"/>
      <c r="AE17" s="450"/>
      <c r="AF17" s="106"/>
      <c r="AG17" s="85"/>
      <c r="AI17" s="435"/>
      <c r="AJ17" s="436"/>
    </row>
    <row r="18" spans="1:36">
      <c r="A18" s="428">
        <v>36</v>
      </c>
      <c r="C18" s="856" t="s">
        <v>53</v>
      </c>
      <c r="D18" s="436">
        <v>5774019.0099999988</v>
      </c>
      <c r="E18" s="436">
        <v>6162492.2199999997</v>
      </c>
      <c r="F18" s="436">
        <v>6434246.2199999997</v>
      </c>
      <c r="G18" s="436">
        <v>6341637.6799999997</v>
      </c>
      <c r="H18" s="436">
        <v>5948100.129999999</v>
      </c>
      <c r="I18" s="436">
        <v>5824222.46</v>
      </c>
      <c r="J18" s="436">
        <v>5425883.8799999999</v>
      </c>
      <c r="K18" s="436">
        <v>5112482.51</v>
      </c>
      <c r="L18" s="436">
        <v>4982982.8800000008</v>
      </c>
      <c r="M18" s="436">
        <v>4705376.95</v>
      </c>
      <c r="N18" s="436">
        <v>4699568.79</v>
      </c>
      <c r="O18" s="436">
        <v>5047794.12</v>
      </c>
      <c r="P18" s="435">
        <f t="shared" si="3"/>
        <v>66458806.850000001</v>
      </c>
      <c r="Q18" s="336"/>
      <c r="R18" s="336"/>
      <c r="S18" s="336"/>
      <c r="T18" s="336"/>
      <c r="U18" s="336"/>
      <c r="V18" s="336"/>
      <c r="W18" s="336"/>
      <c r="X18" s="336"/>
      <c r="Y18" s="336"/>
      <c r="Z18" s="336"/>
      <c r="AA18" s="336"/>
      <c r="AB18" s="336"/>
      <c r="AC18" s="336"/>
      <c r="AD18" s="419"/>
      <c r="AE18" s="450"/>
      <c r="AF18" s="106"/>
      <c r="AG18" s="85"/>
      <c r="AI18" s="435"/>
      <c r="AJ18" s="436"/>
    </row>
    <row r="19" spans="1:36">
      <c r="A19" s="428" t="s">
        <v>148</v>
      </c>
      <c r="C19" s="856" t="s">
        <v>54</v>
      </c>
      <c r="D19" s="436">
        <v>1369990.39</v>
      </c>
      <c r="E19" s="436">
        <v>1390432.8900000001</v>
      </c>
      <c r="F19" s="436">
        <v>1453426.66</v>
      </c>
      <c r="G19" s="436">
        <v>1363424.9</v>
      </c>
      <c r="H19" s="436">
        <v>1243235.98</v>
      </c>
      <c r="I19" s="436">
        <v>1195194.3500000001</v>
      </c>
      <c r="J19" s="436">
        <v>1062768.07</v>
      </c>
      <c r="K19" s="436">
        <v>1039474.3300000001</v>
      </c>
      <c r="L19" s="436">
        <v>1004660.74</v>
      </c>
      <c r="M19" s="436">
        <v>987794.99</v>
      </c>
      <c r="N19" s="436">
        <v>1001775.72</v>
      </c>
      <c r="O19" s="436">
        <v>1121046.1100000001</v>
      </c>
      <c r="P19" s="435">
        <f t="shared" si="3"/>
        <v>14233225.130000001</v>
      </c>
      <c r="Q19" s="336"/>
      <c r="R19" s="336"/>
      <c r="S19" s="336"/>
      <c r="T19" s="336"/>
      <c r="U19" s="336"/>
      <c r="V19" s="336"/>
      <c r="W19" s="336"/>
      <c r="X19" s="336"/>
      <c r="Y19" s="336"/>
      <c r="Z19" s="336"/>
      <c r="AA19" s="336"/>
      <c r="AB19" s="336"/>
      <c r="AC19" s="336"/>
      <c r="AD19" s="419"/>
      <c r="AE19" s="450"/>
      <c r="AF19" s="106"/>
      <c r="AG19" s="85"/>
      <c r="AI19" s="435"/>
      <c r="AJ19" s="436"/>
    </row>
    <row r="20" spans="1:36">
      <c r="A20" s="428" t="s">
        <v>144</v>
      </c>
      <c r="C20" s="856" t="s">
        <v>55</v>
      </c>
      <c r="D20" s="436">
        <v>25072.12</v>
      </c>
      <c r="E20" s="436">
        <v>25008.37</v>
      </c>
      <c r="F20" s="436">
        <v>25024.37</v>
      </c>
      <c r="G20" s="436">
        <v>24967.8</v>
      </c>
      <c r="H20" s="436">
        <v>24772.28</v>
      </c>
      <c r="I20" s="436">
        <v>24775.14</v>
      </c>
      <c r="J20" s="436">
        <v>24785.29</v>
      </c>
      <c r="K20" s="436">
        <v>24672.34</v>
      </c>
      <c r="L20" s="436">
        <v>24665.75</v>
      </c>
      <c r="M20" s="436">
        <v>24578.12</v>
      </c>
      <c r="N20" s="436">
        <v>24602.5</v>
      </c>
      <c r="O20" s="436">
        <v>24668.12</v>
      </c>
      <c r="P20" s="435">
        <f t="shared" si="3"/>
        <v>297592.2</v>
      </c>
      <c r="Q20" s="336"/>
      <c r="R20" s="336"/>
      <c r="S20" s="336"/>
      <c r="T20" s="336"/>
      <c r="U20" s="336"/>
      <c r="V20" s="336"/>
      <c r="W20" s="336"/>
      <c r="X20" s="336"/>
      <c r="Y20" s="336"/>
      <c r="Z20" s="336"/>
      <c r="AA20" s="336"/>
      <c r="AB20" s="336"/>
      <c r="AC20" s="336"/>
      <c r="AE20" s="450"/>
      <c r="AF20" s="106"/>
      <c r="AG20" s="85"/>
      <c r="AI20" s="435"/>
      <c r="AJ20" s="436"/>
    </row>
    <row r="21" spans="1:36">
      <c r="A21" s="428">
        <v>54</v>
      </c>
      <c r="C21" s="856" t="s">
        <v>56</v>
      </c>
      <c r="D21" s="436">
        <v>2531.2199999999998</v>
      </c>
      <c r="E21" s="436">
        <v>1761.64</v>
      </c>
      <c r="F21" s="436">
        <v>2044.61</v>
      </c>
      <c r="G21" s="436">
        <v>2635.6</v>
      </c>
      <c r="H21" s="436">
        <v>2858.27</v>
      </c>
      <c r="I21" s="436">
        <v>2126.69</v>
      </c>
      <c r="J21" s="436">
        <v>1831.42</v>
      </c>
      <c r="K21" s="436">
        <v>2561.27</v>
      </c>
      <c r="L21" s="436">
        <v>2246.77</v>
      </c>
      <c r="M21" s="436">
        <v>2138.92</v>
      </c>
      <c r="N21" s="436">
        <v>1805.97</v>
      </c>
      <c r="O21" s="436">
        <v>1588.61</v>
      </c>
      <c r="P21" s="435">
        <f t="shared" si="3"/>
        <v>26130.990000000005</v>
      </c>
      <c r="Q21" s="336"/>
      <c r="R21" s="336"/>
      <c r="S21" s="336"/>
      <c r="T21" s="336"/>
      <c r="U21" s="336"/>
      <c r="V21" s="336"/>
      <c r="W21" s="336"/>
      <c r="X21" s="336"/>
      <c r="Y21" s="336"/>
      <c r="Z21" s="336"/>
      <c r="AA21" s="336"/>
      <c r="AB21" s="336"/>
      <c r="AC21" s="336"/>
      <c r="AE21" s="450"/>
      <c r="AF21" s="106"/>
      <c r="AG21" s="85"/>
      <c r="AI21" s="435"/>
      <c r="AJ21" s="436"/>
    </row>
    <row r="22" spans="1:36">
      <c r="B22" s="4" t="s">
        <v>265</v>
      </c>
      <c r="C22" s="5"/>
      <c r="D22" s="435">
        <f t="shared" ref="D22:O22" si="4">SUM(D14:D21)</f>
        <v>11437685.17</v>
      </c>
      <c r="E22" s="435">
        <f t="shared" si="4"/>
        <v>12370690.700000001</v>
      </c>
      <c r="F22" s="435">
        <f t="shared" si="4"/>
        <v>12216953.499999998</v>
      </c>
      <c r="G22" s="435">
        <f t="shared" si="4"/>
        <v>11552456.440000001</v>
      </c>
      <c r="H22" s="435">
        <f t="shared" si="4"/>
        <v>11100994.089999998</v>
      </c>
      <c r="I22" s="435">
        <f t="shared" si="4"/>
        <v>11539244.899999999</v>
      </c>
      <c r="J22" s="435">
        <f t="shared" si="4"/>
        <v>10908636.629999999</v>
      </c>
      <c r="K22" s="435">
        <f t="shared" si="4"/>
        <v>10488831.949999999</v>
      </c>
      <c r="L22" s="435">
        <f t="shared" si="4"/>
        <v>10360307.65</v>
      </c>
      <c r="M22" s="435">
        <f t="shared" si="4"/>
        <v>9344510.5399999991</v>
      </c>
      <c r="N22" s="435">
        <f t="shared" si="4"/>
        <v>9245126.3200000003</v>
      </c>
      <c r="O22" s="435">
        <f t="shared" si="4"/>
        <v>10021732.109999998</v>
      </c>
      <c r="P22" s="435">
        <f t="shared" si="3"/>
        <v>130587169.99999999</v>
      </c>
      <c r="Q22" s="336"/>
      <c r="R22" s="336"/>
      <c r="S22" s="336"/>
      <c r="T22" s="336"/>
      <c r="U22" s="336"/>
      <c r="V22" s="336"/>
      <c r="W22" s="336"/>
      <c r="X22" s="336"/>
      <c r="Y22" s="336"/>
      <c r="Z22" s="336"/>
      <c r="AA22" s="336"/>
      <c r="AB22" s="336"/>
      <c r="AC22" s="413"/>
      <c r="AD22" s="104"/>
      <c r="AE22" s="104"/>
      <c r="AF22" s="857"/>
      <c r="AG22" s="85"/>
    </row>
    <row r="23" spans="1:36">
      <c r="B23" s="4" t="s">
        <v>268</v>
      </c>
      <c r="C23" s="5"/>
      <c r="D23" s="435"/>
      <c r="E23" s="435"/>
      <c r="F23" s="435"/>
      <c r="G23" s="435"/>
      <c r="H23" s="435"/>
      <c r="I23" s="435"/>
      <c r="J23" s="435"/>
      <c r="K23" s="435"/>
      <c r="L23" s="435"/>
      <c r="M23" s="435"/>
      <c r="N23" s="435"/>
      <c r="O23" s="435"/>
      <c r="P23" s="435"/>
      <c r="Q23" s="336"/>
      <c r="R23" s="336"/>
      <c r="S23" s="336"/>
      <c r="T23" s="336"/>
      <c r="U23" s="336"/>
      <c r="V23" s="336"/>
      <c r="W23" s="336"/>
      <c r="X23" s="336"/>
      <c r="Y23" s="336"/>
      <c r="Z23" s="336"/>
      <c r="AA23" s="336"/>
      <c r="AB23" s="336"/>
      <c r="AC23" s="336"/>
      <c r="AD23" s="104"/>
      <c r="AE23" s="104"/>
      <c r="AF23" s="857"/>
      <c r="AG23" s="85"/>
    </row>
    <row r="24" spans="1:36">
      <c r="A24" s="428">
        <v>24</v>
      </c>
      <c r="C24" s="856" t="s">
        <v>51</v>
      </c>
      <c r="D24" s="436">
        <v>129418.69</v>
      </c>
      <c r="E24" s="436">
        <v>138613.68</v>
      </c>
      <c r="F24" s="436">
        <v>139725.48000000001</v>
      </c>
      <c r="G24" s="436">
        <v>131798.78</v>
      </c>
      <c r="H24" s="436">
        <v>130471.73000000001</v>
      </c>
      <c r="I24" s="436">
        <v>146160.05000000002</v>
      </c>
      <c r="J24" s="436">
        <v>141503.53</v>
      </c>
      <c r="K24" s="436">
        <v>140259.4</v>
      </c>
      <c r="L24" s="436">
        <v>137458.21</v>
      </c>
      <c r="M24" s="436">
        <v>119009.7</v>
      </c>
      <c r="N24" s="436">
        <v>103986.23000000001</v>
      </c>
      <c r="O24" s="436">
        <v>112977.36</v>
      </c>
      <c r="P24" s="435">
        <f t="shared" ref="P24:P32" si="5">SUM(D24:O24)</f>
        <v>1571382.84</v>
      </c>
      <c r="Q24" s="336"/>
      <c r="R24" s="336"/>
      <c r="S24" s="336"/>
      <c r="T24" s="336"/>
      <c r="U24" s="336"/>
      <c r="V24" s="336"/>
      <c r="W24" s="336"/>
      <c r="X24" s="336"/>
      <c r="Y24" s="336"/>
      <c r="Z24" s="336"/>
      <c r="AA24" s="336"/>
      <c r="AB24" s="336"/>
      <c r="AC24" s="336"/>
      <c r="AE24" s="450"/>
      <c r="AF24" s="106"/>
      <c r="AG24" s="85"/>
      <c r="AI24" s="435"/>
      <c r="AJ24" s="436"/>
    </row>
    <row r="25" spans="1:36">
      <c r="A25" s="428" t="s">
        <v>142</v>
      </c>
      <c r="C25" s="856" t="s">
        <v>52</v>
      </c>
      <c r="D25" s="436">
        <v>741.85</v>
      </c>
      <c r="E25" s="436">
        <v>741.25</v>
      </c>
      <c r="F25" s="436">
        <v>740.84</v>
      </c>
      <c r="G25" s="436">
        <v>740.84</v>
      </c>
      <c r="H25" s="436">
        <v>740.84</v>
      </c>
      <c r="I25" s="436">
        <v>740.84</v>
      </c>
      <c r="J25" s="436">
        <v>740.84</v>
      </c>
      <c r="K25" s="436">
        <v>736.47</v>
      </c>
      <c r="L25" s="436">
        <v>735.27</v>
      </c>
      <c r="M25" s="436">
        <v>734.58</v>
      </c>
      <c r="N25" s="436">
        <v>734.27</v>
      </c>
      <c r="O25" s="436">
        <v>734.27</v>
      </c>
      <c r="P25" s="435">
        <f t="shared" si="5"/>
        <v>8862.1600000000017</v>
      </c>
      <c r="Q25" s="336"/>
      <c r="R25" s="336"/>
      <c r="S25" s="336"/>
      <c r="T25" s="336"/>
      <c r="U25" s="336"/>
      <c r="V25" s="336"/>
      <c r="W25" s="336"/>
      <c r="X25" s="336"/>
      <c r="Y25" s="336"/>
      <c r="Z25" s="336"/>
      <c r="AA25" s="336"/>
      <c r="AB25" s="336"/>
      <c r="AC25" s="336"/>
      <c r="AE25" s="450"/>
      <c r="AF25" s="106"/>
      <c r="AG25" s="85"/>
      <c r="AI25" s="435"/>
      <c r="AJ25" s="436"/>
    </row>
    <row r="26" spans="1:36">
      <c r="A26" s="428" t="s">
        <v>149</v>
      </c>
      <c r="C26" s="856" t="s">
        <v>57</v>
      </c>
      <c r="D26" s="436">
        <v>121.96</v>
      </c>
      <c r="E26" s="436">
        <v>119.38</v>
      </c>
      <c r="F26" s="436">
        <v>103.91</v>
      </c>
      <c r="G26" s="436">
        <v>26.13</v>
      </c>
      <c r="H26" s="436">
        <v>1015.16</v>
      </c>
      <c r="I26" s="436">
        <v>0.22</v>
      </c>
      <c r="J26" s="436">
        <v>0.22</v>
      </c>
      <c r="K26" s="436">
        <v>0.33</v>
      </c>
      <c r="L26" s="436">
        <v>0.22</v>
      </c>
      <c r="M26" s="436">
        <v>0.57999999999999996</v>
      </c>
      <c r="N26" s="436">
        <v>44.58</v>
      </c>
      <c r="O26" s="436">
        <v>58.95</v>
      </c>
      <c r="P26" s="435">
        <f t="shared" si="5"/>
        <v>1491.6399999999999</v>
      </c>
      <c r="Q26" s="336"/>
      <c r="R26" s="336"/>
      <c r="S26" s="336"/>
      <c r="T26" s="336"/>
      <c r="U26" s="336"/>
      <c r="V26" s="336"/>
      <c r="W26" s="336"/>
      <c r="X26" s="336"/>
      <c r="Y26" s="336"/>
      <c r="Z26" s="336"/>
      <c r="AA26" s="336"/>
      <c r="AB26" s="336"/>
      <c r="AC26" s="336"/>
      <c r="AE26" s="450"/>
      <c r="AF26" s="106"/>
      <c r="AG26" s="85"/>
      <c r="AI26" s="435"/>
      <c r="AJ26" s="436"/>
    </row>
    <row r="27" spans="1:36">
      <c r="A27" s="428">
        <v>36</v>
      </c>
      <c r="C27" s="856" t="s">
        <v>53</v>
      </c>
      <c r="D27" s="436">
        <v>689099.51</v>
      </c>
      <c r="E27" s="436">
        <v>724922.89</v>
      </c>
      <c r="F27" s="436">
        <v>805278.42</v>
      </c>
      <c r="G27" s="436">
        <v>857336.15</v>
      </c>
      <c r="H27" s="436">
        <v>783489</v>
      </c>
      <c r="I27" s="436">
        <v>683782.34</v>
      </c>
      <c r="J27" s="436">
        <v>646159.93000000005</v>
      </c>
      <c r="K27" s="436">
        <v>639136.94999999995</v>
      </c>
      <c r="L27" s="436">
        <v>642296.04</v>
      </c>
      <c r="M27" s="436">
        <v>634918.28</v>
      </c>
      <c r="N27" s="436">
        <v>621351.84</v>
      </c>
      <c r="O27" s="436">
        <v>621285.85</v>
      </c>
      <c r="P27" s="435">
        <f t="shared" si="5"/>
        <v>8349057.1999999993</v>
      </c>
      <c r="Q27" s="336"/>
      <c r="R27" s="336"/>
      <c r="S27" s="336"/>
      <c r="T27" s="336"/>
      <c r="U27" s="336"/>
      <c r="V27" s="336"/>
      <c r="W27" s="336"/>
      <c r="X27" s="336"/>
      <c r="Y27" s="336"/>
      <c r="Z27" s="336"/>
      <c r="AA27" s="336"/>
      <c r="AB27" s="336"/>
      <c r="AC27" s="336"/>
      <c r="AE27" s="450"/>
      <c r="AF27" s="106"/>
      <c r="AG27" s="85"/>
      <c r="AI27" s="435"/>
      <c r="AJ27" s="436"/>
    </row>
    <row r="28" spans="1:36">
      <c r="A28" s="428">
        <v>47</v>
      </c>
      <c r="C28" s="856" t="s">
        <v>158</v>
      </c>
      <c r="D28" s="436">
        <v>28069.07</v>
      </c>
      <c r="E28" s="436">
        <v>28431.68</v>
      </c>
      <c r="F28" s="436">
        <v>28665.26</v>
      </c>
      <c r="G28" s="436">
        <v>38434.910000000003</v>
      </c>
      <c r="H28" s="436">
        <v>53831.7</v>
      </c>
      <c r="I28" s="436">
        <v>33501.19</v>
      </c>
      <c r="J28" s="436">
        <v>34780.85</v>
      </c>
      <c r="K28" s="436">
        <v>33168.85</v>
      </c>
      <c r="L28" s="436">
        <v>34352.089999999997</v>
      </c>
      <c r="M28" s="436">
        <v>20739.150000000001</v>
      </c>
      <c r="N28" s="436">
        <v>23481.93</v>
      </c>
      <c r="O28" s="436">
        <v>22741.95</v>
      </c>
      <c r="P28" s="435">
        <f t="shared" si="5"/>
        <v>380198.63</v>
      </c>
      <c r="Q28" s="336"/>
      <c r="R28" s="336"/>
      <c r="S28" s="336"/>
      <c r="T28" s="336"/>
      <c r="U28" s="336"/>
      <c r="V28" s="336"/>
      <c r="W28" s="336"/>
      <c r="X28" s="336"/>
      <c r="Y28" s="336"/>
      <c r="Z28" s="336"/>
      <c r="AA28" s="336"/>
      <c r="AB28" s="336"/>
      <c r="AC28" s="336"/>
      <c r="AE28" s="450"/>
      <c r="AF28" s="106"/>
      <c r="AG28" s="85"/>
      <c r="AI28" s="435"/>
      <c r="AJ28" s="436"/>
    </row>
    <row r="29" spans="1:36">
      <c r="A29" s="428" t="s">
        <v>568</v>
      </c>
      <c r="C29" s="856" t="s">
        <v>569</v>
      </c>
      <c r="D29" s="436">
        <v>2087432.2</v>
      </c>
      <c r="E29" s="436">
        <v>2211251.61</v>
      </c>
      <c r="F29" s="436">
        <v>2192822.35</v>
      </c>
      <c r="G29" s="436">
        <v>2151098.6</v>
      </c>
      <c r="H29" s="436">
        <v>1612179.54</v>
      </c>
      <c r="I29" s="436">
        <v>1472685.26</v>
      </c>
      <c r="J29" s="436">
        <v>2015527.1</v>
      </c>
      <c r="K29" s="436">
        <v>2278273.8199999998</v>
      </c>
      <c r="L29" s="436">
        <v>2059056.5</v>
      </c>
      <c r="M29" s="436">
        <v>2237625.8199999998</v>
      </c>
      <c r="N29" s="436">
        <v>2136554.42</v>
      </c>
      <c r="O29" s="436">
        <v>2249451.36</v>
      </c>
      <c r="P29" s="435">
        <f t="shared" si="5"/>
        <v>24703958.579999998</v>
      </c>
      <c r="Q29" s="336"/>
      <c r="R29" s="336"/>
      <c r="S29" s="336"/>
      <c r="T29" s="336"/>
      <c r="U29" s="336"/>
      <c r="V29" s="336"/>
      <c r="W29" s="336"/>
      <c r="X29" s="336"/>
      <c r="Y29" s="336"/>
      <c r="Z29" s="336"/>
      <c r="AA29" s="336"/>
      <c r="AB29" s="336"/>
      <c r="AC29" s="336"/>
      <c r="AE29" s="450"/>
      <c r="AF29" s="106"/>
      <c r="AG29" s="85"/>
      <c r="AI29" s="435"/>
      <c r="AJ29" s="436"/>
    </row>
    <row r="30" spans="1:36">
      <c r="A30" s="428" t="s">
        <v>148</v>
      </c>
      <c r="C30" s="856" t="s">
        <v>54</v>
      </c>
      <c r="D30" s="436">
        <v>1395731.89</v>
      </c>
      <c r="E30" s="436">
        <v>1323276.9099999999</v>
      </c>
      <c r="F30" s="436">
        <v>1319490.93</v>
      </c>
      <c r="G30" s="436">
        <v>1326274.6299999999</v>
      </c>
      <c r="H30" s="436">
        <v>1333386.56</v>
      </c>
      <c r="I30" s="436">
        <v>1147785.01</v>
      </c>
      <c r="J30" s="436">
        <v>1090524.22</v>
      </c>
      <c r="K30" s="436">
        <v>1131980.7</v>
      </c>
      <c r="L30" s="436">
        <v>1084603.1299999999</v>
      </c>
      <c r="M30" s="436">
        <v>1087899.75</v>
      </c>
      <c r="N30" s="436">
        <v>1119957.1000000001</v>
      </c>
      <c r="O30" s="436">
        <v>1145960.94</v>
      </c>
      <c r="P30" s="435">
        <f t="shared" si="5"/>
        <v>14506871.77</v>
      </c>
      <c r="Q30" s="336"/>
      <c r="R30" s="336"/>
      <c r="S30" s="336"/>
      <c r="T30" s="336"/>
      <c r="U30" s="336"/>
      <c r="V30" s="336"/>
      <c r="W30" s="336"/>
      <c r="X30" s="336"/>
      <c r="Y30" s="336"/>
      <c r="Z30" s="336"/>
      <c r="AA30" s="336"/>
      <c r="AB30" s="336"/>
      <c r="AC30" s="336"/>
      <c r="AE30" s="450"/>
      <c r="AF30" s="106"/>
      <c r="AG30" s="85"/>
      <c r="AI30" s="435"/>
      <c r="AJ30" s="436"/>
    </row>
    <row r="31" spans="1:36">
      <c r="A31" s="428" t="s">
        <v>144</v>
      </c>
      <c r="C31" s="856" t="s">
        <v>55</v>
      </c>
      <c r="D31" s="436">
        <v>1456.8</v>
      </c>
      <c r="E31" s="436">
        <v>1454.75</v>
      </c>
      <c r="F31" s="436">
        <v>1452.61</v>
      </c>
      <c r="G31" s="436">
        <v>1452.61</v>
      </c>
      <c r="H31" s="436">
        <v>1452.61</v>
      </c>
      <c r="I31" s="436">
        <v>1452.61</v>
      </c>
      <c r="J31" s="436">
        <v>1452.61</v>
      </c>
      <c r="K31" s="436">
        <v>1452.61</v>
      </c>
      <c r="L31" s="436">
        <v>1452.57</v>
      </c>
      <c r="M31" s="436">
        <v>1450.52</v>
      </c>
      <c r="N31" s="436">
        <v>1448.88</v>
      </c>
      <c r="O31" s="436">
        <v>1448.88</v>
      </c>
      <c r="P31" s="435">
        <f t="shared" si="5"/>
        <v>17428.060000000001</v>
      </c>
      <c r="Q31" s="336"/>
      <c r="R31" s="336"/>
      <c r="S31" s="336"/>
      <c r="T31" s="336"/>
      <c r="U31" s="336"/>
      <c r="V31" s="336"/>
      <c r="W31" s="336"/>
      <c r="X31" s="336"/>
      <c r="Y31" s="336"/>
      <c r="Z31" s="336"/>
      <c r="AA31" s="336"/>
      <c r="AB31" s="336"/>
      <c r="AC31" s="336"/>
      <c r="AE31" s="450"/>
      <c r="AF31" s="106"/>
      <c r="AG31" s="85"/>
      <c r="AI31" s="435"/>
      <c r="AJ31" s="436"/>
    </row>
    <row r="32" spans="1:36">
      <c r="B32" s="4" t="s">
        <v>268</v>
      </c>
      <c r="C32" s="856"/>
      <c r="D32" s="435">
        <f t="shared" ref="D32:O32" si="6">SUM(D24:D31)</f>
        <v>4332071.97</v>
      </c>
      <c r="E32" s="435">
        <f t="shared" si="6"/>
        <v>4428812.1499999994</v>
      </c>
      <c r="F32" s="435">
        <f t="shared" si="6"/>
        <v>4488279.8000000007</v>
      </c>
      <c r="G32" s="435">
        <f t="shared" si="6"/>
        <v>4507162.6500000004</v>
      </c>
      <c r="H32" s="435">
        <f t="shared" si="6"/>
        <v>3916567.1399999997</v>
      </c>
      <c r="I32" s="435">
        <f t="shared" si="6"/>
        <v>3486107.52</v>
      </c>
      <c r="J32" s="435">
        <f t="shared" si="6"/>
        <v>3930689.3000000003</v>
      </c>
      <c r="K32" s="435">
        <f t="shared" si="6"/>
        <v>4225009.13</v>
      </c>
      <c r="L32" s="435">
        <f t="shared" si="6"/>
        <v>3959954.03</v>
      </c>
      <c r="M32" s="435">
        <f t="shared" si="6"/>
        <v>4102378.38</v>
      </c>
      <c r="N32" s="435">
        <f t="shared" si="6"/>
        <v>4007559.25</v>
      </c>
      <c r="O32" s="435">
        <f t="shared" si="6"/>
        <v>4154659.5599999996</v>
      </c>
      <c r="P32" s="435">
        <f t="shared" si="5"/>
        <v>49539250.880000003</v>
      </c>
      <c r="Q32" s="336"/>
      <c r="R32" s="336"/>
      <c r="S32" s="336"/>
      <c r="T32" s="336"/>
      <c r="U32" s="336"/>
      <c r="V32" s="336"/>
      <c r="W32" s="336"/>
      <c r="X32" s="336"/>
      <c r="Y32" s="336"/>
      <c r="Z32" s="336"/>
      <c r="AA32" s="336"/>
      <c r="AB32" s="336"/>
      <c r="AC32" s="413"/>
      <c r="AD32" s="104"/>
      <c r="AE32" s="104"/>
      <c r="AF32" s="857"/>
      <c r="AG32" s="85"/>
    </row>
    <row r="33" spans="1:36">
      <c r="B33" s="856" t="s">
        <v>270</v>
      </c>
      <c r="D33" s="435"/>
      <c r="E33" s="435"/>
      <c r="F33" s="435"/>
      <c r="G33" s="435"/>
      <c r="H33" s="435"/>
      <c r="I33" s="435"/>
      <c r="J33" s="435"/>
      <c r="K33" s="435"/>
      <c r="L33" s="435"/>
      <c r="M33" s="435"/>
      <c r="N33" s="435"/>
      <c r="O33" s="435"/>
      <c r="P33" s="435"/>
      <c r="R33" s="336"/>
      <c r="S33" s="336"/>
      <c r="T33" s="336"/>
      <c r="U33" s="336"/>
      <c r="V33" s="336"/>
      <c r="W33" s="336"/>
      <c r="X33" s="336"/>
      <c r="Y33" s="336"/>
      <c r="Z33" s="336"/>
      <c r="AA33" s="336"/>
      <c r="AB33" s="336"/>
      <c r="AC33" s="336"/>
      <c r="AE33" s="450"/>
      <c r="AF33" s="106"/>
      <c r="AG33" s="85"/>
    </row>
    <row r="34" spans="1:36">
      <c r="A34" s="428">
        <v>40</v>
      </c>
      <c r="C34" s="856" t="s">
        <v>58</v>
      </c>
      <c r="D34" s="436">
        <v>1593045.5899999999</v>
      </c>
      <c r="E34" s="436">
        <v>1832259.65</v>
      </c>
      <c r="F34" s="436">
        <v>1350962.33</v>
      </c>
      <c r="G34" s="436">
        <v>824481.18</v>
      </c>
      <c r="H34" s="436">
        <v>1852077.93</v>
      </c>
      <c r="I34" s="436">
        <v>28180.640000000003</v>
      </c>
      <c r="J34" s="436">
        <v>21403.26</v>
      </c>
      <c r="K34" s="436">
        <v>19754.7</v>
      </c>
      <c r="L34" s="436">
        <v>36537.370000000003</v>
      </c>
      <c r="M34" s="436">
        <v>106639.56999999999</v>
      </c>
      <c r="N34" s="436">
        <v>472362.88</v>
      </c>
      <c r="O34" s="436">
        <v>970706.27</v>
      </c>
      <c r="P34" s="435">
        <f>SUM(D34:O34)</f>
        <v>9108411.3699999992</v>
      </c>
      <c r="Q34" s="336"/>
      <c r="R34" s="336"/>
      <c r="S34" s="336"/>
      <c r="T34" s="336"/>
      <c r="U34" s="336"/>
      <c r="V34" s="336"/>
      <c r="W34" s="336"/>
      <c r="X34" s="336"/>
      <c r="Y34" s="336"/>
      <c r="Z34" s="336"/>
      <c r="AA34" s="336"/>
      <c r="AB34" s="336"/>
      <c r="AC34" s="336"/>
      <c r="AD34" s="419"/>
      <c r="AE34" s="450"/>
      <c r="AF34" s="106"/>
      <c r="AG34" s="85"/>
      <c r="AI34" s="435"/>
      <c r="AJ34" s="436"/>
    </row>
    <row r="35" spans="1:36">
      <c r="A35" s="428" t="s">
        <v>150</v>
      </c>
      <c r="C35" s="856" t="s">
        <v>59</v>
      </c>
      <c r="D35" s="436">
        <v>915361.07</v>
      </c>
      <c r="E35" s="436">
        <v>1051839.18</v>
      </c>
      <c r="F35" s="436">
        <v>833240.96</v>
      </c>
      <c r="G35" s="436">
        <v>480330.67</v>
      </c>
      <c r="H35" s="436">
        <v>1114349.76</v>
      </c>
      <c r="I35" s="436">
        <v>19939.849999999999</v>
      </c>
      <c r="J35" s="436">
        <v>15702.460000000001</v>
      </c>
      <c r="K35" s="436">
        <v>17907.719999999998</v>
      </c>
      <c r="L35" s="436">
        <v>30401.56</v>
      </c>
      <c r="M35" s="436">
        <v>70985.260000000009</v>
      </c>
      <c r="N35" s="436">
        <v>351554.28</v>
      </c>
      <c r="O35" s="436">
        <v>653071.7300000001</v>
      </c>
      <c r="P35" s="435">
        <f>SUM(D35:O35)</f>
        <v>5554684.4999999991</v>
      </c>
      <c r="Q35" s="336"/>
      <c r="R35" s="336"/>
      <c r="S35" s="336"/>
      <c r="T35" s="336"/>
      <c r="U35" s="336"/>
      <c r="V35" s="336"/>
      <c r="W35" s="336"/>
      <c r="X35" s="336"/>
      <c r="Y35" s="336"/>
      <c r="Z35" s="336"/>
      <c r="AA35" s="336"/>
      <c r="AB35" s="336"/>
      <c r="AC35" s="336"/>
      <c r="AE35" s="450"/>
      <c r="AF35" s="106"/>
      <c r="AG35" s="85"/>
      <c r="AI35" s="435"/>
      <c r="AJ35" s="436"/>
    </row>
    <row r="36" spans="1:36">
      <c r="B36" s="856" t="s">
        <v>270</v>
      </c>
      <c r="C36" s="856"/>
      <c r="D36" s="435">
        <f t="shared" ref="D36:O36" si="7">SUM(D34:D35)</f>
        <v>2508406.6599999997</v>
      </c>
      <c r="E36" s="435">
        <f t="shared" si="7"/>
        <v>2884098.83</v>
      </c>
      <c r="F36" s="435">
        <f t="shared" si="7"/>
        <v>2184203.29</v>
      </c>
      <c r="G36" s="435">
        <f t="shared" si="7"/>
        <v>1304811.8500000001</v>
      </c>
      <c r="H36" s="435">
        <f t="shared" si="7"/>
        <v>2966427.69</v>
      </c>
      <c r="I36" s="435">
        <f t="shared" si="7"/>
        <v>48120.490000000005</v>
      </c>
      <c r="J36" s="435">
        <f t="shared" si="7"/>
        <v>37105.72</v>
      </c>
      <c r="K36" s="435">
        <f t="shared" si="7"/>
        <v>37662.42</v>
      </c>
      <c r="L36" s="435">
        <f t="shared" si="7"/>
        <v>66938.930000000008</v>
      </c>
      <c r="M36" s="435">
        <f t="shared" si="7"/>
        <v>177624.83000000002</v>
      </c>
      <c r="N36" s="435">
        <f t="shared" si="7"/>
        <v>823917.16</v>
      </c>
      <c r="O36" s="435">
        <f t="shared" si="7"/>
        <v>1623778</v>
      </c>
      <c r="P36" s="435">
        <f>SUM(D36:O36)</f>
        <v>14663095.870000001</v>
      </c>
      <c r="Q36" s="336"/>
      <c r="R36" s="336"/>
      <c r="S36" s="336"/>
      <c r="T36" s="336"/>
      <c r="U36" s="336"/>
      <c r="V36" s="336"/>
      <c r="W36" s="336"/>
      <c r="X36" s="336"/>
      <c r="Y36" s="336"/>
      <c r="Z36" s="336"/>
      <c r="AA36" s="336"/>
      <c r="AB36" s="336"/>
      <c r="AC36" s="413"/>
      <c r="AD36" s="637"/>
      <c r="AE36" s="414"/>
      <c r="AF36" s="106"/>
      <c r="AG36" s="85"/>
    </row>
    <row r="37" spans="1:36">
      <c r="B37" s="4" t="s">
        <v>564</v>
      </c>
      <c r="C37" s="856"/>
      <c r="D37" s="435"/>
      <c r="E37" s="435"/>
      <c r="F37" s="435"/>
      <c r="G37" s="435"/>
      <c r="H37" s="435"/>
      <c r="I37" s="435"/>
      <c r="J37" s="435"/>
      <c r="K37" s="435"/>
      <c r="L37" s="435"/>
      <c r="M37" s="435"/>
      <c r="N37" s="435"/>
      <c r="O37" s="435"/>
      <c r="P37" s="435"/>
      <c r="Q37" s="336"/>
      <c r="R37" s="336"/>
      <c r="S37" s="336"/>
      <c r="T37" s="336"/>
      <c r="U37" s="336"/>
      <c r="V37" s="336"/>
      <c r="W37" s="336"/>
      <c r="X37" s="336"/>
      <c r="Y37" s="336"/>
      <c r="Z37" s="336"/>
      <c r="AA37" s="336"/>
      <c r="AB37" s="336"/>
      <c r="AC37" s="336"/>
      <c r="AE37" s="450"/>
      <c r="AF37" s="106"/>
      <c r="AG37" s="85"/>
    </row>
    <row r="38" spans="1:36">
      <c r="A38" s="428">
        <v>52</v>
      </c>
      <c r="C38" s="856" t="s">
        <v>61</v>
      </c>
      <c r="D38" s="436">
        <v>2587.08</v>
      </c>
      <c r="E38" s="436">
        <v>2610.4299999999998</v>
      </c>
      <c r="F38" s="436">
        <v>2581.9899999999998</v>
      </c>
      <c r="G38" s="436">
        <v>2581.9899999999998</v>
      </c>
      <c r="H38" s="436">
        <v>2572.6999999999998</v>
      </c>
      <c r="I38" s="436">
        <v>2558.2199999999998</v>
      </c>
      <c r="J38" s="436">
        <v>2558.2199999999998</v>
      </c>
      <c r="K38" s="436">
        <v>2558.2199999999998</v>
      </c>
      <c r="L38" s="436">
        <v>2558.2199999999998</v>
      </c>
      <c r="M38" s="436">
        <v>2556.31</v>
      </c>
      <c r="N38" s="436">
        <v>2554.02</v>
      </c>
      <c r="O38" s="436">
        <v>2554.02</v>
      </c>
      <c r="P38" s="435">
        <f t="shared" ref="P38:P43" si="8">SUM(D38:O38)</f>
        <v>30831.420000000002</v>
      </c>
      <c r="Q38" s="336"/>
      <c r="R38" s="336"/>
      <c r="S38" s="336"/>
      <c r="T38" s="336"/>
      <c r="U38" s="336"/>
      <c r="V38" s="336"/>
      <c r="W38" s="336"/>
      <c r="X38" s="336"/>
      <c r="Y38" s="336"/>
      <c r="Z38" s="336"/>
      <c r="AA38" s="336"/>
      <c r="AB38" s="336"/>
      <c r="AC38" s="336"/>
      <c r="AE38" s="450"/>
      <c r="AF38" s="106"/>
      <c r="AG38" s="85"/>
      <c r="AI38" s="436"/>
      <c r="AJ38" s="436"/>
    </row>
    <row r="39" spans="1:36">
      <c r="A39" s="428" t="s">
        <v>151</v>
      </c>
      <c r="C39" s="856" t="s">
        <v>62</v>
      </c>
      <c r="D39" s="436">
        <v>18998.900878698878</v>
      </c>
      <c r="E39" s="436">
        <v>18986.880386607805</v>
      </c>
      <c r="F39" s="436">
        <v>18893.174978269923</v>
      </c>
      <c r="G39" s="436">
        <v>18893.174978269923</v>
      </c>
      <c r="H39" s="436">
        <v>18883.144978269924</v>
      </c>
      <c r="I39" s="436">
        <v>18158.644978269924</v>
      </c>
      <c r="J39" s="436">
        <v>18172.104978269923</v>
      </c>
      <c r="K39" s="436">
        <v>17424.114978269921</v>
      </c>
      <c r="L39" s="436">
        <v>17420.204978269921</v>
      </c>
      <c r="M39" s="436">
        <v>16933.46</v>
      </c>
      <c r="N39" s="436">
        <v>16925.849999999999</v>
      </c>
      <c r="O39" s="436">
        <v>16925.849999999999</v>
      </c>
      <c r="P39" s="435">
        <f t="shared" si="8"/>
        <v>216615.50611319614</v>
      </c>
      <c r="Q39" s="336"/>
      <c r="R39" s="336"/>
      <c r="S39" s="336"/>
      <c r="T39" s="336"/>
      <c r="U39" s="336"/>
      <c r="V39" s="336"/>
      <c r="W39" s="336"/>
      <c r="X39" s="336"/>
      <c r="Y39" s="336"/>
      <c r="Z39" s="336"/>
      <c r="AA39" s="336"/>
      <c r="AB39" s="336"/>
      <c r="AC39" s="336"/>
      <c r="AE39" s="450"/>
      <c r="AF39" s="106"/>
      <c r="AG39" s="85"/>
      <c r="AI39" s="436"/>
      <c r="AJ39" s="436"/>
    </row>
    <row r="40" spans="1:36">
      <c r="A40" s="428" t="s">
        <v>152</v>
      </c>
      <c r="C40" s="856" t="s">
        <v>63</v>
      </c>
      <c r="D40" s="436">
        <v>3263.75</v>
      </c>
      <c r="E40" s="436">
        <v>3573.92</v>
      </c>
      <c r="F40" s="436">
        <v>4140.8900000000003</v>
      </c>
      <c r="G40" s="436">
        <v>4539.09</v>
      </c>
      <c r="H40" s="436">
        <v>5311.98</v>
      </c>
      <c r="I40" s="436">
        <v>6153.92</v>
      </c>
      <c r="J40" s="436">
        <v>6186.34</v>
      </c>
      <c r="K40" s="436">
        <v>5136.17</v>
      </c>
      <c r="L40" s="436">
        <v>4499.42</v>
      </c>
      <c r="M40" s="436">
        <v>3930.27</v>
      </c>
      <c r="N40" s="436">
        <v>3411.54</v>
      </c>
      <c r="O40" s="436">
        <v>3035.32</v>
      </c>
      <c r="P40" s="435">
        <f t="shared" si="8"/>
        <v>53182.609999999993</v>
      </c>
      <c r="Q40" s="336"/>
      <c r="R40" s="336"/>
      <c r="S40" s="336"/>
      <c r="T40" s="336"/>
      <c r="U40" s="336"/>
      <c r="V40" s="336"/>
      <c r="W40" s="336"/>
      <c r="X40" s="336"/>
      <c r="Y40" s="336"/>
      <c r="Z40" s="336"/>
      <c r="AA40" s="336"/>
      <c r="AB40" s="336"/>
      <c r="AC40" s="336"/>
      <c r="AE40" s="450"/>
      <c r="AF40" s="106"/>
      <c r="AG40" s="85"/>
      <c r="AI40" s="436"/>
      <c r="AJ40" s="436"/>
    </row>
    <row r="41" spans="1:36">
      <c r="A41" s="428">
        <v>51</v>
      </c>
      <c r="C41" s="856" t="s">
        <v>64</v>
      </c>
      <c r="D41" s="436">
        <v>68956.599999999904</v>
      </c>
      <c r="E41" s="436">
        <v>71636.490000000005</v>
      </c>
      <c r="F41" s="436">
        <v>69069.86</v>
      </c>
      <c r="G41" s="436">
        <v>69137.55</v>
      </c>
      <c r="H41" s="436">
        <v>69110.38</v>
      </c>
      <c r="I41" s="436">
        <v>68169.73</v>
      </c>
      <c r="J41" s="436">
        <v>64584.24</v>
      </c>
      <c r="K41" s="436">
        <v>64136.39</v>
      </c>
      <c r="L41" s="436">
        <v>64217.34</v>
      </c>
      <c r="M41" s="436">
        <v>64227.76</v>
      </c>
      <c r="N41" s="436">
        <v>64268.71</v>
      </c>
      <c r="O41" s="436">
        <v>64442.64</v>
      </c>
      <c r="P41" s="435">
        <f t="shared" si="8"/>
        <v>801957.68999999983</v>
      </c>
      <c r="Q41" s="336"/>
      <c r="R41" s="336"/>
      <c r="S41" s="336"/>
      <c r="T41" s="336"/>
      <c r="U41" s="336"/>
      <c r="V41" s="336"/>
      <c r="W41" s="336"/>
      <c r="X41" s="336"/>
      <c r="Y41" s="336"/>
      <c r="Z41" s="336"/>
      <c r="AA41" s="336"/>
      <c r="AB41" s="336"/>
      <c r="AC41" s="336"/>
      <c r="AE41" s="450"/>
      <c r="AF41" s="106"/>
      <c r="AG41" s="85"/>
      <c r="AI41" s="435"/>
      <c r="AJ41" s="436"/>
    </row>
    <row r="42" spans="1:36">
      <c r="A42" s="428">
        <v>57</v>
      </c>
      <c r="C42" s="856" t="s">
        <v>65</v>
      </c>
      <c r="D42" s="436">
        <v>17615.87</v>
      </c>
      <c r="E42" s="436">
        <v>18504.37</v>
      </c>
      <c r="F42" s="436">
        <v>17555.93</v>
      </c>
      <c r="G42" s="436">
        <v>17543.07</v>
      </c>
      <c r="H42" s="436">
        <v>17521.759999999998</v>
      </c>
      <c r="I42" s="436">
        <v>16886.75</v>
      </c>
      <c r="J42" s="436">
        <v>15179.62</v>
      </c>
      <c r="K42" s="436">
        <v>13737.77</v>
      </c>
      <c r="L42" s="436">
        <v>14079.14</v>
      </c>
      <c r="M42" s="436">
        <v>13566.95</v>
      </c>
      <c r="N42" s="436">
        <v>13894.68</v>
      </c>
      <c r="O42" s="436">
        <v>13790.75</v>
      </c>
      <c r="P42" s="435">
        <f t="shared" si="8"/>
        <v>189876.65999999997</v>
      </c>
      <c r="Q42" s="336"/>
      <c r="R42" s="336"/>
      <c r="S42" s="336"/>
      <c r="T42" s="336"/>
      <c r="U42" s="336"/>
      <c r="V42" s="336"/>
      <c r="W42" s="336"/>
      <c r="X42" s="336"/>
      <c r="Y42" s="336"/>
      <c r="Z42" s="336"/>
      <c r="AA42" s="336"/>
      <c r="AB42" s="336"/>
      <c r="AC42" s="336"/>
      <c r="AD42" s="7"/>
      <c r="AE42" s="450"/>
      <c r="AF42" s="106"/>
      <c r="AG42" s="85"/>
      <c r="AI42" s="435"/>
      <c r="AJ42" s="436"/>
    </row>
    <row r="43" spans="1:36">
      <c r="B43" s="4" t="s">
        <v>564</v>
      </c>
      <c r="C43" s="856"/>
      <c r="D43" s="859">
        <f t="shared" ref="D43:O43" si="9">SUM(D38:D42)</f>
        <v>111422.20087869879</v>
      </c>
      <c r="E43" s="859">
        <f t="shared" si="9"/>
        <v>115312.0903866078</v>
      </c>
      <c r="F43" s="859">
        <f t="shared" si="9"/>
        <v>112241.84497826992</v>
      </c>
      <c r="G43" s="859">
        <f t="shared" si="9"/>
        <v>112694.87497826992</v>
      </c>
      <c r="H43" s="859">
        <f t="shared" si="9"/>
        <v>113399.96497826993</v>
      </c>
      <c r="I43" s="859">
        <f t="shared" si="9"/>
        <v>111927.26497826993</v>
      </c>
      <c r="J43" s="859">
        <f t="shared" si="9"/>
        <v>106680.52497826991</v>
      </c>
      <c r="K43" s="859">
        <f t="shared" si="9"/>
        <v>102992.66497826992</v>
      </c>
      <c r="L43" s="859">
        <f t="shared" si="9"/>
        <v>102774.32497826991</v>
      </c>
      <c r="M43" s="859">
        <f t="shared" si="9"/>
        <v>101214.75</v>
      </c>
      <c r="N43" s="859">
        <f t="shared" si="9"/>
        <v>101054.79999999999</v>
      </c>
      <c r="O43" s="859">
        <f t="shared" si="9"/>
        <v>100748.58</v>
      </c>
      <c r="P43" s="859">
        <f t="shared" si="8"/>
        <v>1292463.8861131961</v>
      </c>
      <c r="Q43" s="9"/>
      <c r="R43" s="9"/>
      <c r="S43" s="9"/>
      <c r="T43" s="9"/>
      <c r="U43" s="9"/>
      <c r="V43" s="9"/>
      <c r="W43" s="9"/>
      <c r="X43" s="9"/>
      <c r="Y43" s="9"/>
      <c r="Z43" s="9"/>
      <c r="AA43" s="9"/>
      <c r="AB43" s="9"/>
      <c r="AC43" s="415"/>
      <c r="AD43" s="416"/>
      <c r="AE43" s="416"/>
      <c r="AF43" s="860"/>
      <c r="AG43" s="85"/>
      <c r="AI43" s="435"/>
    </row>
    <row r="44" spans="1:36">
      <c r="C44" s="856"/>
      <c r="D44" s="859"/>
      <c r="E44" s="859"/>
      <c r="F44" s="859"/>
      <c r="G44" s="859"/>
      <c r="H44" s="859"/>
      <c r="I44" s="859"/>
      <c r="J44" s="859"/>
      <c r="K44" s="859"/>
      <c r="L44" s="859"/>
      <c r="M44" s="859"/>
      <c r="N44" s="859"/>
      <c r="O44" s="859"/>
      <c r="P44" s="859"/>
      <c r="R44" s="7"/>
      <c r="S44" s="7"/>
      <c r="T44" s="7"/>
      <c r="U44" s="7"/>
      <c r="V44" s="7"/>
      <c r="W44" s="7"/>
      <c r="X44" s="7"/>
      <c r="Y44" s="7"/>
      <c r="Z44" s="7"/>
      <c r="AA44" s="7"/>
      <c r="AB44" s="7"/>
      <c r="AC44" s="336"/>
      <c r="AD44" s="104"/>
      <c r="AE44" s="104"/>
      <c r="AF44" s="106"/>
      <c r="AG44" s="104"/>
    </row>
    <row r="45" spans="1:36">
      <c r="C45" s="856" t="s">
        <v>9</v>
      </c>
      <c r="D45" s="859">
        <f t="shared" ref="D45:O45" si="10">D12+D22+D32+D36+D43</f>
        <v>29216219.150878698</v>
      </c>
      <c r="E45" s="859">
        <f t="shared" si="10"/>
        <v>33005815.150386602</v>
      </c>
      <c r="F45" s="859">
        <f t="shared" si="10"/>
        <v>28781103.684978265</v>
      </c>
      <c r="G45" s="859">
        <f t="shared" si="10"/>
        <v>25747879.814978275</v>
      </c>
      <c r="H45" s="859">
        <f t="shared" si="10"/>
        <v>29535014.474978272</v>
      </c>
      <c r="I45" s="859">
        <f t="shared" si="10"/>
        <v>32577574.174978264</v>
      </c>
      <c r="J45" s="859">
        <f t="shared" si="10"/>
        <v>32332469.224978261</v>
      </c>
      <c r="K45" s="859">
        <f t="shared" si="10"/>
        <v>32886257.454978265</v>
      </c>
      <c r="L45" s="859">
        <f t="shared" si="10"/>
        <v>33017834.084978268</v>
      </c>
      <c r="M45" s="859">
        <f t="shared" si="10"/>
        <v>23965225.729999997</v>
      </c>
      <c r="N45" s="859">
        <f t="shared" si="10"/>
        <v>22014470.030000001</v>
      </c>
      <c r="O45" s="859">
        <f t="shared" si="10"/>
        <v>24492087.839999992</v>
      </c>
      <c r="P45" s="859">
        <f>SUM(D45:O45)</f>
        <v>347571950.81611317</v>
      </c>
      <c r="Q45" s="435"/>
      <c r="R45" s="435"/>
      <c r="S45" s="435"/>
      <c r="T45" s="435"/>
      <c r="U45" s="435"/>
      <c r="V45" s="435"/>
      <c r="W45" s="435"/>
      <c r="X45" s="435"/>
      <c r="Y45" s="435"/>
      <c r="Z45" s="435"/>
      <c r="AA45" s="435"/>
      <c r="AB45" s="435"/>
      <c r="AC45" s="859"/>
      <c r="AD45" s="106"/>
      <c r="AE45" s="106"/>
      <c r="AF45" s="106"/>
    </row>
    <row r="46" spans="1:36">
      <c r="B46" s="33"/>
      <c r="C46" s="861"/>
      <c r="D46" s="862"/>
      <c r="E46" s="862"/>
      <c r="F46" s="862"/>
      <c r="G46" s="862"/>
      <c r="H46" s="862"/>
      <c r="I46" s="862"/>
      <c r="J46" s="862"/>
      <c r="K46" s="862"/>
      <c r="L46" s="862"/>
      <c r="M46" s="862"/>
      <c r="N46" s="862"/>
      <c r="O46" s="862"/>
      <c r="P46" s="862"/>
      <c r="Q46" s="31"/>
      <c r="S46" s="849"/>
      <c r="AE46" s="849"/>
    </row>
    <row r="47" spans="1:36">
      <c r="C47" s="856"/>
      <c r="D47" s="859"/>
      <c r="E47" s="859"/>
      <c r="F47" s="859"/>
      <c r="G47" s="859"/>
      <c r="H47" s="859"/>
      <c r="I47" s="859"/>
      <c r="J47" s="859"/>
      <c r="K47" s="859"/>
      <c r="L47" s="859"/>
      <c r="M47" s="859"/>
      <c r="N47" s="859"/>
      <c r="O47" s="859"/>
      <c r="P47" s="859"/>
      <c r="Q47" s="31"/>
      <c r="S47" s="450"/>
    </row>
    <row r="48" spans="1:36">
      <c r="D48" s="859"/>
      <c r="E48" s="859"/>
      <c r="F48" s="859"/>
      <c r="G48" s="859"/>
      <c r="H48" s="859"/>
      <c r="I48" s="859"/>
      <c r="J48" s="859"/>
      <c r="K48" s="859"/>
      <c r="L48" s="859"/>
      <c r="M48" s="859"/>
      <c r="N48" s="859"/>
      <c r="O48" s="859"/>
      <c r="P48" s="859"/>
      <c r="Q48" s="31"/>
      <c r="S48" s="450"/>
    </row>
    <row r="49" spans="2:33">
      <c r="C49" s="7"/>
      <c r="D49" s="859"/>
      <c r="E49" s="859"/>
      <c r="F49" s="859"/>
      <c r="G49" s="859"/>
      <c r="H49" s="859"/>
      <c r="I49" s="859"/>
      <c r="J49" s="859"/>
      <c r="K49" s="859"/>
      <c r="L49" s="859"/>
      <c r="M49" s="859"/>
      <c r="N49" s="859"/>
      <c r="O49" s="859"/>
      <c r="P49" s="859"/>
      <c r="Q49" s="31"/>
      <c r="S49" s="450"/>
    </row>
    <row r="50" spans="2:33">
      <c r="C50" s="7"/>
      <c r="D50" s="7"/>
      <c r="E50" s="7"/>
      <c r="F50" s="7"/>
      <c r="G50" s="7"/>
      <c r="H50" s="7"/>
      <c r="I50" s="7"/>
      <c r="J50" s="7"/>
      <c r="K50" s="7"/>
      <c r="L50" s="7"/>
      <c r="M50" s="7"/>
      <c r="N50" s="7"/>
      <c r="O50" s="7"/>
      <c r="P50" s="859"/>
      <c r="Q50" s="106"/>
      <c r="S50" s="450"/>
    </row>
    <row r="51" spans="2:33">
      <c r="B51" s="7"/>
      <c r="D51" s="859"/>
      <c r="E51" s="859"/>
      <c r="F51" s="859"/>
      <c r="G51" s="859"/>
      <c r="H51" s="859"/>
      <c r="I51" s="859"/>
      <c r="J51" s="859"/>
      <c r="K51" s="859"/>
      <c r="L51" s="859"/>
      <c r="M51" s="859"/>
      <c r="N51" s="859"/>
      <c r="O51" s="859"/>
      <c r="P51" s="859"/>
      <c r="Q51" s="106"/>
      <c r="S51" s="450"/>
    </row>
    <row r="52" spans="2:33">
      <c r="D52" s="859"/>
      <c r="E52" s="859"/>
      <c r="F52" s="859"/>
      <c r="G52" s="859"/>
      <c r="H52" s="859"/>
      <c r="I52" s="859"/>
      <c r="J52" s="859"/>
      <c r="K52" s="859"/>
      <c r="L52" s="859"/>
      <c r="M52" s="859"/>
      <c r="N52" s="859"/>
      <c r="O52" s="859"/>
      <c r="P52" s="859"/>
      <c r="Q52" s="106"/>
      <c r="R52" s="85"/>
      <c r="S52" s="450"/>
    </row>
    <row r="53" spans="2:33">
      <c r="D53" s="859"/>
      <c r="E53" s="859"/>
      <c r="F53" s="859"/>
      <c r="G53" s="859"/>
      <c r="H53" s="859"/>
      <c r="I53" s="859"/>
      <c r="J53" s="859"/>
      <c r="K53" s="859"/>
      <c r="L53" s="859"/>
      <c r="M53" s="859"/>
      <c r="N53" s="859"/>
      <c r="O53" s="859"/>
      <c r="P53" s="859"/>
      <c r="Q53" s="106"/>
      <c r="R53" s="85"/>
      <c r="S53" s="450"/>
    </row>
    <row r="54" spans="2:33">
      <c r="D54" s="863"/>
      <c r="E54" s="863"/>
      <c r="F54" s="863"/>
      <c r="G54" s="863"/>
      <c r="H54" s="863"/>
      <c r="I54" s="863"/>
      <c r="J54" s="863"/>
      <c r="K54" s="863"/>
      <c r="L54" s="863"/>
      <c r="M54" s="863"/>
      <c r="N54" s="863"/>
      <c r="O54" s="863"/>
      <c r="P54" s="859"/>
      <c r="Q54" s="106"/>
      <c r="R54" s="85"/>
      <c r="S54" s="450"/>
    </row>
    <row r="55" spans="2:33">
      <c r="C55" s="7"/>
      <c r="D55" s="859"/>
      <c r="E55" s="859"/>
      <c r="F55" s="859"/>
      <c r="G55" s="859"/>
      <c r="H55" s="859"/>
      <c r="I55" s="859"/>
      <c r="J55" s="859"/>
      <c r="K55" s="859"/>
      <c r="L55" s="859"/>
      <c r="M55" s="859"/>
      <c r="N55" s="859"/>
      <c r="O55" s="859"/>
      <c r="P55" s="859"/>
      <c r="Q55" s="106"/>
      <c r="R55" s="85"/>
      <c r="S55" s="450"/>
    </row>
    <row r="56" spans="2:33">
      <c r="D56" s="859"/>
      <c r="E56" s="859"/>
      <c r="F56" s="859"/>
      <c r="G56" s="859"/>
      <c r="H56" s="859"/>
      <c r="I56" s="859"/>
      <c r="J56" s="859"/>
      <c r="K56" s="859"/>
      <c r="L56" s="859"/>
      <c r="M56" s="859"/>
      <c r="N56" s="859"/>
      <c r="O56" s="859"/>
      <c r="P56" s="859"/>
      <c r="Q56" s="106"/>
      <c r="R56" s="85"/>
      <c r="S56" s="450"/>
    </row>
    <row r="57" spans="2:33">
      <c r="C57" s="856"/>
      <c r="D57" s="859"/>
      <c r="E57" s="859"/>
      <c r="F57" s="859"/>
      <c r="G57" s="859"/>
      <c r="H57" s="859"/>
      <c r="I57" s="859"/>
      <c r="J57" s="859"/>
      <c r="K57" s="859"/>
      <c r="L57" s="859"/>
      <c r="M57" s="859"/>
      <c r="N57" s="859"/>
      <c r="O57" s="859"/>
      <c r="P57" s="859"/>
      <c r="Q57" s="106"/>
      <c r="R57" s="85"/>
      <c r="S57" s="450"/>
    </row>
    <row r="58" spans="2:33">
      <c r="B58" s="7"/>
      <c r="C58" s="5"/>
      <c r="D58" s="859"/>
      <c r="E58" s="859"/>
      <c r="F58" s="859"/>
      <c r="G58" s="859"/>
      <c r="H58" s="859"/>
      <c r="I58" s="859"/>
      <c r="J58" s="859"/>
      <c r="K58" s="859"/>
      <c r="L58" s="859"/>
      <c r="M58" s="859"/>
      <c r="N58" s="859"/>
      <c r="O58" s="859"/>
      <c r="P58" s="859"/>
      <c r="Q58" s="106"/>
      <c r="R58" s="85"/>
      <c r="S58" s="450"/>
    </row>
    <row r="59" spans="2:33">
      <c r="C59" s="5"/>
      <c r="D59" s="859"/>
      <c r="E59" s="859"/>
      <c r="F59" s="859"/>
      <c r="G59" s="859"/>
      <c r="H59" s="859"/>
      <c r="I59" s="859"/>
      <c r="J59" s="859"/>
      <c r="K59" s="859"/>
      <c r="L59" s="859"/>
      <c r="M59" s="859"/>
      <c r="N59" s="859"/>
      <c r="O59" s="859"/>
      <c r="P59" s="859"/>
      <c r="Q59" s="106"/>
      <c r="R59" s="85"/>
      <c r="S59" s="450"/>
    </row>
    <row r="60" spans="2:33">
      <c r="C60" s="856"/>
      <c r="D60" s="863"/>
      <c r="E60" s="863"/>
      <c r="F60" s="863"/>
      <c r="G60" s="863"/>
      <c r="H60" s="863"/>
      <c r="I60" s="863"/>
      <c r="J60" s="863"/>
      <c r="K60" s="863"/>
      <c r="L60" s="863"/>
      <c r="M60" s="863"/>
      <c r="N60" s="863"/>
      <c r="O60" s="863"/>
      <c r="P60" s="859"/>
      <c r="Q60" s="106"/>
      <c r="R60" s="85"/>
      <c r="S60" s="450"/>
    </row>
    <row r="61" spans="2:33">
      <c r="C61" s="856"/>
      <c r="D61" s="859"/>
      <c r="E61" s="859"/>
      <c r="F61" s="859"/>
      <c r="G61" s="859"/>
      <c r="H61" s="859"/>
      <c r="I61" s="859"/>
      <c r="J61" s="859"/>
      <c r="K61" s="859"/>
      <c r="L61" s="859"/>
      <c r="M61" s="859"/>
      <c r="N61" s="859"/>
      <c r="O61" s="859"/>
      <c r="P61" s="859"/>
      <c r="Q61" s="106"/>
      <c r="R61" s="85"/>
      <c r="S61" s="450"/>
    </row>
    <row r="62" spans="2:33">
      <c r="C62" s="858"/>
      <c r="D62" s="859"/>
      <c r="E62" s="859"/>
      <c r="F62" s="859"/>
      <c r="G62" s="859"/>
      <c r="H62" s="859"/>
      <c r="I62" s="859"/>
      <c r="J62" s="859"/>
      <c r="K62" s="859"/>
      <c r="L62" s="859"/>
      <c r="M62" s="859"/>
      <c r="N62" s="859"/>
      <c r="O62" s="859"/>
      <c r="P62" s="859"/>
      <c r="Q62" s="106"/>
      <c r="R62" s="85"/>
      <c r="S62" s="450"/>
    </row>
    <row r="63" spans="2:33">
      <c r="C63" s="856"/>
      <c r="D63" s="859"/>
      <c r="E63" s="859"/>
      <c r="F63" s="859"/>
      <c r="G63" s="859"/>
      <c r="H63" s="859"/>
      <c r="I63" s="859"/>
      <c r="J63" s="859"/>
      <c r="K63" s="859"/>
      <c r="L63" s="859"/>
      <c r="M63" s="859"/>
      <c r="N63" s="859"/>
      <c r="O63" s="859"/>
      <c r="P63" s="435"/>
      <c r="Q63" s="106"/>
      <c r="R63" s="336"/>
      <c r="S63" s="336"/>
      <c r="T63" s="336"/>
      <c r="U63" s="336"/>
      <c r="V63" s="336"/>
      <c r="W63" s="336"/>
      <c r="X63" s="336"/>
      <c r="Y63" s="336"/>
      <c r="Z63" s="336"/>
      <c r="AA63" s="336"/>
      <c r="AB63" s="336"/>
      <c r="AC63" s="336"/>
      <c r="AE63" s="450"/>
      <c r="AF63" s="106"/>
      <c r="AG63" s="85"/>
    </row>
    <row r="64" spans="2:33">
      <c r="C64" s="856"/>
      <c r="D64" s="859"/>
      <c r="E64" s="859"/>
      <c r="F64" s="859"/>
      <c r="G64" s="859"/>
      <c r="H64" s="859"/>
      <c r="I64" s="859"/>
      <c r="J64" s="859"/>
      <c r="K64" s="859"/>
      <c r="L64" s="859"/>
      <c r="M64" s="859"/>
      <c r="N64" s="859"/>
      <c r="O64" s="859"/>
      <c r="P64" s="859"/>
      <c r="Q64" s="106"/>
      <c r="R64" s="85"/>
      <c r="S64" s="450"/>
    </row>
    <row r="65" spans="3:19">
      <c r="C65" s="856"/>
      <c r="D65" s="859"/>
      <c r="E65" s="859"/>
      <c r="F65" s="859"/>
      <c r="G65" s="859"/>
      <c r="H65" s="859"/>
      <c r="I65" s="859"/>
      <c r="J65" s="859"/>
      <c r="K65" s="859"/>
      <c r="L65" s="859"/>
      <c r="M65" s="859"/>
      <c r="N65" s="859"/>
      <c r="O65" s="859"/>
      <c r="P65" s="859"/>
      <c r="Q65" s="106"/>
      <c r="R65" s="85"/>
      <c r="S65" s="450"/>
    </row>
    <row r="66" spans="3:19">
      <c r="C66" s="856"/>
      <c r="D66" s="859"/>
      <c r="E66" s="859"/>
      <c r="F66" s="859"/>
      <c r="G66" s="859"/>
      <c r="H66" s="859"/>
      <c r="I66" s="859"/>
      <c r="J66" s="859"/>
      <c r="K66" s="859"/>
      <c r="L66" s="859"/>
      <c r="M66" s="859"/>
      <c r="N66" s="859"/>
      <c r="O66" s="859"/>
      <c r="P66" s="859"/>
      <c r="Q66" s="106"/>
      <c r="R66" s="85"/>
      <c r="S66" s="450"/>
    </row>
    <row r="67" spans="3:19">
      <c r="C67" s="856"/>
      <c r="D67" s="859"/>
      <c r="E67" s="859"/>
      <c r="F67" s="859"/>
      <c r="G67" s="859"/>
      <c r="H67" s="859"/>
      <c r="I67" s="859"/>
      <c r="J67" s="859"/>
      <c r="K67" s="859"/>
      <c r="L67" s="859"/>
      <c r="M67" s="859"/>
      <c r="N67" s="859"/>
      <c r="O67" s="859"/>
      <c r="P67" s="859"/>
      <c r="Q67" s="106"/>
      <c r="R67" s="85"/>
      <c r="S67" s="450"/>
    </row>
    <row r="68" spans="3:19">
      <c r="C68" s="5"/>
      <c r="D68" s="859"/>
      <c r="E68" s="859"/>
      <c r="F68" s="859"/>
      <c r="G68" s="859"/>
      <c r="H68" s="859"/>
      <c r="I68" s="859"/>
      <c r="J68" s="859"/>
      <c r="K68" s="859"/>
      <c r="L68" s="859"/>
      <c r="M68" s="859"/>
      <c r="N68" s="859"/>
      <c r="O68" s="859"/>
      <c r="P68" s="859"/>
      <c r="Q68" s="106"/>
      <c r="R68" s="85"/>
      <c r="S68" s="450"/>
    </row>
    <row r="69" spans="3:19">
      <c r="C69" s="5"/>
      <c r="D69" s="859"/>
      <c r="E69" s="859"/>
      <c r="F69" s="859"/>
      <c r="G69" s="859"/>
      <c r="H69" s="859"/>
      <c r="I69" s="859"/>
      <c r="J69" s="859"/>
      <c r="K69" s="859"/>
      <c r="L69" s="859"/>
      <c r="M69" s="859"/>
      <c r="N69" s="859"/>
      <c r="O69" s="859"/>
      <c r="P69" s="859"/>
      <c r="Q69" s="106"/>
      <c r="R69" s="85"/>
      <c r="S69" s="450"/>
    </row>
    <row r="70" spans="3:19">
      <c r="C70" s="856"/>
      <c r="D70" s="859"/>
      <c r="E70" s="859"/>
      <c r="F70" s="859"/>
      <c r="G70" s="859"/>
      <c r="H70" s="859"/>
      <c r="I70" s="859"/>
      <c r="J70" s="859"/>
      <c r="K70" s="859"/>
      <c r="L70" s="859"/>
      <c r="M70" s="859"/>
      <c r="N70" s="859"/>
      <c r="O70" s="859"/>
      <c r="P70" s="859"/>
      <c r="Q70" s="106"/>
      <c r="R70" s="85"/>
      <c r="S70" s="450"/>
    </row>
    <row r="71" spans="3:19">
      <c r="C71" s="856"/>
      <c r="D71" s="859"/>
      <c r="E71" s="859"/>
      <c r="F71" s="859"/>
      <c r="G71" s="859"/>
      <c r="H71" s="859"/>
      <c r="I71" s="859"/>
      <c r="J71" s="859"/>
      <c r="K71" s="859"/>
      <c r="L71" s="859"/>
      <c r="M71" s="859"/>
      <c r="N71" s="859"/>
      <c r="O71" s="859"/>
      <c r="P71" s="859"/>
      <c r="Q71" s="106"/>
      <c r="R71" s="85"/>
      <c r="S71" s="450"/>
    </row>
    <row r="72" spans="3:19">
      <c r="C72" s="856"/>
      <c r="D72" s="859"/>
      <c r="E72" s="859"/>
      <c r="F72" s="859"/>
      <c r="G72" s="859"/>
      <c r="H72" s="859"/>
      <c r="I72" s="859"/>
      <c r="J72" s="859"/>
      <c r="K72" s="859"/>
      <c r="L72" s="859"/>
      <c r="M72" s="859"/>
      <c r="N72" s="859"/>
      <c r="O72" s="859"/>
      <c r="P72" s="859"/>
      <c r="Q72" s="106"/>
      <c r="R72" s="85"/>
      <c r="S72" s="450"/>
    </row>
    <row r="73" spans="3:19">
      <c r="C73" s="856"/>
      <c r="D73" s="859"/>
      <c r="E73" s="859"/>
      <c r="F73" s="859"/>
      <c r="G73" s="859"/>
      <c r="H73" s="859"/>
      <c r="I73" s="859"/>
      <c r="J73" s="859"/>
      <c r="K73" s="859"/>
      <c r="L73" s="859"/>
      <c r="M73" s="859"/>
      <c r="N73" s="859"/>
      <c r="O73" s="859"/>
      <c r="P73" s="859"/>
      <c r="Q73" s="106"/>
      <c r="R73" s="85"/>
      <c r="S73" s="450"/>
    </row>
    <row r="74" spans="3:19">
      <c r="C74" s="856"/>
      <c r="D74" s="859"/>
      <c r="E74" s="859"/>
      <c r="F74" s="859"/>
      <c r="G74" s="859"/>
      <c r="H74" s="859"/>
      <c r="I74" s="859"/>
      <c r="J74" s="859"/>
      <c r="K74" s="859"/>
      <c r="L74" s="859"/>
      <c r="M74" s="859"/>
      <c r="N74" s="859"/>
      <c r="O74" s="859"/>
      <c r="P74" s="859"/>
      <c r="Q74" s="106"/>
      <c r="R74" s="85"/>
      <c r="S74" s="450"/>
    </row>
    <row r="75" spans="3:19">
      <c r="C75" s="856"/>
      <c r="D75" s="859"/>
      <c r="E75" s="859"/>
      <c r="F75" s="859"/>
      <c r="G75" s="859"/>
      <c r="H75" s="859"/>
      <c r="I75" s="859"/>
      <c r="J75" s="859"/>
      <c r="K75" s="859"/>
      <c r="L75" s="859"/>
      <c r="M75" s="859"/>
      <c r="N75" s="859"/>
      <c r="O75" s="859"/>
      <c r="P75" s="859"/>
      <c r="Q75" s="106"/>
      <c r="R75" s="85"/>
      <c r="S75" s="450"/>
    </row>
    <row r="76" spans="3:19">
      <c r="C76" s="856"/>
      <c r="D76" s="859"/>
      <c r="E76" s="859"/>
      <c r="F76" s="859"/>
      <c r="G76" s="859"/>
      <c r="H76" s="859"/>
      <c r="I76" s="859"/>
      <c r="J76" s="859"/>
      <c r="K76" s="859"/>
      <c r="L76" s="859"/>
      <c r="M76" s="859"/>
      <c r="N76" s="859"/>
      <c r="O76" s="859"/>
      <c r="P76" s="859"/>
      <c r="Q76" s="106"/>
      <c r="R76" s="85"/>
      <c r="S76" s="450"/>
    </row>
    <row r="77" spans="3:19">
      <c r="C77" s="856"/>
      <c r="D77" s="859"/>
      <c r="E77" s="859"/>
      <c r="F77" s="859"/>
      <c r="G77" s="859"/>
      <c r="H77" s="859"/>
      <c r="I77" s="859"/>
      <c r="J77" s="859"/>
      <c r="K77" s="859"/>
      <c r="L77" s="859"/>
      <c r="M77" s="859"/>
      <c r="N77" s="859"/>
      <c r="O77" s="859"/>
      <c r="P77" s="859"/>
      <c r="Q77" s="106"/>
      <c r="R77" s="85"/>
      <c r="S77" s="450"/>
    </row>
    <row r="78" spans="3:19">
      <c r="C78" s="856"/>
      <c r="D78" s="859"/>
      <c r="E78" s="859"/>
      <c r="F78" s="859"/>
      <c r="G78" s="859"/>
      <c r="H78" s="859"/>
      <c r="I78" s="859"/>
      <c r="J78" s="859"/>
      <c r="K78" s="859"/>
      <c r="L78" s="859"/>
      <c r="M78" s="859"/>
      <c r="N78" s="859"/>
      <c r="O78" s="859"/>
      <c r="P78" s="859"/>
      <c r="Q78" s="106"/>
      <c r="R78" s="85"/>
      <c r="S78" s="450"/>
    </row>
    <row r="79" spans="3:19">
      <c r="C79" s="856"/>
      <c r="D79" s="859"/>
      <c r="E79" s="859"/>
      <c r="F79" s="859"/>
      <c r="G79" s="859"/>
      <c r="H79" s="859"/>
      <c r="I79" s="859"/>
      <c r="J79" s="859"/>
      <c r="K79" s="859"/>
      <c r="L79" s="859"/>
      <c r="M79" s="859"/>
      <c r="N79" s="859"/>
      <c r="O79" s="859"/>
      <c r="P79" s="859"/>
      <c r="Q79" s="106"/>
      <c r="R79" s="85"/>
      <c r="S79" s="450"/>
    </row>
    <row r="80" spans="3:19">
      <c r="C80" s="856"/>
      <c r="D80" s="859"/>
      <c r="E80" s="859"/>
      <c r="F80" s="859"/>
      <c r="G80" s="859"/>
      <c r="H80" s="859"/>
      <c r="I80" s="859"/>
      <c r="J80" s="859"/>
      <c r="K80" s="859"/>
      <c r="L80" s="859"/>
      <c r="M80" s="859"/>
      <c r="N80" s="859"/>
      <c r="O80" s="859"/>
      <c r="P80" s="859"/>
      <c r="Q80" s="106"/>
      <c r="R80" s="85"/>
      <c r="S80" s="450"/>
    </row>
    <row r="81" spans="3:19">
      <c r="C81" s="856"/>
      <c r="D81" s="859"/>
      <c r="E81" s="859"/>
      <c r="F81" s="859"/>
      <c r="G81" s="859"/>
      <c r="H81" s="859"/>
      <c r="I81" s="859"/>
      <c r="J81" s="859"/>
      <c r="K81" s="859"/>
      <c r="L81" s="859"/>
      <c r="M81" s="859"/>
      <c r="N81" s="859"/>
      <c r="O81" s="859"/>
      <c r="P81" s="859"/>
      <c r="Q81" s="106"/>
      <c r="R81" s="85"/>
      <c r="S81" s="450"/>
    </row>
    <row r="82" spans="3:19">
      <c r="C82" s="856"/>
      <c r="D82" s="859"/>
      <c r="E82" s="859"/>
      <c r="F82" s="859"/>
      <c r="G82" s="859"/>
      <c r="H82" s="859"/>
      <c r="I82" s="859"/>
      <c r="J82" s="859"/>
      <c r="K82" s="859"/>
      <c r="L82" s="859"/>
      <c r="M82" s="859"/>
      <c r="N82" s="859"/>
      <c r="O82" s="859"/>
      <c r="P82" s="859"/>
      <c r="Q82" s="106"/>
      <c r="R82" s="85"/>
      <c r="S82" s="450"/>
    </row>
    <row r="83" spans="3:19">
      <c r="C83" s="856"/>
      <c r="D83" s="859"/>
      <c r="E83" s="859"/>
      <c r="F83" s="859"/>
      <c r="G83" s="859"/>
      <c r="H83" s="859"/>
      <c r="I83" s="859"/>
      <c r="J83" s="859"/>
      <c r="K83" s="859"/>
      <c r="L83" s="859"/>
      <c r="M83" s="859"/>
      <c r="N83" s="859"/>
      <c r="O83" s="859"/>
      <c r="P83" s="859"/>
      <c r="Q83" s="106"/>
      <c r="R83" s="85"/>
      <c r="S83" s="450"/>
    </row>
    <row r="84" spans="3:19">
      <c r="C84" s="856"/>
      <c r="D84" s="859"/>
      <c r="E84" s="859"/>
      <c r="F84" s="859"/>
      <c r="G84" s="859"/>
      <c r="H84" s="859"/>
      <c r="I84" s="859"/>
      <c r="J84" s="859"/>
      <c r="K84" s="859"/>
      <c r="L84" s="859"/>
      <c r="M84" s="859"/>
      <c r="N84" s="859"/>
      <c r="O84" s="859"/>
      <c r="P84" s="859"/>
      <c r="Q84" s="106"/>
      <c r="R84" s="85"/>
      <c r="S84" s="450"/>
    </row>
    <row r="85" spans="3:19">
      <c r="C85" s="856"/>
      <c r="D85" s="859"/>
      <c r="E85" s="859"/>
      <c r="F85" s="859"/>
      <c r="G85" s="859"/>
      <c r="H85" s="859"/>
      <c r="I85" s="859"/>
      <c r="J85" s="859"/>
      <c r="K85" s="859"/>
      <c r="L85" s="859"/>
      <c r="M85" s="859"/>
      <c r="N85" s="859"/>
      <c r="O85" s="859"/>
      <c r="P85" s="859"/>
      <c r="Q85" s="106"/>
      <c r="R85" s="85"/>
      <c r="S85" s="450"/>
    </row>
    <row r="86" spans="3:19">
      <c r="C86" s="856"/>
      <c r="D86" s="859"/>
      <c r="E86" s="859"/>
      <c r="F86" s="859"/>
      <c r="G86" s="859"/>
      <c r="H86" s="859"/>
      <c r="I86" s="859"/>
      <c r="J86" s="859"/>
      <c r="K86" s="859"/>
      <c r="L86" s="859"/>
      <c r="M86" s="859"/>
      <c r="N86" s="859"/>
      <c r="O86" s="859"/>
      <c r="P86" s="859"/>
      <c r="Q86" s="106"/>
      <c r="R86" s="85"/>
      <c r="S86" s="450"/>
    </row>
    <row r="87" spans="3:19">
      <c r="C87" s="856"/>
      <c r="D87" s="859"/>
      <c r="E87" s="859"/>
      <c r="F87" s="859"/>
      <c r="G87" s="859"/>
      <c r="H87" s="859"/>
      <c r="I87" s="859"/>
      <c r="J87" s="859"/>
      <c r="K87" s="859"/>
      <c r="L87" s="859"/>
      <c r="M87" s="859"/>
      <c r="N87" s="859"/>
      <c r="O87" s="859"/>
      <c r="P87" s="859"/>
      <c r="Q87" s="106"/>
      <c r="R87" s="85"/>
      <c r="S87" s="450"/>
    </row>
    <row r="88" spans="3:19">
      <c r="C88" s="856"/>
      <c r="D88" s="859"/>
      <c r="E88" s="859"/>
      <c r="F88" s="859"/>
      <c r="G88" s="859"/>
      <c r="H88" s="859"/>
      <c r="I88" s="859"/>
      <c r="J88" s="859"/>
      <c r="K88" s="859"/>
      <c r="L88" s="859"/>
      <c r="M88" s="859"/>
      <c r="N88" s="859"/>
      <c r="O88" s="859"/>
      <c r="P88" s="859"/>
      <c r="Q88" s="106"/>
      <c r="R88" s="85"/>
      <c r="S88" s="450"/>
    </row>
    <row r="89" spans="3:19">
      <c r="D89" s="859"/>
      <c r="E89" s="859"/>
      <c r="F89" s="859"/>
      <c r="G89" s="859"/>
      <c r="H89" s="859"/>
      <c r="I89" s="859"/>
      <c r="J89" s="859"/>
      <c r="K89" s="859"/>
      <c r="L89" s="859"/>
      <c r="M89" s="859"/>
      <c r="N89" s="859"/>
      <c r="O89" s="859"/>
      <c r="P89" s="859"/>
      <c r="Q89" s="106"/>
      <c r="R89" s="85"/>
      <c r="S89" s="450"/>
    </row>
    <row r="90" spans="3:19">
      <c r="D90" s="859"/>
      <c r="E90" s="859"/>
      <c r="F90" s="859"/>
      <c r="G90" s="859"/>
      <c r="H90" s="859"/>
      <c r="I90" s="859"/>
      <c r="J90" s="859"/>
      <c r="K90" s="859"/>
      <c r="L90" s="859"/>
      <c r="M90" s="859"/>
      <c r="N90" s="859"/>
      <c r="O90" s="859"/>
      <c r="P90" s="564"/>
      <c r="S90" s="450"/>
    </row>
    <row r="91" spans="3:19">
      <c r="C91" s="856"/>
      <c r="D91" s="859"/>
      <c r="E91" s="859"/>
      <c r="F91" s="859"/>
      <c r="G91" s="859"/>
      <c r="H91" s="859"/>
      <c r="I91" s="859"/>
      <c r="J91" s="859"/>
      <c r="K91" s="859"/>
      <c r="L91" s="859"/>
      <c r="M91" s="859"/>
      <c r="N91" s="859"/>
      <c r="O91" s="859"/>
      <c r="P91" s="859"/>
      <c r="Q91" s="857"/>
      <c r="R91" s="85"/>
      <c r="S91" s="450"/>
    </row>
    <row r="92" spans="3:19">
      <c r="D92" s="859"/>
      <c r="E92" s="859"/>
      <c r="F92" s="859"/>
      <c r="G92" s="859"/>
      <c r="H92" s="859"/>
      <c r="I92" s="859"/>
      <c r="J92" s="859"/>
      <c r="K92" s="859"/>
      <c r="L92" s="859"/>
      <c r="M92" s="859"/>
      <c r="N92" s="859"/>
      <c r="O92" s="859"/>
      <c r="P92" s="859"/>
      <c r="Q92" s="849"/>
      <c r="S92" s="450"/>
    </row>
    <row r="93" spans="3:19">
      <c r="D93" s="572"/>
      <c r="E93" s="572"/>
      <c r="F93" s="572"/>
      <c r="G93" s="572"/>
      <c r="H93" s="572"/>
      <c r="I93" s="572"/>
      <c r="J93" s="572"/>
      <c r="K93" s="572"/>
      <c r="L93" s="572"/>
      <c r="M93" s="572"/>
      <c r="N93" s="572"/>
      <c r="O93" s="572"/>
      <c r="P93" s="572"/>
    </row>
  </sheetData>
  <phoneticPr fontId="23"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W66"/>
  <sheetViews>
    <sheetView workbookViewId="0"/>
  </sheetViews>
  <sheetFormatPr defaultColWidth="8.5" defaultRowHeight="15"/>
  <cols>
    <col min="1" max="1" width="5" style="51" customWidth="1"/>
    <col min="2" max="2" width="3.25" style="51" customWidth="1"/>
    <col min="3" max="3" width="1.125" style="51" customWidth="1"/>
    <col min="4" max="4" width="32.25" style="51" customWidth="1"/>
    <col min="5" max="5" width="1.125" style="51" customWidth="1"/>
    <col min="6" max="6" width="7.25" style="51" bestFit="1" customWidth="1"/>
    <col min="7" max="7" width="1.125" style="51" customWidth="1"/>
    <col min="8" max="8" width="8.5" style="51" bestFit="1" customWidth="1"/>
    <col min="9" max="9" width="1.125" style="51" customWidth="1"/>
    <col min="10" max="10" width="11.75" style="51" bestFit="1" customWidth="1"/>
    <col min="11" max="11" width="1.125" style="51" customWidth="1"/>
    <col min="12" max="12" width="12.25" style="51" bestFit="1" customWidth="1"/>
    <col min="13" max="13" width="1.125" style="51" customWidth="1"/>
    <col min="14" max="14" width="12.25" style="51" hidden="1" customWidth="1"/>
    <col min="15" max="15" width="1.125" style="51" hidden="1" customWidth="1"/>
    <col min="16" max="16" width="13.25" style="51" hidden="1" customWidth="1"/>
    <col min="17" max="17" width="2.875" style="51" hidden="1" customWidth="1"/>
    <col min="18" max="18" width="10.5" style="51" hidden="1" customWidth="1"/>
    <col min="19" max="19" width="2.125" style="51" hidden="1" customWidth="1"/>
    <col min="20" max="20" width="10.5" style="51" hidden="1" customWidth="1"/>
    <col min="21" max="21" width="2.125" style="51" hidden="1" customWidth="1"/>
    <col min="22" max="22" width="10.5" style="51" hidden="1" customWidth="1"/>
    <col min="23" max="23" width="2.125" style="51" hidden="1" customWidth="1"/>
    <col min="24" max="24" width="0" style="51" hidden="1" customWidth="1"/>
    <col min="25" max="16384" width="8.5" style="51"/>
  </cols>
  <sheetData>
    <row r="1" spans="2:23" ht="15.75">
      <c r="B1" s="656" t="s">
        <v>31</v>
      </c>
      <c r="C1" s="656"/>
      <c r="D1" s="656"/>
      <c r="E1" s="656"/>
      <c r="F1" s="656"/>
      <c r="G1" s="656"/>
      <c r="H1" s="656"/>
      <c r="I1" s="656"/>
      <c r="J1" s="656"/>
      <c r="K1" s="656"/>
      <c r="L1" s="656"/>
      <c r="M1" s="656"/>
      <c r="N1" s="656"/>
      <c r="O1" s="656"/>
      <c r="P1" s="656"/>
      <c r="Q1" s="656"/>
      <c r="R1" s="656"/>
      <c r="S1" s="656"/>
      <c r="U1" s="656"/>
      <c r="W1" s="656"/>
    </row>
    <row r="2" spans="2:23" ht="15.75">
      <c r="B2" s="657" t="s">
        <v>658</v>
      </c>
      <c r="C2" s="657"/>
      <c r="D2" s="657"/>
      <c r="E2" s="657"/>
      <c r="F2" s="657"/>
      <c r="G2" s="657"/>
      <c r="H2" s="657"/>
      <c r="I2" s="657"/>
      <c r="J2" s="657"/>
      <c r="K2" s="657"/>
      <c r="L2" s="657"/>
      <c r="M2" s="657"/>
      <c r="N2" s="657"/>
      <c r="O2" s="657"/>
      <c r="P2" s="657"/>
      <c r="Q2" s="657"/>
      <c r="R2" s="657"/>
      <c r="S2" s="657"/>
      <c r="T2" s="657"/>
      <c r="U2" s="657"/>
      <c r="V2" s="657"/>
      <c r="W2" s="657"/>
    </row>
    <row r="3" spans="2:23" ht="15.75">
      <c r="B3" s="657" t="s">
        <v>719</v>
      </c>
      <c r="C3" s="657"/>
      <c r="D3" s="657"/>
      <c r="E3" s="657"/>
      <c r="F3" s="657"/>
      <c r="G3" s="657"/>
      <c r="H3" s="657"/>
      <c r="I3" s="657"/>
      <c r="J3" s="657"/>
      <c r="K3" s="657"/>
      <c r="L3" s="657"/>
      <c r="M3" s="657"/>
      <c r="N3" s="657"/>
      <c r="O3" s="657"/>
      <c r="P3" s="657"/>
      <c r="Q3" s="657"/>
      <c r="R3" s="657"/>
      <c r="S3" s="657"/>
      <c r="T3" s="657"/>
      <c r="U3" s="657"/>
      <c r="V3" s="657"/>
      <c r="W3" s="657"/>
    </row>
    <row r="4" spans="2:23" ht="15.75">
      <c r="B4" s="657" t="s">
        <v>720</v>
      </c>
      <c r="C4" s="657"/>
      <c r="D4" s="657"/>
      <c r="E4" s="657"/>
      <c r="F4" s="657"/>
      <c r="G4" s="657"/>
      <c r="H4" s="657"/>
      <c r="I4" s="657"/>
      <c r="J4" s="657"/>
      <c r="K4" s="657"/>
      <c r="L4" s="657"/>
      <c r="M4" s="657"/>
      <c r="N4" s="657"/>
      <c r="O4" s="657"/>
      <c r="P4" s="657"/>
      <c r="Q4" s="657"/>
      <c r="R4" s="657"/>
      <c r="S4" s="657"/>
      <c r="T4" s="657"/>
      <c r="U4" s="657"/>
      <c r="V4" s="657"/>
      <c r="W4" s="657"/>
    </row>
    <row r="5" spans="2:23" ht="15.75">
      <c r="B5" s="658" t="s">
        <v>832</v>
      </c>
      <c r="C5" s="658"/>
      <c r="D5" s="658"/>
      <c r="E5" s="658"/>
      <c r="F5" s="658"/>
      <c r="G5" s="658"/>
      <c r="H5" s="658"/>
      <c r="I5" s="658"/>
      <c r="J5" s="658"/>
      <c r="K5" s="658"/>
      <c r="L5" s="658"/>
      <c r="M5" s="658"/>
      <c r="N5" s="658"/>
      <c r="O5" s="658"/>
      <c r="P5" s="658"/>
      <c r="Q5" s="658"/>
      <c r="R5" s="658"/>
      <c r="S5" s="658"/>
      <c r="T5" s="658"/>
      <c r="U5" s="658"/>
      <c r="V5" s="658"/>
      <c r="W5" s="658"/>
    </row>
    <row r="6" spans="2:23">
      <c r="B6" s="659"/>
      <c r="C6" s="659"/>
      <c r="D6" s="659"/>
      <c r="E6" s="659"/>
      <c r="F6" s="659"/>
      <c r="G6" s="659"/>
      <c r="H6" s="659"/>
      <c r="I6" s="659"/>
      <c r="J6" s="659"/>
      <c r="K6" s="659"/>
      <c r="L6" s="659"/>
      <c r="M6" s="659"/>
      <c r="N6" s="659"/>
      <c r="O6" s="659"/>
      <c r="P6" s="659"/>
      <c r="Q6" s="660"/>
      <c r="R6" s="659"/>
      <c r="S6" s="659"/>
      <c r="U6" s="659"/>
      <c r="W6" s="659"/>
    </row>
    <row r="7" spans="2:23">
      <c r="B7" s="659"/>
      <c r="C7" s="659"/>
      <c r="D7" s="659"/>
      <c r="E7" s="659"/>
      <c r="F7" s="659"/>
      <c r="G7" s="659"/>
      <c r="H7" s="659"/>
      <c r="I7" s="659"/>
      <c r="J7" s="659"/>
      <c r="K7" s="659"/>
      <c r="L7" s="659"/>
      <c r="M7" s="659"/>
      <c r="N7" s="659"/>
      <c r="O7" s="659"/>
      <c r="P7" s="659"/>
      <c r="Q7" s="660"/>
      <c r="R7" s="659"/>
      <c r="S7" s="659"/>
      <c r="U7" s="659"/>
      <c r="W7" s="659"/>
    </row>
    <row r="8" spans="2:23">
      <c r="L8" s="661" t="s">
        <v>31</v>
      </c>
      <c r="N8" s="661" t="s">
        <v>190</v>
      </c>
      <c r="P8" s="661" t="s">
        <v>190</v>
      </c>
      <c r="Q8" s="662"/>
      <c r="R8" s="663" t="s">
        <v>39</v>
      </c>
      <c r="S8" s="664"/>
      <c r="T8" s="665" t="s">
        <v>39</v>
      </c>
      <c r="U8" s="664"/>
      <c r="V8" s="665" t="s">
        <v>39</v>
      </c>
      <c r="W8" s="664"/>
    </row>
    <row r="9" spans="2:23">
      <c r="F9" s="666" t="s">
        <v>721</v>
      </c>
      <c r="I9" s="83"/>
      <c r="K9" s="83"/>
      <c r="L9" s="661" t="s">
        <v>744</v>
      </c>
      <c r="M9" s="667"/>
      <c r="N9" s="661" t="s">
        <v>193</v>
      </c>
      <c r="O9" s="667"/>
      <c r="P9" s="661" t="s">
        <v>194</v>
      </c>
      <c r="Q9" s="660"/>
      <c r="R9" s="663" t="s">
        <v>180</v>
      </c>
      <c r="S9" s="664"/>
      <c r="T9" s="665" t="s">
        <v>193</v>
      </c>
      <c r="U9" s="664"/>
      <c r="V9" s="665" t="s">
        <v>194</v>
      </c>
      <c r="W9" s="664"/>
    </row>
    <row r="10" spans="2:23" s="669" customFormat="1" ht="17.25">
      <c r="B10" s="666" t="s">
        <v>179</v>
      </c>
      <c r="C10" s="84"/>
      <c r="D10" s="666"/>
      <c r="E10" s="666"/>
      <c r="F10" s="666" t="s">
        <v>722</v>
      </c>
      <c r="G10" s="666"/>
      <c r="H10" s="666" t="s">
        <v>723</v>
      </c>
      <c r="I10" s="661"/>
      <c r="J10" s="666"/>
      <c r="K10" s="661"/>
      <c r="L10" s="661" t="s">
        <v>37</v>
      </c>
      <c r="M10" s="661"/>
      <c r="N10" s="661" t="s">
        <v>37</v>
      </c>
      <c r="O10" s="661"/>
      <c r="P10" s="661" t="s">
        <v>724</v>
      </c>
      <c r="Q10" s="668"/>
      <c r="R10" s="663" t="s">
        <v>182</v>
      </c>
      <c r="S10" s="661"/>
      <c r="T10" s="663" t="s">
        <v>182</v>
      </c>
      <c r="U10" s="661"/>
      <c r="V10" s="663" t="s">
        <v>182</v>
      </c>
      <c r="W10" s="661"/>
    </row>
    <row r="11" spans="2:23" ht="18" customHeight="1">
      <c r="B11" s="670" t="s">
        <v>181</v>
      </c>
      <c r="C11" s="84"/>
      <c r="D11" s="670" t="s">
        <v>195</v>
      </c>
      <c r="E11" s="84"/>
      <c r="F11" s="670" t="s">
        <v>181</v>
      </c>
      <c r="G11" s="666"/>
      <c r="H11" s="670" t="s">
        <v>725</v>
      </c>
      <c r="I11" s="666"/>
      <c r="J11" s="670" t="s">
        <v>23</v>
      </c>
      <c r="K11" s="666"/>
      <c r="L11" s="671" t="s">
        <v>191</v>
      </c>
      <c r="M11" s="666"/>
      <c r="N11" s="671" t="s">
        <v>191</v>
      </c>
      <c r="O11" s="666"/>
      <c r="P11" s="671" t="s">
        <v>191</v>
      </c>
      <c r="Q11" s="668"/>
      <c r="R11" s="672" t="s">
        <v>726</v>
      </c>
      <c r="S11" s="673"/>
      <c r="T11" s="672" t="s">
        <v>726</v>
      </c>
      <c r="U11" s="673"/>
      <c r="V11" s="672" t="s">
        <v>726</v>
      </c>
      <c r="W11" s="673"/>
    </row>
    <row r="12" spans="2:23" ht="18" customHeight="1">
      <c r="D12" s="674">
        <v>-1</v>
      </c>
      <c r="F12" s="674">
        <f>MIN($D12:E12)-1</f>
        <v>-2</v>
      </c>
      <c r="H12" s="674">
        <f>MIN($D12:G12)-1</f>
        <v>-3</v>
      </c>
      <c r="J12" s="674">
        <f>MIN($D12:I12)-1</f>
        <v>-4</v>
      </c>
      <c r="L12" s="674">
        <f>MIN($D12:K12)-1</f>
        <v>-5</v>
      </c>
      <c r="N12" s="674">
        <f>MIN($D12:M12)-1</f>
        <v>-6</v>
      </c>
      <c r="P12" s="674">
        <f>MIN($D12:O12)-1</f>
        <v>-7</v>
      </c>
      <c r="Q12" s="662"/>
      <c r="R12" s="675">
        <f>MIN($D12:Q12)-1</f>
        <v>-8</v>
      </c>
      <c r="S12" s="83"/>
      <c r="T12" s="675">
        <f>MIN($D12:S12)-1</f>
        <v>-9</v>
      </c>
      <c r="U12" s="83"/>
      <c r="V12" s="675">
        <f>MIN($D12:U12)-1</f>
        <v>-10</v>
      </c>
      <c r="W12" s="83"/>
    </row>
    <row r="13" spans="2:23" ht="18" customHeight="1">
      <c r="Q13" s="662"/>
      <c r="R13" s="676" t="s">
        <v>727</v>
      </c>
      <c r="S13" s="83"/>
      <c r="T13" s="676" t="s">
        <v>728</v>
      </c>
      <c r="U13" s="83"/>
      <c r="V13" s="676" t="s">
        <v>729</v>
      </c>
      <c r="W13" s="83"/>
    </row>
    <row r="14" spans="2:23" ht="18" customHeight="1">
      <c r="D14" s="677" t="s">
        <v>17</v>
      </c>
      <c r="E14" s="677"/>
      <c r="Q14" s="662"/>
    </row>
    <row r="15" spans="2:23" ht="18" customHeight="1">
      <c r="B15" s="83">
        <v>1</v>
      </c>
      <c r="D15" s="51" t="s">
        <v>17</v>
      </c>
      <c r="E15" s="678"/>
      <c r="F15" s="679" t="s">
        <v>730</v>
      </c>
      <c r="H15" s="680" t="e">
        <f>#REF!+#REF!+#REF!+#REF!+#REF!</f>
        <v>#REF!</v>
      </c>
      <c r="J15" s="680" t="e">
        <f>(#REF!+#REF!+#REF!+#REF!+#REF!)/1000</f>
        <v>#REF!</v>
      </c>
      <c r="L15" s="682" t="e">
        <f>#REF!/1000</f>
        <v>#REF!</v>
      </c>
      <c r="M15" s="682"/>
      <c r="N15" s="682" t="e">
        <f>0.00245*J15</f>
        <v>#REF!</v>
      </c>
      <c r="O15" s="682"/>
      <c r="P15" s="682" t="e">
        <f>SUM(L15:O15)</f>
        <v>#REF!</v>
      </c>
      <c r="Q15" s="683"/>
      <c r="R15" s="684" t="e">
        <f>L15/$J15</f>
        <v>#REF!</v>
      </c>
      <c r="S15" s="682"/>
      <c r="T15" s="684" t="e">
        <f>N15/$J15</f>
        <v>#REF!</v>
      </c>
      <c r="U15" s="682"/>
      <c r="V15" s="684" t="e">
        <f>P15/$J15</f>
        <v>#REF!</v>
      </c>
      <c r="W15" s="682"/>
    </row>
    <row r="16" spans="2:23" ht="18" customHeight="1">
      <c r="B16" s="83">
        <f>MAX(B$15:B15)+1</f>
        <v>2</v>
      </c>
      <c r="D16" s="51" t="s">
        <v>183</v>
      </c>
      <c r="F16" s="83" t="s">
        <v>184</v>
      </c>
      <c r="H16" s="680" t="e">
        <f>#REF!</f>
        <v>#REF!</v>
      </c>
      <c r="I16" s="681"/>
      <c r="J16" s="680" t="e">
        <f>#REF!/1000</f>
        <v>#REF!</v>
      </c>
      <c r="L16" s="682" t="e">
        <f>#REF!/1000</f>
        <v>#REF!</v>
      </c>
      <c r="M16" s="682"/>
      <c r="N16" s="682" t="e">
        <f>0.00219*J16</f>
        <v>#REF!</v>
      </c>
      <c r="O16" s="682"/>
      <c r="P16" s="682" t="e">
        <f>SUM(L16:O16)</f>
        <v>#REF!</v>
      </c>
      <c r="Q16" s="683"/>
      <c r="R16" s="684" t="e">
        <f>L16/$J16</f>
        <v>#REF!</v>
      </c>
      <c r="S16" s="685"/>
      <c r="T16" s="684" t="e">
        <f>N16/$J16</f>
        <v>#REF!</v>
      </c>
      <c r="U16" s="685"/>
      <c r="V16" s="684" t="e">
        <f>P16/$J16</f>
        <v>#REF!</v>
      </c>
      <c r="W16" s="685"/>
    </row>
    <row r="17" spans="2:23" ht="18" customHeight="1">
      <c r="B17" s="83">
        <f>MAX(B$15:B16)+1</f>
        <v>3</v>
      </c>
      <c r="D17" s="51" t="s">
        <v>731</v>
      </c>
      <c r="F17" s="83">
        <v>24</v>
      </c>
      <c r="H17" s="680" t="e">
        <f>#REF!</f>
        <v>#REF!</v>
      </c>
      <c r="I17" s="681"/>
      <c r="J17" s="680" t="e">
        <f>#REF!/1000</f>
        <v>#REF!</v>
      </c>
      <c r="L17" s="682" t="e">
        <f>#REF!/1000</f>
        <v>#REF!</v>
      </c>
      <c r="M17" s="682"/>
      <c r="N17" s="682" t="e">
        <f>0.00245*J17</f>
        <v>#REF!</v>
      </c>
      <c r="O17" s="682"/>
      <c r="P17" s="682" t="e">
        <f t="shared" ref="P17" si="0">SUM(L17:O17)</f>
        <v>#REF!</v>
      </c>
      <c r="Q17" s="683"/>
      <c r="R17" s="684" t="e">
        <f>L17/$J17</f>
        <v>#REF!</v>
      </c>
      <c r="S17" s="682"/>
      <c r="T17" s="684" t="e">
        <f>N17/$J17</f>
        <v>#REF!</v>
      </c>
      <c r="U17" s="682"/>
      <c r="V17" s="684" t="e">
        <f>P17/$J17</f>
        <v>#REF!</v>
      </c>
      <c r="W17" s="682"/>
    </row>
    <row r="18" spans="2:23" ht="18" customHeight="1">
      <c r="B18" s="83">
        <f>MAX(B$15:B16)+1</f>
        <v>3</v>
      </c>
      <c r="D18" s="51" t="s">
        <v>192</v>
      </c>
      <c r="F18" s="83"/>
      <c r="H18" s="680"/>
      <c r="I18" s="681"/>
      <c r="J18" s="681">
        <v>0</v>
      </c>
      <c r="L18" s="682">
        <v>0</v>
      </c>
      <c r="M18" s="682"/>
      <c r="N18" s="682"/>
      <c r="O18" s="682"/>
      <c r="P18" s="682">
        <f>SUM(L18:O18)</f>
        <v>0</v>
      </c>
      <c r="Q18" s="683"/>
      <c r="R18" s="684"/>
      <c r="S18" s="685"/>
      <c r="T18" s="686"/>
      <c r="U18" s="685"/>
      <c r="V18" s="686"/>
      <c r="W18" s="685"/>
    </row>
    <row r="19" spans="2:23" ht="18" customHeight="1">
      <c r="B19" s="83">
        <f>MAX(B$15:B18)+1</f>
        <v>4</v>
      </c>
      <c r="D19" s="84" t="s">
        <v>27</v>
      </c>
      <c r="H19" s="687" t="e">
        <f>SUM(H15:H18)</f>
        <v>#REF!</v>
      </c>
      <c r="I19" s="681"/>
      <c r="J19" s="687" t="e">
        <f>SUM(J15:J18)</f>
        <v>#REF!</v>
      </c>
      <c r="L19" s="734" t="e">
        <f>SUM(L15:L18)</f>
        <v>#REF!</v>
      </c>
      <c r="M19" s="682"/>
      <c r="N19" s="688" t="e">
        <f>SUM(N15:N18)</f>
        <v>#REF!</v>
      </c>
      <c r="O19" s="682"/>
      <c r="P19" s="688" t="e">
        <f>SUM(P15:P18)</f>
        <v>#REF!</v>
      </c>
      <c r="Q19" s="683"/>
      <c r="R19" s="689" t="e">
        <f>L19/$J19</f>
        <v>#REF!</v>
      </c>
      <c r="S19" s="682"/>
      <c r="T19" s="689" t="e">
        <f>N19/$J19</f>
        <v>#REF!</v>
      </c>
      <c r="U19" s="682"/>
      <c r="V19" s="689" t="e">
        <f>P19/$J19</f>
        <v>#REF!</v>
      </c>
      <c r="W19" s="682"/>
    </row>
    <row r="20" spans="2:23" ht="8.25" customHeight="1">
      <c r="H20" s="681"/>
      <c r="I20" s="681"/>
      <c r="J20" s="681"/>
      <c r="L20" s="682"/>
      <c r="M20" s="682"/>
      <c r="N20" s="682"/>
      <c r="O20" s="682"/>
      <c r="P20" s="682"/>
      <c r="Q20" s="683"/>
      <c r="R20" s="686"/>
      <c r="S20" s="682"/>
      <c r="T20" s="686"/>
      <c r="U20" s="682"/>
      <c r="V20" s="686"/>
      <c r="W20" s="682"/>
    </row>
    <row r="21" spans="2:23" ht="18" customHeight="1">
      <c r="D21" s="677" t="s">
        <v>18</v>
      </c>
      <c r="E21" s="677"/>
      <c r="F21" s="677"/>
      <c r="L21" s="682"/>
      <c r="N21" s="682"/>
      <c r="P21" s="682"/>
      <c r="Q21" s="662"/>
      <c r="R21" s="686"/>
      <c r="T21" s="686"/>
      <c r="V21" s="686"/>
    </row>
    <row r="22" spans="2:23" ht="18" customHeight="1">
      <c r="B22" s="83">
        <f>MAX(B$15:B21)+1</f>
        <v>5</v>
      </c>
      <c r="D22" s="51" t="s">
        <v>183</v>
      </c>
      <c r="F22" s="83" t="s">
        <v>184</v>
      </c>
      <c r="H22" s="680" t="e">
        <f>#REF!</f>
        <v>#REF!</v>
      </c>
      <c r="I22" s="681"/>
      <c r="J22" s="680" t="e">
        <f>#REF!/1000</f>
        <v>#REF!</v>
      </c>
      <c r="L22" s="682" t="e">
        <f>#REF!/1000</f>
        <v>#REF!</v>
      </c>
      <c r="M22" s="682"/>
      <c r="N22" s="682" t="e">
        <f>0.00219*J22</f>
        <v>#REF!</v>
      </c>
      <c r="O22" s="682"/>
      <c r="P22" s="682" t="e">
        <f t="shared" ref="P22:P27" si="1">SUM(L22:O22)</f>
        <v>#REF!</v>
      </c>
      <c r="Q22" s="683"/>
      <c r="R22" s="684" t="e">
        <f>L22/$J22</f>
        <v>#REF!</v>
      </c>
      <c r="S22" s="682"/>
      <c r="T22" s="684" t="e">
        <f>N22/$J22</f>
        <v>#REF!</v>
      </c>
      <c r="U22" s="682"/>
      <c r="V22" s="684" t="e">
        <f>P22/$J22</f>
        <v>#REF!</v>
      </c>
      <c r="W22" s="682"/>
    </row>
    <row r="23" spans="2:23" ht="18" customHeight="1">
      <c r="B23" s="83">
        <f>MAX(B$15:B22)+1</f>
        <v>6</v>
      </c>
      <c r="D23" s="51" t="s">
        <v>185</v>
      </c>
      <c r="F23" s="83" t="s">
        <v>186</v>
      </c>
      <c r="H23" s="680" t="e">
        <f>#REF!</f>
        <v>#REF!</v>
      </c>
      <c r="I23" s="681"/>
      <c r="J23" s="680" t="e">
        <f>#REF!/1000</f>
        <v>#REF!</v>
      </c>
      <c r="L23" s="682" t="e">
        <f>#REF!/1000</f>
        <v>#REF!</v>
      </c>
      <c r="M23" s="682"/>
      <c r="N23" s="682" t="e">
        <f>0.00278*J23</f>
        <v>#REF!</v>
      </c>
      <c r="O23" s="682"/>
      <c r="P23" s="682" t="e">
        <f t="shared" si="1"/>
        <v>#REF!</v>
      </c>
      <c r="Q23" s="683"/>
      <c r="R23" s="684" t="e">
        <f>L23/$J23</f>
        <v>#REF!</v>
      </c>
      <c r="S23" s="682"/>
      <c r="T23" s="684" t="e">
        <f>N23/$J23</f>
        <v>#REF!</v>
      </c>
      <c r="U23" s="682"/>
      <c r="V23" s="684" t="e">
        <f>P23/$J23</f>
        <v>#REF!</v>
      </c>
      <c r="W23" s="682"/>
    </row>
    <row r="24" spans="2:23" ht="18" customHeight="1">
      <c r="B24" s="83">
        <f>MAX(B$15:B23)+1</f>
        <v>7</v>
      </c>
      <c r="D24" s="51" t="s">
        <v>731</v>
      </c>
      <c r="F24" s="83">
        <v>24</v>
      </c>
      <c r="H24" s="680" t="e">
        <f>#REF!</f>
        <v>#REF!</v>
      </c>
      <c r="I24" s="681"/>
      <c r="J24" s="680" t="e">
        <f>#REF!/1000</f>
        <v>#REF!</v>
      </c>
      <c r="L24" s="682" t="e">
        <f>(#REF!+#REF!+#REF!)/1000</f>
        <v>#REF!</v>
      </c>
      <c r="M24" s="682"/>
      <c r="N24" s="682" t="e">
        <f>0.00245*J24</f>
        <v>#REF!</v>
      </c>
      <c r="O24" s="682"/>
      <c r="P24" s="682" t="e">
        <f t="shared" si="1"/>
        <v>#REF!</v>
      </c>
      <c r="Q24" s="683"/>
      <c r="R24" s="684" t="e">
        <f>L24/$J24</f>
        <v>#REF!</v>
      </c>
      <c r="S24" s="682"/>
      <c r="T24" s="684" t="e">
        <f>N24/$J24</f>
        <v>#REF!</v>
      </c>
      <c r="U24" s="682"/>
      <c r="V24" s="684" t="e">
        <f>P24/$J24</f>
        <v>#REF!</v>
      </c>
      <c r="W24" s="682"/>
    </row>
    <row r="25" spans="2:23" ht="18" customHeight="1">
      <c r="B25" s="83">
        <f>MAX(B$15:B24)+1</f>
        <v>8</v>
      </c>
      <c r="D25" s="51" t="s">
        <v>732</v>
      </c>
      <c r="F25" s="83">
        <v>36</v>
      </c>
      <c r="H25" s="680" t="e">
        <f>#REF!</f>
        <v>#REF!</v>
      </c>
      <c r="I25" s="681"/>
      <c r="J25" s="680" t="e">
        <f>#REF!/1000</f>
        <v>#REF!</v>
      </c>
      <c r="L25" s="682" t="e">
        <f>#REF!/1000</f>
        <v>#REF!</v>
      </c>
      <c r="M25" s="682"/>
      <c r="N25" s="682" t="e">
        <f>0.00204*J25</f>
        <v>#REF!</v>
      </c>
      <c r="O25" s="682"/>
      <c r="P25" s="682" t="e">
        <f t="shared" si="1"/>
        <v>#REF!</v>
      </c>
      <c r="Q25" s="683"/>
      <c r="R25" s="684" t="e">
        <f>L25/$J25</f>
        <v>#REF!</v>
      </c>
      <c r="S25" s="682"/>
      <c r="T25" s="684" t="e">
        <f>N25/$J25</f>
        <v>#REF!</v>
      </c>
      <c r="U25" s="682"/>
      <c r="V25" s="684" t="e">
        <f>P25/$J25</f>
        <v>#REF!</v>
      </c>
      <c r="W25" s="682"/>
    </row>
    <row r="26" spans="2:23" ht="18" customHeight="1">
      <c r="B26" s="83">
        <f>MAX(B$15:B25)+1</f>
        <v>9</v>
      </c>
      <c r="D26" s="51" t="s">
        <v>733</v>
      </c>
      <c r="F26" s="83">
        <v>48</v>
      </c>
      <c r="H26" s="680" t="e">
        <f>#REF!</f>
        <v>#REF!</v>
      </c>
      <c r="I26" s="681"/>
      <c r="J26" s="680" t="e">
        <f>#REF!/1000</f>
        <v>#REF!</v>
      </c>
      <c r="L26" s="682" t="e">
        <f>#REF!/1000</f>
        <v>#REF!</v>
      </c>
      <c r="M26" s="682"/>
      <c r="N26" s="682" t="e">
        <f>0.00166*J26</f>
        <v>#REF!</v>
      </c>
      <c r="O26" s="682"/>
      <c r="P26" s="682" t="e">
        <f t="shared" si="1"/>
        <v>#REF!</v>
      </c>
      <c r="Q26" s="683"/>
      <c r="R26" s="684" t="e">
        <f>L26/$J26</f>
        <v>#REF!</v>
      </c>
      <c r="S26" s="685"/>
      <c r="T26" s="684" t="e">
        <f>N26/$J26</f>
        <v>#REF!</v>
      </c>
      <c r="U26" s="685"/>
      <c r="V26" s="684" t="e">
        <f>P26/$J26</f>
        <v>#REF!</v>
      </c>
      <c r="W26" s="685"/>
    </row>
    <row r="27" spans="2:23" ht="18" customHeight="1">
      <c r="B27" s="83">
        <f>MAX(B$15:B26)+1</f>
        <v>10</v>
      </c>
      <c r="D27" s="51" t="s">
        <v>192</v>
      </c>
      <c r="F27" s="83"/>
      <c r="H27" s="680"/>
      <c r="I27" s="681"/>
      <c r="J27" s="681">
        <v>0</v>
      </c>
      <c r="L27" s="682">
        <v>0</v>
      </c>
      <c r="M27" s="682"/>
      <c r="N27" s="682"/>
      <c r="O27" s="682"/>
      <c r="P27" s="682">
        <f t="shared" si="1"/>
        <v>0</v>
      </c>
      <c r="Q27" s="683"/>
      <c r="R27" s="684"/>
      <c r="S27" s="685"/>
      <c r="T27" s="686"/>
      <c r="U27" s="685"/>
      <c r="V27" s="686"/>
      <c r="W27" s="685"/>
    </row>
    <row r="28" spans="2:23" ht="18" customHeight="1">
      <c r="B28" s="83">
        <f>MAX(B$15:B27)+1</f>
        <v>11</v>
      </c>
      <c r="D28" s="84" t="s">
        <v>28</v>
      </c>
      <c r="H28" s="687" t="e">
        <f>SUM(H22:H27)</f>
        <v>#REF!</v>
      </c>
      <c r="I28" s="681"/>
      <c r="J28" s="687" t="e">
        <f>SUM(J22:J27)</f>
        <v>#REF!</v>
      </c>
      <c r="L28" s="688" t="e">
        <f>SUM(L22:L27)</f>
        <v>#REF!</v>
      </c>
      <c r="M28" s="682"/>
      <c r="N28" s="688" t="e">
        <f>SUM(N22:N27)</f>
        <v>#REF!</v>
      </c>
      <c r="O28" s="682"/>
      <c r="P28" s="688" t="e">
        <f>SUM(P22:P27)</f>
        <v>#REF!</v>
      </c>
      <c r="Q28" s="683"/>
      <c r="R28" s="689" t="e">
        <f>L28/$J28</f>
        <v>#REF!</v>
      </c>
      <c r="S28" s="682"/>
      <c r="T28" s="689" t="e">
        <f>N28/$J28</f>
        <v>#REF!</v>
      </c>
      <c r="U28" s="682"/>
      <c r="V28" s="689" t="e">
        <f>P28/$J28</f>
        <v>#REF!</v>
      </c>
      <c r="W28" s="682"/>
    </row>
    <row r="29" spans="2:23" ht="8.25" customHeight="1">
      <c r="L29" s="733"/>
      <c r="Q29" s="662"/>
      <c r="R29" s="686"/>
      <c r="T29" s="686"/>
      <c r="V29" s="686"/>
    </row>
    <row r="30" spans="2:23">
      <c r="D30" s="677" t="s">
        <v>30</v>
      </c>
      <c r="E30" s="677"/>
      <c r="F30" s="677"/>
      <c r="L30" s="682"/>
      <c r="N30" s="682"/>
      <c r="P30" s="682"/>
      <c r="Q30" s="662"/>
      <c r="R30" s="686"/>
      <c r="T30" s="686"/>
      <c r="V30" s="686"/>
    </row>
    <row r="31" spans="2:23" ht="18" customHeight="1">
      <c r="B31" s="83">
        <f>MAX(B$15:B30)+1</f>
        <v>12</v>
      </c>
      <c r="D31" s="51" t="s">
        <v>183</v>
      </c>
      <c r="F31" s="83" t="s">
        <v>184</v>
      </c>
      <c r="H31" s="680" t="e">
        <f>#REF!</f>
        <v>#REF!</v>
      </c>
      <c r="I31" s="681"/>
      <c r="J31" s="680" t="e">
        <f>#REF!/1000</f>
        <v>#REF!</v>
      </c>
      <c r="L31" s="682" t="e">
        <f>#REF!/1000</f>
        <v>#REF!</v>
      </c>
      <c r="M31" s="682"/>
      <c r="N31" s="682" t="e">
        <f>0.00219*J31</f>
        <v>#REF!</v>
      </c>
      <c r="O31" s="682"/>
      <c r="P31" s="682" t="e">
        <f>SUM(L31:O31)</f>
        <v>#REF!</v>
      </c>
      <c r="Q31" s="683"/>
      <c r="R31" s="684" t="e">
        <f>L31/$J31</f>
        <v>#REF!</v>
      </c>
      <c r="S31" s="682"/>
      <c r="T31" s="684" t="e">
        <f t="shared" ref="T31:T40" si="2">N31/$J31</f>
        <v>#REF!</v>
      </c>
      <c r="U31" s="682"/>
      <c r="V31" s="684" t="e">
        <f t="shared" ref="V31:V40" si="3">P31/$J31</f>
        <v>#REF!</v>
      </c>
      <c r="W31" s="682"/>
    </row>
    <row r="32" spans="2:23" ht="18" customHeight="1">
      <c r="B32" s="83">
        <f>MAX(B$15:B31)+1</f>
        <v>13</v>
      </c>
      <c r="D32" s="51" t="s">
        <v>731</v>
      </c>
      <c r="F32" s="83">
        <v>24</v>
      </c>
      <c r="H32" s="680" t="e">
        <f>#REF!</f>
        <v>#REF!</v>
      </c>
      <c r="I32" s="681"/>
      <c r="J32" s="680" t="e">
        <f>#REF!/1000</f>
        <v>#REF!</v>
      </c>
      <c r="L32" s="682" t="e">
        <f>(#REF!+#REF!+#REF!)/1000</f>
        <v>#REF!</v>
      </c>
      <c r="M32" s="682"/>
      <c r="N32" s="682" t="e">
        <f>0.00245*J32</f>
        <v>#REF!</v>
      </c>
      <c r="O32" s="682"/>
      <c r="P32" s="682" t="e">
        <f t="shared" ref="P32:P41" si="4">SUM(L32:O32)</f>
        <v>#REF!</v>
      </c>
      <c r="Q32" s="683"/>
      <c r="R32" s="684" t="e">
        <f>L32/$J32</f>
        <v>#REF!</v>
      </c>
      <c r="S32" s="682"/>
      <c r="T32" s="684" t="e">
        <f>N32/$J32</f>
        <v>#REF!</v>
      </c>
      <c r="U32" s="682"/>
      <c r="V32" s="684" t="e">
        <f t="shared" si="3"/>
        <v>#REF!</v>
      </c>
      <c r="W32" s="682"/>
    </row>
    <row r="33" spans="2:23" ht="18" customHeight="1">
      <c r="B33" s="83">
        <f>MAX(B$15:B32)+1</f>
        <v>14</v>
      </c>
      <c r="D33" s="51" t="s">
        <v>732</v>
      </c>
      <c r="F33" s="83">
        <v>36</v>
      </c>
      <c r="H33" s="680" t="e">
        <f>#REF!</f>
        <v>#REF!</v>
      </c>
      <c r="I33" s="681"/>
      <c r="J33" s="680" t="e">
        <f>#REF!/1000</f>
        <v>#REF!</v>
      </c>
      <c r="L33" s="682" t="e">
        <f>#REF!/1000</f>
        <v>#REF!</v>
      </c>
      <c r="M33" s="682"/>
      <c r="N33" s="682" t="e">
        <f>0.00204*J33</f>
        <v>#REF!</v>
      </c>
      <c r="O33" s="682"/>
      <c r="P33" s="682" t="e">
        <f t="shared" si="4"/>
        <v>#REF!</v>
      </c>
      <c r="Q33" s="683"/>
      <c r="R33" s="684" t="e">
        <f>L33/$J33</f>
        <v>#REF!</v>
      </c>
      <c r="S33" s="682"/>
      <c r="T33" s="684" t="e">
        <f t="shared" si="2"/>
        <v>#REF!</v>
      </c>
      <c r="U33" s="682"/>
      <c r="V33" s="684" t="e">
        <f t="shared" si="3"/>
        <v>#REF!</v>
      </c>
      <c r="W33" s="682"/>
    </row>
    <row r="34" spans="2:23" ht="18" customHeight="1">
      <c r="B34" s="83">
        <f>MAX(B$15:B33)+1</f>
        <v>15</v>
      </c>
      <c r="D34" s="51" t="s">
        <v>734</v>
      </c>
      <c r="F34" s="83">
        <v>47</v>
      </c>
      <c r="H34" s="680" t="e">
        <f>#REF!</f>
        <v>#REF!</v>
      </c>
      <c r="I34" s="681"/>
      <c r="J34" s="680" t="e">
        <f>#REF!/1000</f>
        <v>#REF!</v>
      </c>
      <c r="L34" s="682" t="e">
        <f>#REF!/1000</f>
        <v>#REF!</v>
      </c>
      <c r="M34" s="682"/>
      <c r="N34" s="682" t="e">
        <f>0.00166*J34</f>
        <v>#REF!</v>
      </c>
      <c r="O34" s="682"/>
      <c r="P34" s="682" t="e">
        <f>SUM(L34:O34)</f>
        <v>#REF!</v>
      </c>
      <c r="Q34" s="683"/>
      <c r="R34" s="684" t="e">
        <f>L34/$J34</f>
        <v>#REF!</v>
      </c>
      <c r="S34" s="682"/>
      <c r="T34" s="684" t="e">
        <f t="shared" si="2"/>
        <v>#REF!</v>
      </c>
      <c r="U34" s="682"/>
      <c r="V34" s="684" t="e">
        <f t="shared" si="3"/>
        <v>#REF!</v>
      </c>
      <c r="W34" s="682"/>
    </row>
    <row r="35" spans="2:23" ht="18" customHeight="1">
      <c r="B35" s="83">
        <f>MAX(B$15:B34)+1</f>
        <v>16</v>
      </c>
      <c r="D35" s="51" t="s">
        <v>733</v>
      </c>
      <c r="F35" s="83">
        <v>48</v>
      </c>
      <c r="H35" s="680" t="e">
        <f>#REF!+#REF!</f>
        <v>#REF!</v>
      </c>
      <c r="I35" s="681"/>
      <c r="J35" s="680" t="e">
        <f>(#REF!+#REF!)/1000</f>
        <v>#REF!</v>
      </c>
      <c r="L35" s="682" t="e">
        <f>(#REF!+#REF!)/1000</f>
        <v>#REF!</v>
      </c>
      <c r="M35" s="682"/>
      <c r="N35" s="682" t="e">
        <f>0.00166*J35</f>
        <v>#REF!</v>
      </c>
      <c r="O35" s="682"/>
      <c r="P35" s="682" t="e">
        <f t="shared" si="4"/>
        <v>#REF!</v>
      </c>
      <c r="Q35" s="683"/>
      <c r="R35" s="684" t="e">
        <f>L35/$J35</f>
        <v>#REF!</v>
      </c>
      <c r="S35" s="682"/>
      <c r="T35" s="684" t="e">
        <f t="shared" si="2"/>
        <v>#REF!</v>
      </c>
      <c r="U35" s="682"/>
      <c r="V35" s="684" t="e">
        <f t="shared" si="3"/>
        <v>#REF!</v>
      </c>
      <c r="W35" s="682"/>
    </row>
    <row r="36" spans="2:23" ht="18" customHeight="1">
      <c r="B36" s="83">
        <f>MAX(B$15:B35)+1</f>
        <v>17</v>
      </c>
      <c r="D36" s="51" t="s">
        <v>192</v>
      </c>
      <c r="F36" s="83"/>
      <c r="H36" s="690"/>
      <c r="I36" s="681"/>
      <c r="J36" s="691">
        <v>0</v>
      </c>
      <c r="L36" s="692">
        <v>0</v>
      </c>
      <c r="M36" s="682"/>
      <c r="N36" s="692"/>
      <c r="O36" s="682"/>
      <c r="P36" s="693">
        <f t="shared" si="4"/>
        <v>0</v>
      </c>
      <c r="Q36" s="683"/>
      <c r="R36" s="694"/>
      <c r="S36" s="682"/>
      <c r="T36" s="694"/>
      <c r="U36" s="682"/>
      <c r="V36" s="694"/>
      <c r="W36" s="682"/>
    </row>
    <row r="37" spans="2:23" ht="18" customHeight="1">
      <c r="B37" s="83"/>
      <c r="D37" s="84" t="s">
        <v>735</v>
      </c>
      <c r="F37" s="83"/>
      <c r="H37" s="680" t="e">
        <f>SUM(H31:H36)</f>
        <v>#REF!</v>
      </c>
      <c r="I37" s="681"/>
      <c r="J37" s="681" t="e">
        <f>SUM(J31:J36)</f>
        <v>#REF!</v>
      </c>
      <c r="L37" s="682" t="e">
        <f>SUM(L31:L36)</f>
        <v>#REF!</v>
      </c>
      <c r="M37" s="682"/>
      <c r="N37" s="682" t="e">
        <f>SUM(N31:N36)</f>
        <v>#REF!</v>
      </c>
      <c r="O37" s="682"/>
      <c r="P37" s="682" t="e">
        <f>SUM(P31:P36)</f>
        <v>#REF!</v>
      </c>
      <c r="Q37" s="683"/>
      <c r="R37" s="684" t="e">
        <f>L37/$J37</f>
        <v>#REF!</v>
      </c>
      <c r="S37" s="682"/>
      <c r="T37" s="684" t="e">
        <f>N37/$J37</f>
        <v>#REF!</v>
      </c>
      <c r="U37" s="682"/>
      <c r="V37" s="684" t="e">
        <f>P37/$J37</f>
        <v>#REF!</v>
      </c>
      <c r="W37" s="682"/>
    </row>
    <row r="38" spans="2:23" ht="10.5" customHeight="1">
      <c r="B38" s="83"/>
      <c r="F38" s="83"/>
      <c r="H38" s="680"/>
      <c r="I38" s="681"/>
      <c r="J38" s="681"/>
      <c r="L38" s="682"/>
      <c r="M38" s="682"/>
      <c r="N38" s="682"/>
      <c r="O38" s="682"/>
      <c r="P38" s="682"/>
      <c r="Q38" s="683"/>
      <c r="R38" s="684"/>
      <c r="S38" s="682"/>
      <c r="T38" s="684"/>
      <c r="U38" s="682"/>
      <c r="V38" s="684"/>
      <c r="W38" s="682"/>
    </row>
    <row r="39" spans="2:23">
      <c r="D39" s="677" t="s">
        <v>197</v>
      </c>
      <c r="E39" s="677"/>
      <c r="F39" s="677"/>
      <c r="L39" s="682"/>
      <c r="N39" s="682"/>
      <c r="P39" s="682"/>
      <c r="Q39" s="662"/>
      <c r="R39" s="686"/>
      <c r="T39" s="686"/>
      <c r="V39" s="686"/>
    </row>
    <row r="40" spans="2:23" ht="18" customHeight="1">
      <c r="B40" s="83">
        <f>MAX(B$15:B39)+1</f>
        <v>18</v>
      </c>
      <c r="D40" s="51" t="s">
        <v>189</v>
      </c>
      <c r="F40" s="83">
        <v>40</v>
      </c>
      <c r="H40" s="680" t="e">
        <f>#REF!</f>
        <v>#REF!</v>
      </c>
      <c r="I40" s="681"/>
      <c r="J40" s="680" t="e">
        <f>#REF!/1000</f>
        <v>#REF!</v>
      </c>
      <c r="L40" s="682" t="e">
        <f>#REF!/1000</f>
        <v>#REF!</v>
      </c>
      <c r="M40" s="682"/>
      <c r="N40" s="682" t="e">
        <f>0.0023*J40</f>
        <v>#REF!</v>
      </c>
      <c r="O40" s="682"/>
      <c r="P40" s="682" t="e">
        <f t="shared" si="4"/>
        <v>#REF!</v>
      </c>
      <c r="Q40" s="683"/>
      <c r="R40" s="684" t="e">
        <f>L40/$J40</f>
        <v>#REF!</v>
      </c>
      <c r="S40" s="685"/>
      <c r="T40" s="684" t="e">
        <f t="shared" si="2"/>
        <v>#REF!</v>
      </c>
      <c r="U40" s="685"/>
      <c r="V40" s="684" t="e">
        <f t="shared" si="3"/>
        <v>#REF!</v>
      </c>
      <c r="W40" s="685"/>
    </row>
    <row r="41" spans="2:23" ht="18" customHeight="1">
      <c r="B41" s="83">
        <f>MAX(B$15:B40)+1</f>
        <v>19</v>
      </c>
      <c r="D41" s="51" t="s">
        <v>192</v>
      </c>
      <c r="F41" s="83"/>
      <c r="H41" s="690"/>
      <c r="I41" s="681"/>
      <c r="J41" s="691">
        <v>0</v>
      </c>
      <c r="L41" s="692">
        <v>0</v>
      </c>
      <c r="M41" s="682"/>
      <c r="N41" s="692"/>
      <c r="O41" s="682"/>
      <c r="P41" s="692">
        <f t="shared" si="4"/>
        <v>0</v>
      </c>
      <c r="Q41" s="683"/>
      <c r="R41" s="694"/>
      <c r="S41" s="685"/>
      <c r="T41" s="695"/>
      <c r="U41" s="685"/>
      <c r="V41" s="695"/>
      <c r="W41" s="685"/>
    </row>
    <row r="42" spans="2:23" ht="18" customHeight="1">
      <c r="B42" s="83"/>
      <c r="D42" s="84" t="s">
        <v>207</v>
      </c>
      <c r="F42" s="83"/>
      <c r="H42" s="680" t="e">
        <f>SUM(H40:H41)</f>
        <v>#REF!</v>
      </c>
      <c r="I42" s="681"/>
      <c r="J42" s="681" t="e">
        <f>SUM(J40:J41)</f>
        <v>#REF!</v>
      </c>
      <c r="L42" s="682" t="e">
        <f>SUM(L40:L41)</f>
        <v>#REF!</v>
      </c>
      <c r="M42" s="682"/>
      <c r="N42" s="682" t="e">
        <f>SUM(N40:N41)</f>
        <v>#REF!</v>
      </c>
      <c r="O42" s="682"/>
      <c r="P42" s="682" t="e">
        <f>SUM(P40:P41)</f>
        <v>#REF!</v>
      </c>
      <c r="Q42" s="683"/>
      <c r="R42" s="684" t="e">
        <f>L42/$J42</f>
        <v>#REF!</v>
      </c>
      <c r="S42" s="682"/>
      <c r="T42" s="684" t="e">
        <f>N42/$J42</f>
        <v>#REF!</v>
      </c>
      <c r="U42" s="682"/>
      <c r="V42" s="684" t="e">
        <f>P42/$J42</f>
        <v>#REF!</v>
      </c>
      <c r="W42" s="682"/>
    </row>
    <row r="43" spans="2:23" ht="9" customHeight="1">
      <c r="B43" s="83"/>
      <c r="F43" s="83"/>
      <c r="H43" s="680"/>
      <c r="I43" s="681"/>
      <c r="J43" s="681"/>
      <c r="L43" s="682"/>
      <c r="M43" s="682"/>
      <c r="N43" s="682"/>
      <c r="O43" s="682"/>
      <c r="P43" s="682"/>
      <c r="Q43" s="683"/>
      <c r="R43" s="684"/>
      <c r="S43" s="682"/>
      <c r="T43" s="684"/>
      <c r="U43" s="682"/>
      <c r="V43" s="684"/>
      <c r="W43" s="682"/>
    </row>
    <row r="44" spans="2:23">
      <c r="B44" s="83">
        <f>MAX(B$15:B43)+1</f>
        <v>20</v>
      </c>
      <c r="D44" s="84" t="s">
        <v>736</v>
      </c>
      <c r="H44" s="687" t="e">
        <f>H37+H42</f>
        <v>#REF!</v>
      </c>
      <c r="I44" s="681"/>
      <c r="J44" s="687" t="e">
        <f>J37+J42</f>
        <v>#REF!</v>
      </c>
      <c r="L44" s="688" t="e">
        <f>L37+L42</f>
        <v>#REF!</v>
      </c>
      <c r="M44" s="682"/>
      <c r="N44" s="688" t="e">
        <f>N37+N42</f>
        <v>#REF!</v>
      </c>
      <c r="O44" s="682"/>
      <c r="P44" s="688" t="e">
        <f>P37+P42</f>
        <v>#REF!</v>
      </c>
      <c r="Q44" s="683"/>
      <c r="R44" s="689" t="e">
        <f>L44/$J44</f>
        <v>#REF!</v>
      </c>
      <c r="S44" s="682"/>
      <c r="T44" s="689" t="e">
        <f>N44/$J44</f>
        <v>#REF!</v>
      </c>
      <c r="U44" s="682"/>
      <c r="V44" s="689" t="e">
        <f>P44/$J44</f>
        <v>#REF!</v>
      </c>
      <c r="W44" s="682"/>
    </row>
    <row r="45" spans="2:23" ht="8.25" customHeight="1">
      <c r="L45" s="733"/>
      <c r="Q45" s="662"/>
      <c r="R45" s="686"/>
      <c r="T45" s="686"/>
      <c r="V45" s="686"/>
    </row>
    <row r="46" spans="2:23">
      <c r="B46" s="83">
        <f>MAX(B$15:B45)+1</f>
        <v>21</v>
      </c>
      <c r="D46" s="84" t="s">
        <v>737</v>
      </c>
      <c r="H46" s="687" t="e">
        <f>H28+H37+H42</f>
        <v>#REF!</v>
      </c>
      <c r="I46" s="681"/>
      <c r="J46" s="687" t="e">
        <f>J28+J37+J42</f>
        <v>#REF!</v>
      </c>
      <c r="L46" s="688" t="e">
        <f>L28+L37+L42</f>
        <v>#REF!</v>
      </c>
      <c r="M46" s="682"/>
      <c r="N46" s="688" t="e">
        <f>N28+N37+N42</f>
        <v>#REF!</v>
      </c>
      <c r="O46" s="682"/>
      <c r="P46" s="688" t="e">
        <f>P28+P37+P42</f>
        <v>#REF!</v>
      </c>
      <c r="Q46" s="683"/>
      <c r="R46" s="689" t="e">
        <f>L46/$J46</f>
        <v>#REF!</v>
      </c>
      <c r="S46" s="682"/>
      <c r="T46" s="689" t="e">
        <f>N46/$J46</f>
        <v>#REF!</v>
      </c>
      <c r="U46" s="682"/>
      <c r="V46" s="689" t="e">
        <f>P46/$J46</f>
        <v>#REF!</v>
      </c>
      <c r="W46" s="682"/>
    </row>
    <row r="47" spans="2:23" ht="8.25" customHeight="1">
      <c r="L47" s="733"/>
      <c r="Q47" s="662"/>
      <c r="R47" s="686"/>
      <c r="T47" s="686"/>
      <c r="V47" s="686"/>
    </row>
    <row r="48" spans="2:23">
      <c r="D48" s="677" t="s">
        <v>187</v>
      </c>
      <c r="H48" s="681"/>
      <c r="I48" s="681"/>
      <c r="J48" s="681"/>
      <c r="L48" s="682"/>
      <c r="M48" s="682"/>
      <c r="N48" s="682"/>
      <c r="O48" s="682"/>
      <c r="P48" s="682"/>
      <c r="Q48" s="683"/>
      <c r="R48" s="686"/>
      <c r="S48" s="682"/>
      <c r="T48" s="686"/>
      <c r="U48" s="682"/>
      <c r="V48" s="686"/>
      <c r="W48" s="682"/>
    </row>
    <row r="49" spans="2:23" ht="18" customHeight="1">
      <c r="B49" s="83">
        <f>MAX(B$15:B48)+1</f>
        <v>22</v>
      </c>
      <c r="D49" s="51" t="s">
        <v>738</v>
      </c>
      <c r="F49" s="83">
        <v>51</v>
      </c>
      <c r="H49" s="680" t="e">
        <f>#REF!</f>
        <v>#REF!</v>
      </c>
      <c r="I49" s="681"/>
      <c r="J49" s="680" t="e">
        <f>#REF!/1000</f>
        <v>#REF!</v>
      </c>
      <c r="L49" s="682" t="e">
        <f>#REF!/1000</f>
        <v>#REF!</v>
      </c>
      <c r="M49" s="682"/>
      <c r="N49" s="682" t="e">
        <f>0.00219*J49</f>
        <v>#REF!</v>
      </c>
      <c r="O49" s="682"/>
      <c r="P49" s="682" t="e">
        <f>SUM(L49:O49)</f>
        <v>#REF!</v>
      </c>
      <c r="Q49" s="683"/>
      <c r="R49" s="684" t="e">
        <f>L49/$J49</f>
        <v>#REF!</v>
      </c>
      <c r="S49" s="682"/>
      <c r="T49" s="684" t="e">
        <f>N49/$J49</f>
        <v>#REF!</v>
      </c>
      <c r="U49" s="682"/>
      <c r="V49" s="684" t="e">
        <f>P49/$J49</f>
        <v>#REF!</v>
      </c>
      <c r="W49" s="682"/>
    </row>
    <row r="50" spans="2:23" ht="18" customHeight="1">
      <c r="B50" s="83">
        <f>MAX(B$15:B49)+1</f>
        <v>23</v>
      </c>
      <c r="D50" s="51" t="s">
        <v>739</v>
      </c>
      <c r="F50" s="83">
        <v>52</v>
      </c>
      <c r="H50" s="680" t="e">
        <f>#REF!</f>
        <v>#REF!</v>
      </c>
      <c r="I50" s="681"/>
      <c r="J50" s="680" t="e">
        <f>#REF!/1000</f>
        <v>#REF!</v>
      </c>
      <c r="L50" s="682" t="e">
        <f>#REF!/1000</f>
        <v>#REF!</v>
      </c>
      <c r="M50" s="696"/>
      <c r="N50" s="682" t="e">
        <f>0.00219*J50</f>
        <v>#REF!</v>
      </c>
      <c r="O50" s="696"/>
      <c r="P50" s="682" t="e">
        <f>SUM(L50:O50)</f>
        <v>#REF!</v>
      </c>
      <c r="Q50" s="697"/>
      <c r="R50" s="684" t="e">
        <f>L50/$J50</f>
        <v>#REF!</v>
      </c>
      <c r="S50" s="682"/>
      <c r="T50" s="684" t="e">
        <f>N50/$J50</f>
        <v>#REF!</v>
      </c>
      <c r="U50" s="682"/>
      <c r="V50" s="684" t="e">
        <f>P50/$J50</f>
        <v>#REF!</v>
      </c>
      <c r="W50" s="682"/>
    </row>
    <row r="51" spans="2:23" ht="18" customHeight="1">
      <c r="B51" s="83">
        <f>MAX(B$15:B50)+1</f>
        <v>24</v>
      </c>
      <c r="D51" s="51" t="s">
        <v>740</v>
      </c>
      <c r="F51" s="83">
        <v>53</v>
      </c>
      <c r="H51" s="680" t="e">
        <f>#REF!+#REF!</f>
        <v>#REF!</v>
      </c>
      <c r="I51" s="681"/>
      <c r="J51" s="680" t="e">
        <f>(#REF!+#REF!)/1000</f>
        <v>#REF!</v>
      </c>
      <c r="L51" s="682" t="e">
        <f>#REF!/1000</f>
        <v>#REF!</v>
      </c>
      <c r="M51" s="682"/>
      <c r="N51" s="682" t="e">
        <f>0.00219*J51</f>
        <v>#REF!</v>
      </c>
      <c r="O51" s="682"/>
      <c r="P51" s="682" t="e">
        <f>SUM(L51:O51)</f>
        <v>#REF!</v>
      </c>
      <c r="Q51" s="683"/>
      <c r="R51" s="684" t="e">
        <f>L51/$J51</f>
        <v>#REF!</v>
      </c>
      <c r="S51" s="682"/>
      <c r="T51" s="684" t="e">
        <f>N51/$J51</f>
        <v>#REF!</v>
      </c>
      <c r="U51" s="682"/>
      <c r="V51" s="684" t="e">
        <f>P51/$J51</f>
        <v>#REF!</v>
      </c>
      <c r="W51" s="682"/>
    </row>
    <row r="52" spans="2:23" ht="18" customHeight="1">
      <c r="B52" s="83">
        <f>MAX(B$15:B51)+1</f>
        <v>25</v>
      </c>
      <c r="D52" s="51" t="s">
        <v>741</v>
      </c>
      <c r="F52" s="83">
        <v>57</v>
      </c>
      <c r="H52" s="680" t="e">
        <f>#REF!</f>
        <v>#REF!</v>
      </c>
      <c r="I52" s="681"/>
      <c r="J52" s="680" t="e">
        <f>#REF!/1000</f>
        <v>#REF!</v>
      </c>
      <c r="L52" s="682" t="e">
        <f>#REF!/1000</f>
        <v>#REF!</v>
      </c>
      <c r="M52" s="682"/>
      <c r="N52" s="682" t="e">
        <f>0.00219*J52</f>
        <v>#REF!</v>
      </c>
      <c r="O52" s="682"/>
      <c r="P52" s="682" t="e">
        <f>SUM(L52:O52)</f>
        <v>#REF!</v>
      </c>
      <c r="Q52" s="683"/>
      <c r="R52" s="684" t="e">
        <f>L52/$J52</f>
        <v>#REF!</v>
      </c>
      <c r="S52" s="685"/>
      <c r="T52" s="684" t="e">
        <f>N52/$J52</f>
        <v>#REF!</v>
      </c>
      <c r="U52" s="685"/>
      <c r="V52" s="684" t="e">
        <f>P52/$J52</f>
        <v>#REF!</v>
      </c>
      <c r="W52" s="685"/>
    </row>
    <row r="53" spans="2:23" ht="18" customHeight="1">
      <c r="B53" s="83">
        <f>MAX(B$15:B52)+1</f>
        <v>26</v>
      </c>
      <c r="D53" s="51" t="s">
        <v>192</v>
      </c>
      <c r="F53" s="83"/>
      <c r="H53" s="680"/>
      <c r="I53" s="681"/>
      <c r="J53" s="681">
        <v>0</v>
      </c>
      <c r="L53" s="682">
        <v>0</v>
      </c>
      <c r="M53" s="682"/>
      <c r="N53" s="682"/>
      <c r="O53" s="682"/>
      <c r="P53" s="682">
        <f>SUM(L53:O53)</f>
        <v>0</v>
      </c>
      <c r="Q53" s="683"/>
      <c r="R53" s="684"/>
      <c r="S53" s="685"/>
      <c r="T53" s="686"/>
      <c r="U53" s="685"/>
      <c r="V53" s="686"/>
      <c r="W53" s="685"/>
    </row>
    <row r="54" spans="2:23" ht="18" customHeight="1">
      <c r="B54" s="83">
        <f>MAX(B$15:B53)+1</f>
        <v>27</v>
      </c>
      <c r="D54" s="84" t="s">
        <v>742</v>
      </c>
      <c r="H54" s="687" t="e">
        <f>SUM(H49:H53)</f>
        <v>#REF!</v>
      </c>
      <c r="I54" s="681"/>
      <c r="J54" s="687" t="e">
        <f>SUM(J49:J53)</f>
        <v>#REF!</v>
      </c>
      <c r="L54" s="688" t="e">
        <f>SUM(L49:L53)</f>
        <v>#REF!</v>
      </c>
      <c r="M54" s="682"/>
      <c r="N54" s="688" t="e">
        <f>SUM(N49:N53)</f>
        <v>#REF!</v>
      </c>
      <c r="O54" s="682"/>
      <c r="P54" s="688" t="e">
        <f>SUM(P49:P53)</f>
        <v>#REF!</v>
      </c>
      <c r="Q54" s="683"/>
      <c r="R54" s="689" t="e">
        <f>L54/$J54</f>
        <v>#REF!</v>
      </c>
      <c r="S54" s="682"/>
      <c r="T54" s="689" t="e">
        <f>N54/$J54</f>
        <v>#REF!</v>
      </c>
      <c r="U54" s="682"/>
      <c r="V54" s="689" t="e">
        <f>P54/$J54</f>
        <v>#REF!</v>
      </c>
      <c r="W54" s="682"/>
    </row>
    <row r="55" spans="2:23" ht="8.25" customHeight="1">
      <c r="H55" s="681"/>
      <c r="I55" s="681"/>
      <c r="J55" s="681"/>
      <c r="L55" s="682"/>
      <c r="M55" s="682"/>
      <c r="N55" s="682"/>
      <c r="O55" s="682"/>
      <c r="P55" s="682"/>
      <c r="Q55" s="683"/>
      <c r="R55" s="686"/>
      <c r="S55" s="682"/>
      <c r="T55" s="686"/>
      <c r="U55" s="682"/>
      <c r="V55" s="686"/>
      <c r="W55" s="682"/>
    </row>
    <row r="56" spans="2:23" ht="18" customHeight="1">
      <c r="B56" s="83">
        <f>MAX(B$15:B55)+1</f>
        <v>28</v>
      </c>
      <c r="D56" s="51" t="s">
        <v>34</v>
      </c>
      <c r="F56" s="83"/>
      <c r="H56" s="680"/>
      <c r="I56" s="681"/>
      <c r="J56" s="681">
        <v>0</v>
      </c>
      <c r="L56" s="682" t="e">
        <f>#REF!/1000</f>
        <v>#REF!</v>
      </c>
      <c r="M56" s="682"/>
      <c r="N56" s="682"/>
      <c r="O56" s="682"/>
      <c r="P56" s="682" t="e">
        <f>SUM(L56:O56)</f>
        <v>#REF!</v>
      </c>
      <c r="Q56" s="683"/>
      <c r="R56" s="684"/>
      <c r="S56" s="685"/>
      <c r="T56" s="698"/>
      <c r="U56" s="685"/>
      <c r="V56" s="698"/>
      <c r="W56" s="685"/>
    </row>
    <row r="57" spans="2:23" ht="6.75" customHeight="1" thickBot="1">
      <c r="B57" s="83"/>
      <c r="F57" s="83"/>
      <c r="H57" s="680"/>
      <c r="I57" s="681"/>
      <c r="J57" s="681"/>
      <c r="L57" s="682"/>
      <c r="M57" s="682"/>
      <c r="N57" s="682"/>
      <c r="O57" s="682"/>
      <c r="P57" s="682"/>
      <c r="Q57" s="683"/>
      <c r="R57" s="684"/>
      <c r="S57" s="685"/>
      <c r="T57" s="686"/>
      <c r="U57" s="685"/>
      <c r="V57" s="686"/>
      <c r="W57" s="685"/>
    </row>
    <row r="58" spans="2:23" ht="18" customHeight="1" thickTop="1">
      <c r="B58" s="83">
        <f>MAX(B$15:B57)+1</f>
        <v>29</v>
      </c>
      <c r="D58" s="84" t="s">
        <v>188</v>
      </c>
      <c r="H58" s="699" t="e">
        <f>H19+H28+H37+H42+H54+H56</f>
        <v>#REF!</v>
      </c>
      <c r="I58" s="681"/>
      <c r="J58" s="699" t="e">
        <f>J19+J28+J37+J42+J54+J56</f>
        <v>#REF!</v>
      </c>
      <c r="K58" s="681"/>
      <c r="L58" s="700" t="e">
        <f>L19+L28+L37+L42+L54+L56</f>
        <v>#REF!</v>
      </c>
      <c r="M58" s="682"/>
      <c r="N58" s="700" t="e">
        <f>N19+N28+N37+N42+N54+N56</f>
        <v>#REF!</v>
      </c>
      <c r="O58" s="682"/>
      <c r="P58" s="700" t="e">
        <f>P19+P28+P37+P42+P54+P56</f>
        <v>#REF!</v>
      </c>
      <c r="Q58" s="683"/>
      <c r="R58" s="701" t="e">
        <f>L58/$J58</f>
        <v>#REF!</v>
      </c>
      <c r="S58" s="702"/>
      <c r="T58" s="701" t="e">
        <f>N58/$J58</f>
        <v>#REF!</v>
      </c>
      <c r="U58" s="702"/>
      <c r="V58" s="701" t="e">
        <f>P58/$J58</f>
        <v>#REF!</v>
      </c>
      <c r="W58" s="702"/>
    </row>
    <row r="59" spans="2:23" ht="8.25" customHeight="1">
      <c r="H59" s="681"/>
      <c r="I59" s="681"/>
      <c r="J59" s="681"/>
      <c r="L59" s="682"/>
      <c r="M59" s="682"/>
      <c r="N59" s="682"/>
      <c r="O59" s="682"/>
      <c r="P59" s="682"/>
      <c r="Q59" s="682"/>
      <c r="S59" s="682"/>
      <c r="U59" s="682"/>
      <c r="W59" s="682"/>
    </row>
    <row r="60" spans="2:23">
      <c r="H60" s="681"/>
      <c r="I60" s="681"/>
      <c r="L60" s="682"/>
      <c r="M60" s="682"/>
      <c r="N60" s="682"/>
      <c r="O60" s="682"/>
      <c r="P60" s="682"/>
      <c r="Q60" s="682"/>
      <c r="R60" s="682"/>
      <c r="S60" s="682"/>
      <c r="U60" s="682"/>
      <c r="W60" s="682"/>
    </row>
    <row r="61" spans="2:23" ht="23.25" customHeight="1">
      <c r="B61" s="703"/>
      <c r="D61" s="704" t="s">
        <v>743</v>
      </c>
    </row>
    <row r="62" spans="2:23" ht="16.5">
      <c r="B62" s="703"/>
      <c r="J62" s="51" t="s">
        <v>34</v>
      </c>
    </row>
    <row r="63" spans="2:23" ht="18">
      <c r="B63" s="704"/>
      <c r="J63" s="705" t="s">
        <v>745</v>
      </c>
      <c r="L63" s="682">
        <v>783</v>
      </c>
    </row>
    <row r="64" spans="2:23">
      <c r="J64" s="51" t="s">
        <v>746</v>
      </c>
      <c r="L64" s="682">
        <v>415441</v>
      </c>
    </row>
    <row r="65" spans="10:12">
      <c r="J65" s="51" t="s">
        <v>747</v>
      </c>
      <c r="L65" s="682">
        <v>235203</v>
      </c>
    </row>
    <row r="66" spans="10:12">
      <c r="J66" s="51" t="s">
        <v>657</v>
      </c>
      <c r="L66" s="682">
        <v>91</v>
      </c>
    </row>
  </sheetData>
  <printOptions horizontalCentered="1"/>
  <pageMargins left="0" right="0" top="0.75" bottom="0.5" header="0" footer="0"/>
  <pageSetup scale="74"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R99"/>
  <sheetViews>
    <sheetView workbookViewId="0"/>
  </sheetViews>
  <sheetFormatPr defaultRowHeight="15.75"/>
  <cols>
    <col min="1" max="1" width="9" style="52"/>
    <col min="2" max="2" width="40.375" style="3" customWidth="1"/>
    <col min="3" max="14" width="12" style="3" customWidth="1"/>
    <col min="15" max="15" width="14.625" style="3" customWidth="1"/>
    <col min="16" max="16" width="9" style="3"/>
    <col min="17" max="17" width="2.25" style="3" customWidth="1"/>
    <col min="18" max="18" width="10.5" style="3" bestFit="1" customWidth="1"/>
    <col min="19" max="16384" width="9" style="3"/>
  </cols>
  <sheetData>
    <row r="1" spans="1:18"/>
    <row r="2" spans="1:18">
      <c r="A2" s="79" t="e">
        <f>#REF!</f>
        <v>#REF!</v>
      </c>
      <c r="B2" s="79"/>
      <c r="C2" s="3" t="s">
        <v>167</v>
      </c>
    </row>
    <row r="3" spans="1:18">
      <c r="A3" s="79" t="e">
        <f>#REF!</f>
        <v>#REF!</v>
      </c>
      <c r="B3" s="79"/>
    </row>
    <row r="4" spans="1:18">
      <c r="A4" s="79" t="e">
        <f>#REF!</f>
        <v>#REF!</v>
      </c>
      <c r="B4" s="79"/>
    </row>
    <row r="5" spans="1:18">
      <c r="B5" s="56" t="s">
        <v>240</v>
      </c>
      <c r="C5" s="57"/>
      <c r="D5" s="57"/>
      <c r="E5" s="57"/>
      <c r="F5" s="57"/>
      <c r="G5" s="80"/>
      <c r="H5" s="57"/>
      <c r="I5" s="57"/>
      <c r="J5" s="57"/>
      <c r="K5" s="57"/>
      <c r="L5" s="57"/>
      <c r="M5" s="57"/>
      <c r="N5" s="57"/>
      <c r="O5" s="63"/>
      <c r="P5" s="60" t="s">
        <v>73</v>
      </c>
    </row>
    <row r="6" spans="1:18">
      <c r="B6" s="3" t="s">
        <v>105</v>
      </c>
      <c r="G6" s="60"/>
      <c r="O6" s="78"/>
      <c r="P6" s="60"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78" t="s">
        <v>121</v>
      </c>
      <c r="P7" s="86">
        <v>39260</v>
      </c>
      <c r="R7" s="19" t="s">
        <v>1</v>
      </c>
    </row>
    <row r="8" spans="1:18">
      <c r="A8" s="52">
        <v>24</v>
      </c>
      <c r="B8" s="3" t="s">
        <v>213</v>
      </c>
      <c r="C8" s="3">
        <v>4169692</v>
      </c>
      <c r="D8" s="3">
        <v>3723998</v>
      </c>
      <c r="E8" s="3">
        <v>3198923</v>
      </c>
      <c r="F8" s="3">
        <v>2755668</v>
      </c>
      <c r="G8" s="66">
        <v>3046052</v>
      </c>
      <c r="H8" s="3">
        <v>3335761</v>
      </c>
      <c r="I8" s="65">
        <v>3808717</v>
      </c>
      <c r="J8" s="65">
        <v>3873681</v>
      </c>
      <c r="K8" s="65">
        <v>3604333</v>
      </c>
      <c r="L8" s="65">
        <v>3283809</v>
      </c>
      <c r="M8" s="65">
        <v>3142167</v>
      </c>
      <c r="N8" s="65">
        <v>3774631</v>
      </c>
      <c r="O8" s="66">
        <f t="shared" ref="O8:O31" si="0">SUM(C8:N8)</f>
        <v>41717432</v>
      </c>
      <c r="P8" s="70">
        <v>1.24E-3</v>
      </c>
      <c r="R8" s="81">
        <f t="shared" ref="R8:R15" si="1">P8*O8</f>
        <v>51729.615680000003</v>
      </c>
    </row>
    <row r="9" spans="1:18">
      <c r="A9" s="52" t="s">
        <v>142</v>
      </c>
      <c r="B9" s="3" t="s">
        <v>222</v>
      </c>
      <c r="C9" s="3">
        <v>21238</v>
      </c>
      <c r="D9" s="3">
        <v>21238</v>
      </c>
      <c r="E9" s="3">
        <v>20942</v>
      </c>
      <c r="F9" s="3">
        <v>18280</v>
      </c>
      <c r="G9" s="66">
        <v>31065</v>
      </c>
      <c r="H9" s="3">
        <v>18280</v>
      </c>
      <c r="I9" s="15">
        <v>18281</v>
      </c>
      <c r="J9" s="15">
        <v>5495</v>
      </c>
      <c r="K9" s="15">
        <v>18280</v>
      </c>
      <c r="L9" s="15">
        <v>18280</v>
      </c>
      <c r="M9" s="15">
        <v>18280</v>
      </c>
      <c r="N9" s="15">
        <v>18280</v>
      </c>
      <c r="O9" s="66">
        <f t="shared" si="0"/>
        <v>227939</v>
      </c>
      <c r="P9" s="70">
        <v>1.24E-3</v>
      </c>
      <c r="R9" s="81">
        <f t="shared" si="1"/>
        <v>282.64436000000001</v>
      </c>
    </row>
    <row r="10" spans="1:18">
      <c r="A10" s="52" t="s">
        <v>149</v>
      </c>
      <c r="B10" s="3" t="s">
        <v>214</v>
      </c>
      <c r="C10" s="3">
        <v>1590</v>
      </c>
      <c r="D10" s="3">
        <v>2919</v>
      </c>
      <c r="E10" s="3">
        <v>11084</v>
      </c>
      <c r="F10" s="3">
        <v>174819</v>
      </c>
      <c r="G10" s="66">
        <v>139933</v>
      </c>
      <c r="H10" s="3">
        <v>22495</v>
      </c>
      <c r="I10" s="15">
        <v>14785</v>
      </c>
      <c r="J10" s="15">
        <v>13030</v>
      </c>
      <c r="K10" s="15">
        <v>-3559</v>
      </c>
      <c r="L10" s="15">
        <v>11843</v>
      </c>
      <c r="M10" s="15">
        <v>31064</v>
      </c>
      <c r="N10" s="15">
        <v>-15272</v>
      </c>
      <c r="O10" s="66">
        <f t="shared" si="0"/>
        <v>404731</v>
      </c>
      <c r="P10" s="70">
        <v>1.24E-3</v>
      </c>
      <c r="R10" s="81">
        <f t="shared" si="1"/>
        <v>501.86644000000001</v>
      </c>
    </row>
    <row r="11" spans="1:18">
      <c r="A11" s="52">
        <v>24</v>
      </c>
      <c r="B11" s="3" t="s">
        <v>106</v>
      </c>
      <c r="C11" s="66">
        <v>42970072</v>
      </c>
      <c r="D11" s="66">
        <v>42492319</v>
      </c>
      <c r="E11" s="66">
        <v>36262938</v>
      </c>
      <c r="F11" s="66">
        <v>33230542</v>
      </c>
      <c r="G11" s="66">
        <v>34869575</v>
      </c>
      <c r="H11" s="66">
        <v>36341153</v>
      </c>
      <c r="I11" s="15">
        <v>40445704</v>
      </c>
      <c r="J11" s="15">
        <v>44523686</v>
      </c>
      <c r="K11" s="15">
        <v>39679186</v>
      </c>
      <c r="L11" s="15">
        <v>35221083</v>
      </c>
      <c r="M11" s="15">
        <v>35809463</v>
      </c>
      <c r="N11" s="15">
        <v>43110158</v>
      </c>
      <c r="O11" s="66">
        <f t="shared" si="0"/>
        <v>464955879</v>
      </c>
      <c r="P11" s="70">
        <v>1.24E-3</v>
      </c>
      <c r="R11" s="81">
        <f t="shared" si="1"/>
        <v>576545.28995999997</v>
      </c>
    </row>
    <row r="12" spans="1:18">
      <c r="A12" s="52" t="s">
        <v>142</v>
      </c>
      <c r="B12" s="3" t="s">
        <v>107</v>
      </c>
      <c r="C12" s="66">
        <v>101764</v>
      </c>
      <c r="D12" s="66">
        <v>100304</v>
      </c>
      <c r="E12" s="66">
        <v>101677</v>
      </c>
      <c r="F12" s="66">
        <v>100074</v>
      </c>
      <c r="G12" s="66">
        <v>101098</v>
      </c>
      <c r="H12" s="66">
        <v>101728</v>
      </c>
      <c r="I12" s="15">
        <v>100888</v>
      </c>
      <c r="J12" s="15">
        <v>100882</v>
      </c>
      <c r="K12" s="15">
        <v>100000</v>
      </c>
      <c r="L12" s="15">
        <v>100094</v>
      </c>
      <c r="M12" s="15">
        <v>101670</v>
      </c>
      <c r="N12" s="15">
        <v>100935</v>
      </c>
      <c r="O12" s="66">
        <f t="shared" si="0"/>
        <v>1211114</v>
      </c>
      <c r="P12" s="70">
        <v>1.24E-3</v>
      </c>
      <c r="R12" s="81">
        <f t="shared" si="1"/>
        <v>1501.7813599999999</v>
      </c>
    </row>
    <row r="13" spans="1:18">
      <c r="A13" s="52">
        <v>36</v>
      </c>
      <c r="B13" s="3" t="s">
        <v>223</v>
      </c>
      <c r="C13" s="3">
        <v>7139320</v>
      </c>
      <c r="D13" s="3">
        <v>6651020</v>
      </c>
      <c r="E13" s="3">
        <v>5949180</v>
      </c>
      <c r="F13" s="3">
        <v>5427928</v>
      </c>
      <c r="G13" s="66">
        <v>5820260</v>
      </c>
      <c r="H13" s="3">
        <v>10710241</v>
      </c>
      <c r="I13" s="15">
        <v>6874968</v>
      </c>
      <c r="J13" s="15">
        <v>6866625</v>
      </c>
      <c r="K13" s="15">
        <v>7519899</v>
      </c>
      <c r="L13" s="15">
        <v>8709680</v>
      </c>
      <c r="M13" s="15">
        <v>6276100</v>
      </c>
      <c r="N13" s="15">
        <v>8286800</v>
      </c>
      <c r="O13" s="66">
        <f t="shared" si="0"/>
        <v>86232021</v>
      </c>
      <c r="P13" s="70">
        <v>1.0200000000000001E-3</v>
      </c>
      <c r="R13" s="81">
        <f t="shared" si="1"/>
        <v>87956.661420000004</v>
      </c>
    </row>
    <row r="14" spans="1:18">
      <c r="A14" s="52">
        <v>36</v>
      </c>
      <c r="B14" s="3" t="s">
        <v>108</v>
      </c>
      <c r="C14" s="66">
        <v>59368941</v>
      </c>
      <c r="D14" s="66">
        <v>56815580</v>
      </c>
      <c r="E14" s="66">
        <v>52729103</v>
      </c>
      <c r="F14" s="66">
        <v>48314509</v>
      </c>
      <c r="G14" s="66">
        <v>49936076</v>
      </c>
      <c r="H14" s="66">
        <v>46891727</v>
      </c>
      <c r="I14" s="15">
        <v>55644603</v>
      </c>
      <c r="J14" s="15">
        <v>59342604</v>
      </c>
      <c r="K14" s="15">
        <v>59603339</v>
      </c>
      <c r="L14" s="15">
        <v>65055503</v>
      </c>
      <c r="M14" s="15">
        <v>59222854</v>
      </c>
      <c r="N14" s="15">
        <v>61989884</v>
      </c>
      <c r="O14" s="66">
        <f t="shared" si="0"/>
        <v>674914723</v>
      </c>
      <c r="P14" s="70">
        <v>1.0200000000000001E-3</v>
      </c>
      <c r="R14" s="81">
        <f t="shared" si="1"/>
        <v>688413.01746</v>
      </c>
    </row>
    <row r="15" spans="1:18">
      <c r="A15" s="52" t="s">
        <v>148</v>
      </c>
      <c r="B15" s="3" t="s">
        <v>109</v>
      </c>
      <c r="C15" s="66">
        <v>14031760</v>
      </c>
      <c r="D15" s="66">
        <v>12105060</v>
      </c>
      <c r="E15" s="66">
        <v>12596320</v>
      </c>
      <c r="F15" s="66">
        <v>11333660</v>
      </c>
      <c r="G15" s="66">
        <v>11389980</v>
      </c>
      <c r="H15" s="66">
        <v>11786660</v>
      </c>
      <c r="I15" s="15">
        <v>12614402</v>
      </c>
      <c r="J15" s="15">
        <v>13075400</v>
      </c>
      <c r="K15" s="15">
        <v>13838880</v>
      </c>
      <c r="L15" s="15">
        <v>14709860</v>
      </c>
      <c r="M15" s="15">
        <v>12447520</v>
      </c>
      <c r="N15" s="15">
        <v>13113320</v>
      </c>
      <c r="O15" s="66">
        <f t="shared" si="0"/>
        <v>153042822</v>
      </c>
      <c r="P15" s="70">
        <v>8.3000000000000001E-4</v>
      </c>
      <c r="R15" s="81">
        <f t="shared" si="1"/>
        <v>127025.54226</v>
      </c>
    </row>
    <row r="16" spans="1:18">
      <c r="B16" s="3" t="s">
        <v>110</v>
      </c>
      <c r="C16" s="3">
        <v>0</v>
      </c>
      <c r="D16" s="3">
        <v>0</v>
      </c>
      <c r="E16" s="3">
        <v>0</v>
      </c>
      <c r="F16" s="3">
        <v>0</v>
      </c>
      <c r="G16" s="3">
        <v>0</v>
      </c>
      <c r="H16" s="3">
        <v>0</v>
      </c>
      <c r="I16" s="3">
        <v>0</v>
      </c>
      <c r="J16" s="3">
        <v>0</v>
      </c>
      <c r="K16" s="3">
        <v>0</v>
      </c>
      <c r="L16" s="3">
        <v>0</v>
      </c>
      <c r="M16" s="3">
        <v>0</v>
      </c>
      <c r="N16" s="3">
        <v>0</v>
      </c>
      <c r="O16" s="66">
        <f t="shared" si="0"/>
        <v>0</v>
      </c>
    </row>
    <row r="17" spans="1:18">
      <c r="B17" s="3" t="s">
        <v>111</v>
      </c>
      <c r="C17" s="3">
        <v>0</v>
      </c>
      <c r="D17" s="3">
        <v>0</v>
      </c>
      <c r="E17" s="3">
        <v>0</v>
      </c>
      <c r="F17" s="3">
        <v>0</v>
      </c>
      <c r="G17" s="3">
        <v>0</v>
      </c>
      <c r="H17" s="3">
        <v>0</v>
      </c>
      <c r="I17" s="3">
        <v>0</v>
      </c>
      <c r="J17" s="3">
        <v>0</v>
      </c>
      <c r="K17" s="3">
        <v>0</v>
      </c>
      <c r="L17" s="3">
        <v>0</v>
      </c>
      <c r="M17" s="3">
        <v>0</v>
      </c>
      <c r="N17" s="3">
        <v>0</v>
      </c>
      <c r="O17" s="66">
        <f t="shared" si="0"/>
        <v>0</v>
      </c>
    </row>
    <row r="18" spans="1:18">
      <c r="B18" s="3" t="s">
        <v>112</v>
      </c>
      <c r="C18" s="3">
        <v>0</v>
      </c>
      <c r="D18" s="3">
        <v>0</v>
      </c>
      <c r="E18" s="3">
        <v>0</v>
      </c>
      <c r="F18" s="3">
        <v>0</v>
      </c>
      <c r="G18" s="3">
        <v>0</v>
      </c>
      <c r="H18" s="3">
        <v>0</v>
      </c>
      <c r="I18" s="3">
        <v>0</v>
      </c>
      <c r="J18" s="3">
        <v>0</v>
      </c>
      <c r="K18" s="3">
        <v>0</v>
      </c>
      <c r="L18" s="3">
        <v>0</v>
      </c>
      <c r="M18" s="3">
        <v>0</v>
      </c>
      <c r="N18" s="3">
        <v>0</v>
      </c>
      <c r="O18" s="66">
        <f t="shared" si="0"/>
        <v>0</v>
      </c>
    </row>
    <row r="19" spans="1:18">
      <c r="B19" s="3" t="s">
        <v>113</v>
      </c>
      <c r="C19" s="3">
        <v>0</v>
      </c>
      <c r="D19" s="3">
        <v>0</v>
      </c>
      <c r="E19" s="3">
        <v>0</v>
      </c>
      <c r="F19" s="3">
        <v>0</v>
      </c>
      <c r="G19" s="3">
        <v>0</v>
      </c>
      <c r="H19" s="3">
        <v>0</v>
      </c>
      <c r="I19" s="3">
        <v>0</v>
      </c>
      <c r="J19" s="3">
        <v>0</v>
      </c>
      <c r="K19" s="3">
        <v>0</v>
      </c>
      <c r="L19" s="3">
        <v>0</v>
      </c>
      <c r="M19" s="3">
        <v>0</v>
      </c>
      <c r="N19" s="3">
        <v>0</v>
      </c>
      <c r="O19" s="66">
        <f t="shared" si="0"/>
        <v>0</v>
      </c>
    </row>
    <row r="20" spans="1:18">
      <c r="B20" s="3" t="s">
        <v>114</v>
      </c>
      <c r="C20" s="3">
        <v>0</v>
      </c>
      <c r="D20" s="3">
        <v>0</v>
      </c>
      <c r="E20" s="3">
        <v>0</v>
      </c>
      <c r="F20" s="3">
        <v>0</v>
      </c>
      <c r="G20" s="3">
        <v>0</v>
      </c>
      <c r="H20" s="3">
        <v>0</v>
      </c>
      <c r="I20" s="3">
        <v>0</v>
      </c>
      <c r="J20" s="3">
        <v>0</v>
      </c>
      <c r="K20" s="3">
        <v>0</v>
      </c>
      <c r="L20" s="3">
        <v>0</v>
      </c>
      <c r="M20" s="3">
        <v>0</v>
      </c>
      <c r="N20" s="3">
        <v>0</v>
      </c>
      <c r="O20" s="66">
        <f t="shared" si="0"/>
        <v>0</v>
      </c>
    </row>
    <row r="21" spans="1:18">
      <c r="A21" s="52" t="s">
        <v>31</v>
      </c>
      <c r="B21" s="3" t="s">
        <v>115</v>
      </c>
      <c r="C21" s="3">
        <v>0</v>
      </c>
      <c r="D21" s="3">
        <v>0</v>
      </c>
      <c r="E21" s="3">
        <v>0</v>
      </c>
      <c r="F21" s="3">
        <v>0</v>
      </c>
      <c r="G21" s="3">
        <v>0</v>
      </c>
      <c r="H21" s="3">
        <v>0</v>
      </c>
      <c r="I21" s="3">
        <v>0</v>
      </c>
      <c r="J21" s="3">
        <v>0</v>
      </c>
      <c r="K21" s="3">
        <v>0</v>
      </c>
      <c r="L21" s="3">
        <v>0</v>
      </c>
      <c r="M21" s="3">
        <v>0</v>
      </c>
      <c r="N21" s="3">
        <v>0</v>
      </c>
      <c r="O21" s="66">
        <f t="shared" si="0"/>
        <v>0</v>
      </c>
    </row>
    <row r="22" spans="1:18">
      <c r="A22" s="52" t="s">
        <v>31</v>
      </c>
      <c r="B22" s="3" t="s">
        <v>196</v>
      </c>
      <c r="C22" s="3">
        <v>0</v>
      </c>
      <c r="D22" s="3">
        <v>0</v>
      </c>
      <c r="E22" s="3">
        <v>0</v>
      </c>
      <c r="F22" s="3">
        <v>0</v>
      </c>
      <c r="G22" s="3">
        <v>0</v>
      </c>
      <c r="H22" s="3">
        <v>0</v>
      </c>
      <c r="I22" s="3">
        <v>0</v>
      </c>
      <c r="J22" s="3">
        <v>0</v>
      </c>
      <c r="K22" s="3">
        <v>0</v>
      </c>
      <c r="L22" s="3">
        <v>0</v>
      </c>
      <c r="M22" s="3">
        <v>0</v>
      </c>
      <c r="N22" s="3">
        <v>0</v>
      </c>
      <c r="O22" s="66">
        <f t="shared" si="0"/>
        <v>0</v>
      </c>
    </row>
    <row r="23" spans="1:18">
      <c r="B23" s="53" t="s">
        <v>236</v>
      </c>
      <c r="C23" s="3">
        <v>0</v>
      </c>
      <c r="D23" s="3">
        <v>0</v>
      </c>
      <c r="E23" s="3">
        <v>0</v>
      </c>
      <c r="F23" s="3">
        <v>0</v>
      </c>
      <c r="G23" s="3">
        <v>0</v>
      </c>
      <c r="H23" s="3">
        <v>0</v>
      </c>
      <c r="I23" s="3">
        <v>0</v>
      </c>
      <c r="J23" s="3">
        <v>0</v>
      </c>
      <c r="K23" s="3">
        <v>0</v>
      </c>
      <c r="L23" s="3">
        <v>0</v>
      </c>
      <c r="M23" s="3">
        <v>0</v>
      </c>
      <c r="N23" s="3">
        <v>0</v>
      </c>
      <c r="O23" s="66">
        <f t="shared" si="0"/>
        <v>0</v>
      </c>
    </row>
    <row r="24" spans="1:18">
      <c r="A24" s="52">
        <v>135</v>
      </c>
      <c r="B24" s="3" t="s">
        <v>208</v>
      </c>
      <c r="C24" s="66">
        <v>2307</v>
      </c>
      <c r="D24" s="66">
        <v>1428</v>
      </c>
      <c r="E24" s="3">
        <v>140</v>
      </c>
      <c r="F24" s="3">
        <v>0</v>
      </c>
      <c r="G24" s="3">
        <v>0</v>
      </c>
      <c r="H24" s="3">
        <v>0</v>
      </c>
      <c r="I24" s="15">
        <v>0</v>
      </c>
      <c r="J24" s="15">
        <v>0</v>
      </c>
      <c r="K24" s="15">
        <v>0</v>
      </c>
      <c r="L24" s="15">
        <v>18</v>
      </c>
      <c r="M24" s="15">
        <v>0</v>
      </c>
      <c r="N24" s="15">
        <v>1232</v>
      </c>
      <c r="O24" s="66">
        <f t="shared" si="0"/>
        <v>5125</v>
      </c>
      <c r="P24" s="70">
        <v>1.24E-3</v>
      </c>
      <c r="R24" s="81">
        <f>P24*O24</f>
        <v>6.3550000000000004</v>
      </c>
    </row>
    <row r="25" spans="1:18">
      <c r="A25" s="52" t="s">
        <v>144</v>
      </c>
      <c r="B25" s="3" t="s">
        <v>116</v>
      </c>
      <c r="C25" s="66">
        <v>135621</v>
      </c>
      <c r="D25" s="66">
        <v>152479</v>
      </c>
      <c r="E25" s="66">
        <v>143101</v>
      </c>
      <c r="F25" s="66">
        <v>144390</v>
      </c>
      <c r="G25" s="66">
        <v>147368</v>
      </c>
      <c r="H25" s="66">
        <v>125859</v>
      </c>
      <c r="I25" s="15">
        <v>142775</v>
      </c>
      <c r="J25" s="15">
        <v>145842</v>
      </c>
      <c r="K25" s="15">
        <v>135813</v>
      </c>
      <c r="L25" s="15">
        <v>146542</v>
      </c>
      <c r="M25" s="15">
        <v>137092</v>
      </c>
      <c r="N25" s="15">
        <v>143598</v>
      </c>
      <c r="O25" s="66">
        <f t="shared" si="0"/>
        <v>1700480</v>
      </c>
      <c r="P25" s="70">
        <v>1.09E-3</v>
      </c>
      <c r="R25" s="81">
        <f>P25*O25</f>
        <v>1853.5232000000001</v>
      </c>
    </row>
    <row r="26" spans="1:18">
      <c r="A26" s="52" t="s">
        <v>144</v>
      </c>
      <c r="B26" s="3" t="s">
        <v>221</v>
      </c>
      <c r="C26" s="3">
        <v>56080</v>
      </c>
      <c r="D26" s="3">
        <v>54964</v>
      </c>
      <c r="E26" s="3">
        <v>55214</v>
      </c>
      <c r="F26" s="3">
        <v>54647</v>
      </c>
      <c r="G26" s="66">
        <v>54911</v>
      </c>
      <c r="H26" s="3">
        <v>55184</v>
      </c>
      <c r="I26" s="15">
        <v>53677</v>
      </c>
      <c r="J26" s="15">
        <v>53325</v>
      </c>
      <c r="K26" s="15">
        <v>52348</v>
      </c>
      <c r="L26" s="15">
        <v>55316</v>
      </c>
      <c r="M26" s="15">
        <v>51552</v>
      </c>
      <c r="N26" s="15">
        <v>52753</v>
      </c>
      <c r="O26" s="66">
        <f t="shared" si="0"/>
        <v>649971</v>
      </c>
      <c r="P26" s="70">
        <v>1.09E-3</v>
      </c>
      <c r="R26" s="81">
        <f>P26*O26</f>
        <v>708.46839</v>
      </c>
    </row>
    <row r="27" spans="1:18">
      <c r="A27" s="52">
        <v>54</v>
      </c>
      <c r="B27" s="3" t="s">
        <v>117</v>
      </c>
      <c r="C27" s="66">
        <v>13222</v>
      </c>
      <c r="D27" s="66">
        <v>2552</v>
      </c>
      <c r="E27" s="66">
        <v>15473</v>
      </c>
      <c r="F27" s="66">
        <v>20107</v>
      </c>
      <c r="G27" s="66">
        <v>16713</v>
      </c>
      <c r="H27" s="66">
        <v>13439</v>
      </c>
      <c r="I27" s="15">
        <v>23259</v>
      </c>
      <c r="J27" s="15">
        <v>16201</v>
      </c>
      <c r="K27" s="15">
        <v>14873</v>
      </c>
      <c r="L27" s="15">
        <v>38831</v>
      </c>
      <c r="M27" s="15">
        <v>31315</v>
      </c>
      <c r="N27" s="15">
        <v>21266</v>
      </c>
      <c r="O27" s="66">
        <f t="shared" si="0"/>
        <v>227251</v>
      </c>
      <c r="P27" s="70">
        <v>1.48E-3</v>
      </c>
      <c r="R27" s="81">
        <f>P27*O27</f>
        <v>336.33148</v>
      </c>
    </row>
    <row r="28" spans="1:18">
      <c r="B28" s="3" t="s">
        <v>118</v>
      </c>
      <c r="C28" s="3">
        <v>0</v>
      </c>
      <c r="D28" s="3">
        <v>0</v>
      </c>
      <c r="E28" s="3">
        <v>0</v>
      </c>
      <c r="F28" s="3">
        <v>0</v>
      </c>
      <c r="G28" s="3">
        <v>0</v>
      </c>
      <c r="H28" s="3">
        <v>0</v>
      </c>
      <c r="I28" s="3">
        <v>0</v>
      </c>
      <c r="J28" s="3">
        <v>0</v>
      </c>
      <c r="K28" s="3">
        <v>0</v>
      </c>
      <c r="L28" s="3">
        <v>0</v>
      </c>
      <c r="M28" s="3">
        <v>0</v>
      </c>
      <c r="N28" s="3">
        <v>0</v>
      </c>
      <c r="O28" s="66">
        <f t="shared" si="0"/>
        <v>0</v>
      </c>
    </row>
    <row r="29" spans="1:18">
      <c r="B29" s="3" t="s">
        <v>119</v>
      </c>
      <c r="C29" s="3">
        <v>0</v>
      </c>
      <c r="D29" s="3">
        <v>0</v>
      </c>
      <c r="E29" s="3">
        <v>0</v>
      </c>
      <c r="F29" s="3">
        <v>0</v>
      </c>
      <c r="G29" s="3">
        <v>0</v>
      </c>
      <c r="H29" s="3">
        <v>0</v>
      </c>
      <c r="I29" s="3">
        <v>0</v>
      </c>
      <c r="J29" s="3">
        <v>0</v>
      </c>
      <c r="K29" s="3">
        <v>0</v>
      </c>
      <c r="L29" s="3">
        <v>0</v>
      </c>
      <c r="M29" s="3">
        <v>0</v>
      </c>
      <c r="N29" s="3">
        <v>0</v>
      </c>
      <c r="O29" s="66">
        <f t="shared" si="0"/>
        <v>0</v>
      </c>
    </row>
    <row r="30" spans="1:18">
      <c r="B30" s="3" t="s">
        <v>215</v>
      </c>
      <c r="C30" s="3">
        <v>0</v>
      </c>
      <c r="D30" s="3">
        <v>0</v>
      </c>
      <c r="E30" s="3">
        <v>0</v>
      </c>
      <c r="F30" s="3">
        <v>0</v>
      </c>
      <c r="G30" s="3">
        <v>0</v>
      </c>
      <c r="H30" s="3">
        <v>0</v>
      </c>
      <c r="I30" s="3">
        <v>0</v>
      </c>
      <c r="J30" s="3">
        <v>0</v>
      </c>
      <c r="K30" s="3">
        <v>0</v>
      </c>
      <c r="L30" s="3">
        <v>0</v>
      </c>
      <c r="M30" s="3">
        <v>0</v>
      </c>
      <c r="N30" s="3">
        <v>0</v>
      </c>
      <c r="O30" s="66">
        <f t="shared" si="0"/>
        <v>0</v>
      </c>
    </row>
    <row r="31" spans="1:18">
      <c r="B31" s="3" t="s">
        <v>218</v>
      </c>
      <c r="C31" s="3">
        <v>0</v>
      </c>
      <c r="D31" s="3">
        <v>0</v>
      </c>
      <c r="E31" s="3">
        <v>0</v>
      </c>
      <c r="F31" s="3">
        <v>0</v>
      </c>
      <c r="G31" s="3">
        <v>0</v>
      </c>
      <c r="H31" s="3">
        <v>0</v>
      </c>
      <c r="I31" s="3">
        <v>0</v>
      </c>
      <c r="J31" s="3">
        <v>0</v>
      </c>
      <c r="K31" s="3">
        <v>0</v>
      </c>
      <c r="L31" s="3">
        <v>0</v>
      </c>
      <c r="M31" s="3">
        <v>0</v>
      </c>
      <c r="N31" s="3">
        <v>0</v>
      </c>
      <c r="O31" s="66">
        <f t="shared" si="0"/>
        <v>0</v>
      </c>
    </row>
    <row r="32" spans="1:18">
      <c r="A32" s="52" t="s">
        <v>31</v>
      </c>
      <c r="B32" s="3" t="s">
        <v>120</v>
      </c>
    </row>
    <row r="33" spans="1:18">
      <c r="A33" s="52" t="s">
        <v>31</v>
      </c>
      <c r="C33" s="66">
        <f t="shared" ref="C33:O33" si="2">SUM(C8:C31)</f>
        <v>128011607</v>
      </c>
      <c r="D33" s="66">
        <f t="shared" si="2"/>
        <v>122123861</v>
      </c>
      <c r="E33" s="66">
        <f t="shared" si="2"/>
        <v>111084095</v>
      </c>
      <c r="F33" s="66">
        <f t="shared" si="2"/>
        <v>101574624</v>
      </c>
      <c r="G33" s="66">
        <f t="shared" si="2"/>
        <v>105553031</v>
      </c>
      <c r="H33" s="66">
        <f t="shared" si="2"/>
        <v>109402527</v>
      </c>
      <c r="I33" s="66">
        <f t="shared" si="2"/>
        <v>119742059</v>
      </c>
      <c r="J33" s="66">
        <f t="shared" si="2"/>
        <v>128016771</v>
      </c>
      <c r="K33" s="66">
        <f t="shared" si="2"/>
        <v>124563392</v>
      </c>
      <c r="L33" s="66">
        <f t="shared" si="2"/>
        <v>127350859</v>
      </c>
      <c r="M33" s="66">
        <f t="shared" si="2"/>
        <v>117269077</v>
      </c>
      <c r="N33" s="66">
        <f t="shared" si="2"/>
        <v>130597585</v>
      </c>
      <c r="O33" s="66">
        <f t="shared" si="2"/>
        <v>1425289488</v>
      </c>
    </row>
    <row r="34" spans="1:18">
      <c r="A34" s="52" t="s">
        <v>31</v>
      </c>
      <c r="B34" s="3" t="s">
        <v>122</v>
      </c>
    </row>
    <row r="35" spans="1:18">
      <c r="A35" s="52"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0"/>
    </row>
    <row r="36" spans="1:18">
      <c r="A36" s="52">
        <v>24</v>
      </c>
      <c r="B36" s="3" t="s">
        <v>213</v>
      </c>
      <c r="C36" s="68">
        <v>245856</v>
      </c>
      <c r="D36" s="65">
        <v>237043</v>
      </c>
      <c r="E36" s="65">
        <v>190545</v>
      </c>
      <c r="F36" s="65">
        <v>164203</v>
      </c>
      <c r="G36" s="65">
        <v>178325</v>
      </c>
      <c r="H36" s="65">
        <v>215598</v>
      </c>
      <c r="I36" s="65">
        <v>293514</v>
      </c>
      <c r="J36" s="65">
        <v>307172</v>
      </c>
      <c r="K36" s="65">
        <v>526995</v>
      </c>
      <c r="L36" s="65">
        <v>447110</v>
      </c>
      <c r="M36" s="65">
        <v>227293</v>
      </c>
      <c r="N36" s="65">
        <v>220660</v>
      </c>
      <c r="O36" s="66">
        <f t="shared" ref="O36:O48" si="3">SUM(C36:N36)</f>
        <v>3254314</v>
      </c>
      <c r="P36" s="70">
        <v>1.24E-3</v>
      </c>
      <c r="R36" s="81">
        <f t="shared" ref="R36:R44" si="4">P36*O36</f>
        <v>4035.3493600000002</v>
      </c>
    </row>
    <row r="37" spans="1:18">
      <c r="A37" s="52" t="s">
        <v>149</v>
      </c>
      <c r="B37" s="3" t="s">
        <v>214</v>
      </c>
      <c r="C37" s="69">
        <v>96</v>
      </c>
      <c r="D37" s="15">
        <v>-84</v>
      </c>
      <c r="E37" s="15">
        <v>545</v>
      </c>
      <c r="F37" s="15">
        <v>1302</v>
      </c>
      <c r="G37" s="15">
        <v>150</v>
      </c>
      <c r="H37" s="15">
        <v>557</v>
      </c>
      <c r="I37" s="15">
        <v>1396</v>
      </c>
      <c r="J37" s="15">
        <v>33</v>
      </c>
      <c r="K37" s="15">
        <v>1826</v>
      </c>
      <c r="L37" s="15">
        <v>1074</v>
      </c>
      <c r="M37" s="15">
        <v>0</v>
      </c>
      <c r="N37" s="15">
        <v>34</v>
      </c>
      <c r="O37" s="66">
        <f t="shared" si="3"/>
        <v>6929</v>
      </c>
      <c r="P37" s="70">
        <v>1.24E-3</v>
      </c>
      <c r="R37" s="81">
        <f t="shared" si="4"/>
        <v>8.5919600000000003</v>
      </c>
    </row>
    <row r="38" spans="1:18">
      <c r="A38" s="52">
        <v>24</v>
      </c>
      <c r="B38" s="3" t="s">
        <v>106</v>
      </c>
      <c r="C38" s="69">
        <v>1909641</v>
      </c>
      <c r="D38" s="15">
        <v>1806944</v>
      </c>
      <c r="E38" s="15">
        <v>1549411</v>
      </c>
      <c r="F38" s="15">
        <v>1277233</v>
      </c>
      <c r="G38" s="15">
        <v>1348630</v>
      </c>
      <c r="H38" s="15">
        <v>1329979</v>
      </c>
      <c r="I38" s="15">
        <v>1795617</v>
      </c>
      <c r="J38" s="15">
        <v>1427677</v>
      </c>
      <c r="K38" s="15">
        <v>1355114</v>
      </c>
      <c r="L38" s="15">
        <v>1254624</v>
      </c>
      <c r="M38" s="15">
        <v>1247407</v>
      </c>
      <c r="N38" s="15">
        <v>1703611</v>
      </c>
      <c r="O38" s="66">
        <f t="shared" si="3"/>
        <v>18005888</v>
      </c>
      <c r="P38" s="70">
        <v>1.24E-3</v>
      </c>
      <c r="R38" s="81">
        <f t="shared" si="4"/>
        <v>22327.30112</v>
      </c>
    </row>
    <row r="39" spans="1:18">
      <c r="A39" s="52" t="s">
        <v>142</v>
      </c>
      <c r="B39" s="3" t="s">
        <v>107</v>
      </c>
      <c r="C39" s="69">
        <v>2776</v>
      </c>
      <c r="D39" s="15">
        <v>2776</v>
      </c>
      <c r="E39" s="15">
        <v>2776</v>
      </c>
      <c r="F39" s="15">
        <v>2776</v>
      </c>
      <c r="G39" s="15">
        <v>2776</v>
      </c>
      <c r="H39" s="15">
        <v>2776</v>
      </c>
      <c r="I39" s="15">
        <v>2776</v>
      </c>
      <c r="J39" s="15">
        <v>2776</v>
      </c>
      <c r="K39" s="15">
        <v>2776</v>
      </c>
      <c r="L39" s="15">
        <v>2776</v>
      </c>
      <c r="M39" s="15">
        <v>2776</v>
      </c>
      <c r="N39" s="15">
        <v>2776</v>
      </c>
      <c r="O39" s="66">
        <f t="shared" si="3"/>
        <v>33312</v>
      </c>
      <c r="P39" s="70">
        <v>1.24E-3</v>
      </c>
      <c r="R39" s="81">
        <f t="shared" si="4"/>
        <v>41.30688</v>
      </c>
    </row>
    <row r="40" spans="1:18">
      <c r="A40" s="52">
        <v>36</v>
      </c>
      <c r="B40" s="3" t="s">
        <v>223</v>
      </c>
      <c r="C40" s="69">
        <v>100640</v>
      </c>
      <c r="D40" s="15">
        <v>95384</v>
      </c>
      <c r="E40" s="15">
        <v>73480</v>
      </c>
      <c r="F40" s="15">
        <v>80320</v>
      </c>
      <c r="G40" s="15">
        <v>87200</v>
      </c>
      <c r="H40" s="15">
        <v>113520</v>
      </c>
      <c r="I40" s="15">
        <v>168842</v>
      </c>
      <c r="J40" s="15">
        <v>199560</v>
      </c>
      <c r="K40" s="15">
        <v>987400</v>
      </c>
      <c r="L40" s="15">
        <v>1570360</v>
      </c>
      <c r="M40" s="15">
        <v>249680</v>
      </c>
      <c r="N40" s="15">
        <v>149720</v>
      </c>
      <c r="O40" s="66">
        <f t="shared" si="3"/>
        <v>3876106</v>
      </c>
      <c r="P40" s="70">
        <v>1.0200000000000001E-3</v>
      </c>
      <c r="R40" s="81">
        <f t="shared" si="4"/>
        <v>3953.6281200000003</v>
      </c>
    </row>
    <row r="41" spans="1:18">
      <c r="A41" s="52" t="s">
        <v>148</v>
      </c>
      <c r="B41" s="3" t="s">
        <v>209</v>
      </c>
      <c r="C41" s="69"/>
      <c r="D41" s="15"/>
      <c r="E41" s="15"/>
      <c r="F41" s="15">
        <v>54000</v>
      </c>
      <c r="G41" s="15">
        <v>-54000</v>
      </c>
      <c r="H41" s="15"/>
      <c r="I41" s="15"/>
      <c r="J41" s="15"/>
      <c r="K41" s="15"/>
      <c r="L41" s="15"/>
      <c r="M41" s="15"/>
      <c r="N41" s="15"/>
      <c r="O41" s="66">
        <f t="shared" si="3"/>
        <v>0</v>
      </c>
      <c r="P41" s="70">
        <v>8.3000000000000001E-4</v>
      </c>
      <c r="R41" s="81">
        <f t="shared" si="4"/>
        <v>0</v>
      </c>
    </row>
    <row r="42" spans="1:18">
      <c r="A42" s="52">
        <v>36</v>
      </c>
      <c r="B42" s="3" t="s">
        <v>108</v>
      </c>
      <c r="C42" s="69">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6">
        <f t="shared" si="3"/>
        <v>136629425</v>
      </c>
      <c r="P42" s="70">
        <v>1.0200000000000001E-3</v>
      </c>
      <c r="R42" s="81">
        <f t="shared" si="4"/>
        <v>139362.0135</v>
      </c>
    </row>
    <row r="43" spans="1:18">
      <c r="A43" s="52" t="s">
        <v>147</v>
      </c>
      <c r="B43" s="3" t="s">
        <v>123</v>
      </c>
      <c r="C43" s="67">
        <v>2948000</v>
      </c>
      <c r="D43" s="15">
        <v>2612000</v>
      </c>
      <c r="E43" s="15">
        <v>2349000</v>
      </c>
      <c r="F43" s="15">
        <v>2241000</v>
      </c>
      <c r="G43" s="15">
        <v>1942000</v>
      </c>
      <c r="H43" s="15">
        <v>1761000</v>
      </c>
      <c r="I43" s="15">
        <v>2096000</v>
      </c>
      <c r="J43" s="15">
        <v>2221000</v>
      </c>
      <c r="K43" s="15">
        <v>1602000</v>
      </c>
      <c r="L43" s="15">
        <v>1544000</v>
      </c>
      <c r="M43" s="15">
        <v>1868000</v>
      </c>
      <c r="N43" s="15">
        <v>2647000</v>
      </c>
      <c r="O43" s="66">
        <f t="shared" si="3"/>
        <v>25831000</v>
      </c>
      <c r="P43" s="70">
        <v>8.3000000000000001E-4</v>
      </c>
      <c r="R43" s="81">
        <f t="shared" si="4"/>
        <v>21439.73</v>
      </c>
    </row>
    <row r="44" spans="1:18">
      <c r="A44" s="52" t="s">
        <v>71</v>
      </c>
      <c r="B44" s="3" t="s">
        <v>109</v>
      </c>
      <c r="C44" s="67">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6">
        <f t="shared" si="3"/>
        <v>674724556</v>
      </c>
      <c r="P44" s="70">
        <v>8.3000000000000001E-4</v>
      </c>
      <c r="R44" s="81">
        <f t="shared" si="4"/>
        <v>560021.38147999998</v>
      </c>
    </row>
    <row r="45" spans="1:18">
      <c r="B45" s="3" t="s">
        <v>110</v>
      </c>
      <c r="C45" s="67"/>
      <c r="D45" s="15"/>
      <c r="E45" s="15"/>
      <c r="F45" s="15"/>
      <c r="G45" s="15"/>
      <c r="H45" s="15"/>
      <c r="I45" s="15">
        <v>0</v>
      </c>
      <c r="J45" s="15">
        <v>0</v>
      </c>
      <c r="K45" s="15">
        <v>0</v>
      </c>
      <c r="L45" s="15"/>
      <c r="M45" s="15"/>
      <c r="N45" s="15"/>
      <c r="O45" s="66">
        <f t="shared" si="3"/>
        <v>0</v>
      </c>
    </row>
    <row r="46" spans="1:18">
      <c r="A46" s="52" t="s">
        <v>144</v>
      </c>
      <c r="B46" s="3" t="s">
        <v>116</v>
      </c>
      <c r="C46" s="67">
        <v>10756</v>
      </c>
      <c r="D46" s="15">
        <v>11243</v>
      </c>
      <c r="E46" s="15">
        <v>11348</v>
      </c>
      <c r="F46" s="15">
        <v>10494</v>
      </c>
      <c r="G46" s="15">
        <v>10714</v>
      </c>
      <c r="H46" s="15">
        <v>10392</v>
      </c>
      <c r="I46" s="15">
        <v>10322</v>
      </c>
      <c r="J46" s="15">
        <v>10317</v>
      </c>
      <c r="K46" s="15">
        <v>9746</v>
      </c>
      <c r="L46" s="15">
        <v>10468</v>
      </c>
      <c r="M46" s="15">
        <v>10361</v>
      </c>
      <c r="N46" s="15">
        <v>10770</v>
      </c>
      <c r="O46" s="66">
        <f t="shared" si="3"/>
        <v>126931</v>
      </c>
      <c r="P46" s="70">
        <v>1.09E-3</v>
      </c>
      <c r="R46" s="81">
        <f>P46*O46</f>
        <v>138.35479000000001</v>
      </c>
    </row>
    <row r="47" spans="1:18">
      <c r="A47" s="52" t="s">
        <v>144</v>
      </c>
      <c r="B47" s="3" t="s">
        <v>221</v>
      </c>
      <c r="C47" s="67">
        <v>2684</v>
      </c>
      <c r="D47" s="15">
        <v>2684</v>
      </c>
      <c r="E47" s="15">
        <v>2684</v>
      </c>
      <c r="F47" s="15">
        <v>2684</v>
      </c>
      <c r="G47" s="15">
        <v>2608</v>
      </c>
      <c r="H47" s="15">
        <v>2760</v>
      </c>
      <c r="I47" s="15">
        <v>2686</v>
      </c>
      <c r="J47" s="15">
        <v>2685</v>
      </c>
      <c r="K47" s="15">
        <v>2684</v>
      </c>
      <c r="L47" s="15">
        <v>2684</v>
      </c>
      <c r="M47" s="15">
        <v>2684</v>
      </c>
      <c r="N47" s="15">
        <v>2684</v>
      </c>
      <c r="O47" s="66">
        <f t="shared" si="3"/>
        <v>32211</v>
      </c>
      <c r="P47" s="70">
        <v>1.09E-3</v>
      </c>
      <c r="R47" s="81">
        <f>P47*O47</f>
        <v>35.109990000000003</v>
      </c>
    </row>
    <row r="48" spans="1:18">
      <c r="A48" s="52">
        <v>47</v>
      </c>
      <c r="B48" s="3" t="s">
        <v>124</v>
      </c>
      <c r="C48" s="67">
        <v>0</v>
      </c>
      <c r="D48" s="15">
        <v>420000</v>
      </c>
      <c r="E48" s="15">
        <v>0</v>
      </c>
      <c r="F48" s="15">
        <v>140000</v>
      </c>
      <c r="G48" s="15">
        <v>0</v>
      </c>
      <c r="H48" s="15">
        <v>140000</v>
      </c>
      <c r="I48" s="15">
        <v>140000</v>
      </c>
      <c r="J48" s="15">
        <v>140000</v>
      </c>
      <c r="K48" s="15">
        <v>140000</v>
      </c>
      <c r="L48" s="15">
        <v>140000</v>
      </c>
      <c r="M48" s="15">
        <v>140000</v>
      </c>
      <c r="N48" s="15">
        <v>140000</v>
      </c>
      <c r="O48" s="66">
        <f t="shared" si="3"/>
        <v>1540000</v>
      </c>
      <c r="P48" s="70">
        <v>8.3000000000000001E-4</v>
      </c>
      <c r="R48" s="81">
        <f>P48*O48</f>
        <v>1278.2</v>
      </c>
    </row>
    <row r="49" spans="1:18">
      <c r="A49" s="52" t="s">
        <v>31</v>
      </c>
      <c r="B49" s="3" t="s">
        <v>118</v>
      </c>
      <c r="C49" s="67"/>
      <c r="D49" s="15"/>
      <c r="E49" s="15"/>
      <c r="F49" s="15"/>
      <c r="G49" s="15"/>
      <c r="H49" s="15">
        <v>0</v>
      </c>
      <c r="I49" s="15"/>
      <c r="J49" s="15">
        <v>0</v>
      </c>
      <c r="K49" s="15"/>
      <c r="L49" s="15">
        <v>0</v>
      </c>
      <c r="M49" s="15"/>
      <c r="N49" s="15"/>
      <c r="O49" s="3">
        <v>0</v>
      </c>
    </row>
    <row r="50" spans="1:18">
      <c r="B50" s="3" t="s">
        <v>119</v>
      </c>
      <c r="C50" s="67"/>
      <c r="D50" s="15"/>
      <c r="E50" s="15"/>
      <c r="F50" s="15"/>
      <c r="G50" s="15"/>
      <c r="H50" s="15">
        <v>0</v>
      </c>
      <c r="I50" s="15"/>
      <c r="J50" s="15">
        <v>0</v>
      </c>
      <c r="K50" s="15"/>
      <c r="L50" s="15"/>
      <c r="M50" s="15"/>
      <c r="N50" s="15"/>
      <c r="O50" s="3">
        <v>0</v>
      </c>
    </row>
    <row r="51" spans="1:18">
      <c r="B51" s="3" t="s">
        <v>215</v>
      </c>
      <c r="C51" s="67">
        <v>0</v>
      </c>
      <c r="D51" s="15">
        <v>0</v>
      </c>
      <c r="E51" s="15">
        <v>0</v>
      </c>
      <c r="F51" s="15">
        <v>0</v>
      </c>
      <c r="G51" s="15">
        <v>0</v>
      </c>
      <c r="H51" s="15">
        <v>0</v>
      </c>
      <c r="I51" s="15"/>
      <c r="J51" s="15"/>
      <c r="K51" s="15"/>
      <c r="L51" s="15"/>
      <c r="M51" s="15"/>
      <c r="N51" s="15"/>
      <c r="O51" s="3">
        <v>0</v>
      </c>
    </row>
    <row r="52" spans="1:18">
      <c r="B52" s="3" t="s">
        <v>218</v>
      </c>
      <c r="C52" s="67">
        <v>0</v>
      </c>
      <c r="D52" s="15">
        <v>0</v>
      </c>
      <c r="E52" s="15">
        <v>0</v>
      </c>
      <c r="F52" s="15">
        <v>0</v>
      </c>
      <c r="G52" s="15">
        <v>0</v>
      </c>
      <c r="H52" s="15">
        <v>0</v>
      </c>
      <c r="I52" s="15"/>
      <c r="J52" s="15"/>
      <c r="K52" s="15"/>
      <c r="L52" s="15"/>
      <c r="M52" s="15"/>
      <c r="N52" s="15"/>
      <c r="O52" s="3">
        <v>0</v>
      </c>
    </row>
    <row r="53" spans="1:18">
      <c r="B53" s="3" t="s">
        <v>120</v>
      </c>
    </row>
    <row r="54" spans="1:18">
      <c r="C54" s="66">
        <f t="shared" ref="C54:O54" si="5">SUM(C36:C52)</f>
        <v>65322549</v>
      </c>
      <c r="D54" s="66">
        <f t="shared" si="5"/>
        <v>76970170</v>
      </c>
      <c r="E54" s="66">
        <f t="shared" si="5"/>
        <v>72711629</v>
      </c>
      <c r="F54" s="66">
        <f t="shared" si="5"/>
        <v>68267582</v>
      </c>
      <c r="G54" s="66">
        <f t="shared" si="5"/>
        <v>70025693</v>
      </c>
      <c r="H54" s="66">
        <f t="shared" si="5"/>
        <v>53705132</v>
      </c>
      <c r="I54" s="66">
        <f t="shared" si="5"/>
        <v>71077583</v>
      </c>
      <c r="J54" s="66">
        <f t="shared" si="5"/>
        <v>76683925</v>
      </c>
      <c r="K54" s="66">
        <f t="shared" si="5"/>
        <v>76734276</v>
      </c>
      <c r="L54" s="66">
        <f t="shared" si="5"/>
        <v>75997087</v>
      </c>
      <c r="M54" s="66">
        <f t="shared" si="5"/>
        <v>76275881</v>
      </c>
      <c r="N54" s="66">
        <f t="shared" si="5"/>
        <v>80289165</v>
      </c>
      <c r="O54" s="66">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2">
        <v>40</v>
      </c>
      <c r="B57" s="3" t="s">
        <v>126</v>
      </c>
      <c r="C57" s="64">
        <v>124730</v>
      </c>
      <c r="D57" s="65">
        <v>162249</v>
      </c>
      <c r="E57" s="65">
        <v>1299080</v>
      </c>
      <c r="F57" s="65">
        <v>7016538</v>
      </c>
      <c r="G57" s="65">
        <v>14528558</v>
      </c>
      <c r="H57" s="65">
        <v>22434860</v>
      </c>
      <c r="I57" s="65">
        <v>27592080</v>
      </c>
      <c r="J57" s="65">
        <v>27861032</v>
      </c>
      <c r="K57" s="65">
        <v>22999788</v>
      </c>
      <c r="L57" s="65">
        <v>15185882</v>
      </c>
      <c r="M57" s="65">
        <v>4628381</v>
      </c>
      <c r="N57" s="65">
        <v>95256</v>
      </c>
      <c r="O57" s="66">
        <f t="shared" ref="O57:O68" si="6">SUM(C57:N57)</f>
        <v>143928434</v>
      </c>
      <c r="P57" s="70">
        <v>1.1299999999999999E-3</v>
      </c>
      <c r="R57" s="81">
        <f>P57*O57</f>
        <v>162639.13042</v>
      </c>
    </row>
    <row r="58" spans="1:18">
      <c r="A58" s="52" t="s">
        <v>150</v>
      </c>
      <c r="B58" s="3" t="s">
        <v>127</v>
      </c>
      <c r="C58" s="67">
        <v>102459</v>
      </c>
      <c r="D58" s="15">
        <v>42286</v>
      </c>
      <c r="E58" s="15">
        <v>64181</v>
      </c>
      <c r="F58" s="15">
        <v>1216993</v>
      </c>
      <c r="G58" s="15">
        <v>2153761</v>
      </c>
      <c r="H58" s="15">
        <v>2795376</v>
      </c>
      <c r="I58" s="15">
        <v>3573149</v>
      </c>
      <c r="J58" s="15">
        <v>4095509</v>
      </c>
      <c r="K58" s="15">
        <v>3017180</v>
      </c>
      <c r="L58" s="15">
        <v>2319141</v>
      </c>
      <c r="M58" s="15">
        <v>828689</v>
      </c>
      <c r="N58" s="15">
        <v>45789</v>
      </c>
      <c r="O58" s="66">
        <f t="shared" si="6"/>
        <v>20254513</v>
      </c>
      <c r="P58" s="70">
        <v>1.1299999999999999E-3</v>
      </c>
      <c r="R58" s="81">
        <f>P58*O58</f>
        <v>22887.599689999999</v>
      </c>
    </row>
    <row r="59" spans="1:18">
      <c r="B59" s="3" t="s">
        <v>110</v>
      </c>
      <c r="C59" s="3">
        <v>0</v>
      </c>
      <c r="D59" s="3">
        <v>0</v>
      </c>
      <c r="E59" s="3">
        <v>0</v>
      </c>
      <c r="F59" s="3">
        <v>0</v>
      </c>
      <c r="G59" s="3">
        <v>0</v>
      </c>
      <c r="H59" s="3">
        <v>0</v>
      </c>
      <c r="I59" s="3">
        <v>0</v>
      </c>
      <c r="J59" s="3">
        <v>0</v>
      </c>
      <c r="K59" s="3">
        <v>0</v>
      </c>
      <c r="L59" s="3">
        <v>0</v>
      </c>
      <c r="M59" s="3">
        <v>0</v>
      </c>
      <c r="N59" s="3">
        <v>0</v>
      </c>
      <c r="O59" s="66">
        <f t="shared" si="6"/>
        <v>0</v>
      </c>
    </row>
    <row r="60" spans="1:18">
      <c r="B60" s="3" t="s">
        <v>111</v>
      </c>
      <c r="C60" s="3">
        <v>0</v>
      </c>
      <c r="D60" s="3">
        <v>0</v>
      </c>
      <c r="E60" s="3">
        <v>0</v>
      </c>
      <c r="F60" s="3">
        <v>0</v>
      </c>
      <c r="G60" s="3">
        <v>0</v>
      </c>
      <c r="H60" s="3">
        <v>0</v>
      </c>
      <c r="I60" s="3">
        <v>0</v>
      </c>
      <c r="J60" s="3">
        <v>0</v>
      </c>
      <c r="K60" s="3">
        <v>0</v>
      </c>
      <c r="L60" s="3">
        <v>0</v>
      </c>
      <c r="M60" s="3">
        <v>0</v>
      </c>
      <c r="N60" s="3">
        <v>0</v>
      </c>
      <c r="O60" s="66">
        <f t="shared" si="6"/>
        <v>0</v>
      </c>
    </row>
    <row r="61" spans="1:18">
      <c r="A61" s="52" t="s">
        <v>31</v>
      </c>
      <c r="B61" s="3" t="s">
        <v>112</v>
      </c>
      <c r="C61" s="3">
        <v>0</v>
      </c>
      <c r="D61" s="3">
        <v>0</v>
      </c>
      <c r="E61" s="3">
        <v>0</v>
      </c>
      <c r="F61" s="3">
        <v>0</v>
      </c>
      <c r="G61" s="3">
        <v>0</v>
      </c>
      <c r="H61" s="3">
        <v>0</v>
      </c>
      <c r="I61" s="3">
        <v>0</v>
      </c>
      <c r="J61" s="3">
        <v>0</v>
      </c>
      <c r="K61" s="3">
        <v>0</v>
      </c>
      <c r="L61" s="3">
        <v>0</v>
      </c>
      <c r="M61" s="3">
        <v>0</v>
      </c>
      <c r="N61" s="3">
        <v>0</v>
      </c>
      <c r="O61" s="66">
        <f t="shared" si="6"/>
        <v>0</v>
      </c>
    </row>
    <row r="62" spans="1:18">
      <c r="A62" s="52" t="s">
        <v>31</v>
      </c>
      <c r="B62" s="3" t="s">
        <v>113</v>
      </c>
      <c r="C62" s="3">
        <v>0</v>
      </c>
      <c r="D62" s="3">
        <v>0</v>
      </c>
      <c r="E62" s="3">
        <v>0</v>
      </c>
      <c r="F62" s="3">
        <v>0</v>
      </c>
      <c r="G62" s="3">
        <v>0</v>
      </c>
      <c r="H62" s="3">
        <v>0</v>
      </c>
      <c r="I62" s="3">
        <v>0</v>
      </c>
      <c r="J62" s="3">
        <v>0</v>
      </c>
      <c r="K62" s="3">
        <v>0</v>
      </c>
      <c r="L62" s="3">
        <v>0</v>
      </c>
      <c r="M62" s="3">
        <v>0</v>
      </c>
      <c r="N62" s="3">
        <v>0</v>
      </c>
      <c r="O62" s="66">
        <f t="shared" si="6"/>
        <v>0</v>
      </c>
    </row>
    <row r="63" spans="1:18">
      <c r="A63" s="52" t="s">
        <v>31</v>
      </c>
      <c r="B63" s="3" t="s">
        <v>114</v>
      </c>
      <c r="C63" s="3">
        <v>0</v>
      </c>
      <c r="D63" s="3">
        <v>0</v>
      </c>
      <c r="E63" s="3">
        <v>0</v>
      </c>
      <c r="F63" s="3">
        <v>0</v>
      </c>
      <c r="G63" s="3">
        <v>0</v>
      </c>
      <c r="H63" s="3">
        <v>0</v>
      </c>
      <c r="I63" s="3">
        <v>0</v>
      </c>
      <c r="J63" s="3">
        <v>0</v>
      </c>
      <c r="K63" s="3">
        <v>0</v>
      </c>
      <c r="L63" s="3">
        <v>0</v>
      </c>
      <c r="M63" s="3">
        <v>0</v>
      </c>
      <c r="N63" s="3">
        <v>0</v>
      </c>
      <c r="O63" s="66">
        <f t="shared" si="6"/>
        <v>0</v>
      </c>
    </row>
    <row r="64" spans="1:18">
      <c r="B64" s="53" t="s">
        <v>237</v>
      </c>
      <c r="C64" s="3">
        <v>0</v>
      </c>
      <c r="D64" s="3">
        <v>0</v>
      </c>
      <c r="E64" s="3">
        <v>0</v>
      </c>
      <c r="F64" s="3">
        <v>0</v>
      </c>
      <c r="G64" s="3">
        <v>0</v>
      </c>
      <c r="H64" s="3">
        <v>0</v>
      </c>
      <c r="I64" s="3">
        <v>0</v>
      </c>
      <c r="J64" s="3">
        <v>0</v>
      </c>
      <c r="K64" s="3">
        <v>0</v>
      </c>
      <c r="L64" s="3">
        <v>0</v>
      </c>
      <c r="M64" s="3">
        <v>0</v>
      </c>
      <c r="N64" s="3">
        <v>0</v>
      </c>
      <c r="O64" s="66">
        <f t="shared" si="6"/>
        <v>0</v>
      </c>
    </row>
    <row r="65" spans="1:18">
      <c r="B65" s="53" t="s">
        <v>238</v>
      </c>
      <c r="C65" s="3">
        <v>0</v>
      </c>
      <c r="D65" s="3">
        <v>0</v>
      </c>
      <c r="E65" s="3">
        <v>0</v>
      </c>
      <c r="F65" s="3">
        <v>0</v>
      </c>
      <c r="G65" s="3">
        <v>0</v>
      </c>
      <c r="H65" s="3">
        <v>0</v>
      </c>
      <c r="I65" s="3">
        <v>0</v>
      </c>
      <c r="J65" s="3">
        <v>0</v>
      </c>
      <c r="K65" s="3">
        <v>0</v>
      </c>
      <c r="L65" s="3">
        <v>0</v>
      </c>
      <c r="M65" s="3">
        <v>0</v>
      </c>
      <c r="N65" s="3">
        <v>0</v>
      </c>
      <c r="O65" s="66">
        <f t="shared" si="6"/>
        <v>0</v>
      </c>
    </row>
    <row r="66" spans="1:18">
      <c r="A66" s="52" t="s">
        <v>31</v>
      </c>
      <c r="B66" s="3" t="s">
        <v>118</v>
      </c>
      <c r="C66" s="3">
        <v>0</v>
      </c>
      <c r="D66" s="3">
        <v>0</v>
      </c>
      <c r="E66" s="3">
        <v>0</v>
      </c>
      <c r="F66" s="3">
        <v>0</v>
      </c>
      <c r="G66" s="3">
        <v>0</v>
      </c>
      <c r="H66" s="3">
        <v>0</v>
      </c>
      <c r="I66" s="3">
        <v>0</v>
      </c>
      <c r="J66" s="3">
        <v>0</v>
      </c>
      <c r="K66" s="3">
        <v>0</v>
      </c>
      <c r="L66" s="3">
        <v>0</v>
      </c>
      <c r="M66" s="3">
        <v>0</v>
      </c>
      <c r="N66" s="3">
        <v>0</v>
      </c>
      <c r="O66" s="66">
        <f t="shared" si="6"/>
        <v>0</v>
      </c>
    </row>
    <row r="67" spans="1:18">
      <c r="A67" s="52" t="s">
        <v>31</v>
      </c>
      <c r="B67" s="3" t="s">
        <v>119</v>
      </c>
      <c r="C67" s="3">
        <v>0</v>
      </c>
      <c r="D67" s="3">
        <v>0</v>
      </c>
      <c r="E67" s="3">
        <v>0</v>
      </c>
      <c r="F67" s="3">
        <v>0</v>
      </c>
      <c r="G67" s="3">
        <v>0</v>
      </c>
      <c r="H67" s="3">
        <v>0</v>
      </c>
      <c r="I67" s="3">
        <v>0</v>
      </c>
      <c r="J67" s="3">
        <v>0</v>
      </c>
      <c r="K67" s="3">
        <v>0</v>
      </c>
      <c r="L67" s="3">
        <v>0</v>
      </c>
      <c r="M67" s="3">
        <v>0</v>
      </c>
      <c r="N67" s="3">
        <v>0</v>
      </c>
      <c r="O67" s="66">
        <f t="shared" si="6"/>
        <v>0</v>
      </c>
    </row>
    <row r="68" spans="1:18">
      <c r="A68" s="52" t="s">
        <v>31</v>
      </c>
      <c r="B68" s="3" t="s">
        <v>128</v>
      </c>
      <c r="C68" s="3">
        <v>0</v>
      </c>
      <c r="D68" s="3">
        <v>0</v>
      </c>
      <c r="E68" s="3">
        <v>0</v>
      </c>
      <c r="F68" s="3">
        <v>0</v>
      </c>
      <c r="G68" s="3">
        <v>0</v>
      </c>
      <c r="H68" s="3">
        <v>0</v>
      </c>
      <c r="I68" s="3">
        <v>0</v>
      </c>
      <c r="J68" s="3">
        <v>0</v>
      </c>
      <c r="K68" s="3">
        <v>0</v>
      </c>
      <c r="L68" s="3">
        <v>0</v>
      </c>
      <c r="M68" s="3">
        <v>0</v>
      </c>
      <c r="N68" s="3">
        <v>0</v>
      </c>
      <c r="O68" s="66">
        <f t="shared" si="6"/>
        <v>0</v>
      </c>
    </row>
    <row r="69" spans="1:18">
      <c r="C69" s="66">
        <f>SUM(C57:C68)</f>
        <v>227189</v>
      </c>
      <c r="D69" s="66">
        <v>197601</v>
      </c>
      <c r="E69" s="66">
        <v>775917</v>
      </c>
      <c r="F69" s="66">
        <v>9268537</v>
      </c>
      <c r="G69" s="66">
        <f>SUM(C69:F69)</f>
        <v>10469244</v>
      </c>
      <c r="H69" s="66">
        <v>13670831</v>
      </c>
      <c r="I69" s="66">
        <v>27350041</v>
      </c>
      <c r="J69" s="66">
        <v>33739633</v>
      </c>
      <c r="K69" s="66">
        <v>28176106</v>
      </c>
      <c r="L69" s="66">
        <v>17440142</v>
      </c>
      <c r="M69" s="66">
        <v>6008504</v>
      </c>
      <c r="N69" s="66">
        <v>295653</v>
      </c>
      <c r="O69" s="66">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4">
        <v>0</v>
      </c>
      <c r="D72" s="65">
        <v>0</v>
      </c>
      <c r="E72" s="65">
        <v>0</v>
      </c>
      <c r="F72" s="65">
        <v>0</v>
      </c>
      <c r="G72" s="65">
        <v>0</v>
      </c>
      <c r="H72" s="65">
        <v>0</v>
      </c>
      <c r="I72" s="65">
        <v>0</v>
      </c>
      <c r="J72" s="65">
        <v>0</v>
      </c>
      <c r="K72" s="65">
        <v>0</v>
      </c>
      <c r="L72" s="65">
        <v>0</v>
      </c>
      <c r="M72" s="65">
        <v>0</v>
      </c>
      <c r="N72" s="65">
        <v>0</v>
      </c>
      <c r="O72" s="15">
        <f t="shared" ref="O72:O77" si="7">SUM(C72:N72)</f>
        <v>0</v>
      </c>
    </row>
    <row r="73" spans="1:18">
      <c r="A73" s="52">
        <v>52</v>
      </c>
      <c r="B73" s="3" t="s">
        <v>131</v>
      </c>
      <c r="C73" s="67">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0">
        <v>1.09E-3</v>
      </c>
      <c r="R73" s="81">
        <f>P73*O73</f>
        <v>493.36234000000002</v>
      </c>
    </row>
    <row r="74" spans="1:18">
      <c r="A74" s="52" t="s">
        <v>151</v>
      </c>
      <c r="B74" s="3" t="s">
        <v>132</v>
      </c>
      <c r="C74" s="67">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0">
        <v>1.09E-3</v>
      </c>
      <c r="R74" s="81">
        <f>P74*O74</f>
        <v>3742.1334999999999</v>
      </c>
    </row>
    <row r="75" spans="1:18">
      <c r="A75" s="52" t="s">
        <v>152</v>
      </c>
      <c r="B75" s="3" t="s">
        <v>133</v>
      </c>
      <c r="C75" s="67">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0">
        <v>1.09E-3</v>
      </c>
      <c r="R75" s="81">
        <f>P75*O75</f>
        <v>1109.96335</v>
      </c>
    </row>
    <row r="76" spans="1:18">
      <c r="A76" s="52">
        <v>51</v>
      </c>
      <c r="B76" s="3" t="s">
        <v>134</v>
      </c>
      <c r="C76" s="67">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0">
        <v>1.09E-3</v>
      </c>
      <c r="R76" s="81">
        <f>P76*O76</f>
        <v>3197.6567</v>
      </c>
    </row>
    <row r="77" spans="1:18">
      <c r="A77" s="52">
        <v>57</v>
      </c>
      <c r="B77" s="3" t="s">
        <v>135</v>
      </c>
      <c r="C77" s="67">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0">
        <v>1.09E-3</v>
      </c>
      <c r="R77" s="81">
        <f>P77*O77</f>
        <v>2244.5574300000003</v>
      </c>
    </row>
    <row r="78" spans="1:18">
      <c r="B78" s="3" t="s">
        <v>118</v>
      </c>
      <c r="C78" s="67"/>
      <c r="D78" s="15"/>
      <c r="E78" s="15"/>
      <c r="F78" s="15"/>
      <c r="G78" s="15"/>
      <c r="H78" s="15"/>
      <c r="I78" s="15"/>
      <c r="J78" s="15"/>
      <c r="K78" s="15"/>
      <c r="L78" s="15">
        <v>0</v>
      </c>
      <c r="M78" s="15"/>
      <c r="N78" s="15"/>
      <c r="O78" s="66"/>
      <c r="P78" s="70"/>
      <c r="R78" s="81"/>
    </row>
    <row r="79" spans="1:18">
      <c r="B79" s="3" t="s">
        <v>119</v>
      </c>
      <c r="C79" s="67"/>
      <c r="D79" s="15">
        <v>0</v>
      </c>
      <c r="E79" s="15"/>
      <c r="F79" s="15"/>
      <c r="G79" s="15"/>
      <c r="H79" s="15"/>
      <c r="I79" s="15"/>
      <c r="J79" s="15"/>
      <c r="K79" s="15"/>
      <c r="L79" s="15">
        <v>0</v>
      </c>
      <c r="M79" s="15"/>
      <c r="N79" s="15"/>
      <c r="O79" s="66"/>
      <c r="P79" s="70"/>
      <c r="R79" s="81"/>
    </row>
    <row r="80" spans="1:18">
      <c r="A80" s="52" t="s">
        <v>31</v>
      </c>
      <c r="B80" s="3" t="s">
        <v>120</v>
      </c>
      <c r="C80" s="67">
        <v>0</v>
      </c>
      <c r="D80" s="15">
        <v>0</v>
      </c>
      <c r="E80" s="15">
        <v>0</v>
      </c>
      <c r="F80" s="15">
        <v>0</v>
      </c>
      <c r="G80" s="15">
        <v>0</v>
      </c>
      <c r="H80" s="15">
        <v>0</v>
      </c>
      <c r="I80" s="15">
        <v>0</v>
      </c>
      <c r="J80" s="15">
        <v>0</v>
      </c>
      <c r="K80" s="15">
        <v>0</v>
      </c>
      <c r="L80" s="15">
        <v>0</v>
      </c>
      <c r="M80" s="15">
        <v>0</v>
      </c>
      <c r="N80" s="15">
        <v>0</v>
      </c>
    </row>
    <row r="81" spans="1:18">
      <c r="A81" s="52" t="s">
        <v>31</v>
      </c>
      <c r="C81" s="66">
        <f t="shared" ref="C81:O81" si="8">SUM(C72:C80)</f>
        <v>862201</v>
      </c>
      <c r="D81" s="66">
        <f t="shared" si="8"/>
        <v>853540</v>
      </c>
      <c r="E81" s="66">
        <f t="shared" si="8"/>
        <v>808784</v>
      </c>
      <c r="F81" s="66">
        <f t="shared" si="8"/>
        <v>816946</v>
      </c>
      <c r="G81" s="66">
        <f t="shared" si="8"/>
        <v>840487</v>
      </c>
      <c r="H81" s="66">
        <f t="shared" si="8"/>
        <v>805873</v>
      </c>
      <c r="I81" s="66">
        <f t="shared" si="8"/>
        <v>804480</v>
      </c>
      <c r="J81" s="66">
        <f t="shared" si="8"/>
        <v>810930</v>
      </c>
      <c r="K81" s="66">
        <f t="shared" si="8"/>
        <v>774898</v>
      </c>
      <c r="L81" s="66">
        <f t="shared" si="8"/>
        <v>843481</v>
      </c>
      <c r="M81" s="66">
        <f t="shared" si="8"/>
        <v>811733</v>
      </c>
      <c r="N81" s="66">
        <f t="shared" si="8"/>
        <v>863595</v>
      </c>
      <c r="O81" s="66">
        <f t="shared" si="8"/>
        <v>9896948</v>
      </c>
    </row>
    <row r="82" spans="1:18">
      <c r="A82" s="52" t="s">
        <v>31</v>
      </c>
      <c r="B82" s="3" t="s">
        <v>136</v>
      </c>
    </row>
    <row r="83" spans="1:18">
      <c r="A83" s="52"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2" t="s">
        <v>239</v>
      </c>
      <c r="C84" s="64"/>
      <c r="D84" s="65"/>
      <c r="E84" s="65"/>
      <c r="F84" s="65"/>
      <c r="G84" s="65"/>
      <c r="H84" s="65"/>
      <c r="I84" s="65"/>
      <c r="J84" s="65">
        <v>0</v>
      </c>
      <c r="K84" s="65"/>
      <c r="L84" s="65"/>
      <c r="M84" s="65">
        <v>0</v>
      </c>
      <c r="N84" s="65"/>
      <c r="O84" s="15">
        <f t="shared" ref="O84:O95" si="9">SUM(C84:N84)</f>
        <v>0</v>
      </c>
    </row>
    <row r="85" spans="1:18">
      <c r="A85" s="52" t="s">
        <v>31</v>
      </c>
      <c r="B85" s="3" t="s">
        <v>113</v>
      </c>
      <c r="C85" s="67">
        <v>0</v>
      </c>
      <c r="D85" s="15">
        <v>0</v>
      </c>
      <c r="E85" s="15">
        <v>0</v>
      </c>
      <c r="F85" s="15">
        <v>0</v>
      </c>
      <c r="G85" s="15">
        <v>0</v>
      </c>
      <c r="H85" s="15">
        <v>0</v>
      </c>
      <c r="I85" s="15">
        <v>0</v>
      </c>
      <c r="J85" s="15">
        <v>0</v>
      </c>
      <c r="K85" s="15">
        <v>0</v>
      </c>
      <c r="L85" s="15">
        <v>0</v>
      </c>
      <c r="M85" s="15">
        <v>0</v>
      </c>
      <c r="N85" s="15">
        <v>0</v>
      </c>
      <c r="O85" s="15">
        <f t="shared" si="9"/>
        <v>0</v>
      </c>
    </row>
    <row r="86" spans="1:18">
      <c r="A86" s="52" t="s">
        <v>153</v>
      </c>
      <c r="B86" s="3" t="s">
        <v>224</v>
      </c>
      <c r="C86" s="67">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0">
        <v>1.09E-3</v>
      </c>
      <c r="R86" s="81">
        <f>P86*O86</f>
        <v>1277.9399800000001</v>
      </c>
    </row>
    <row r="87" spans="1:18">
      <c r="A87" s="52">
        <v>16</v>
      </c>
      <c r="B87" s="3" t="s">
        <v>137</v>
      </c>
      <c r="C87" s="67">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0">
        <v>1.2199999999999999E-3</v>
      </c>
      <c r="R87" s="81">
        <f>P87*O87</f>
        <v>1926797.3400399999</v>
      </c>
    </row>
    <row r="88" spans="1:18">
      <c r="A88" s="52">
        <v>17</v>
      </c>
      <c r="B88" s="3" t="s">
        <v>138</v>
      </c>
      <c r="C88" s="67">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0">
        <v>1.2199999999999999E-3</v>
      </c>
      <c r="R88" s="81">
        <f>P88*O88</f>
        <v>55927.147279999997</v>
      </c>
    </row>
    <row r="89" spans="1:18">
      <c r="A89" s="52">
        <v>18</v>
      </c>
      <c r="B89" s="3" t="s">
        <v>140</v>
      </c>
      <c r="C89" s="67">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0">
        <v>1.2199999999999999E-3</v>
      </c>
      <c r="R89" s="81">
        <f>P89*O89</f>
        <v>3348.35466</v>
      </c>
    </row>
    <row r="90" spans="1:18">
      <c r="A90" s="52" t="s">
        <v>154</v>
      </c>
      <c r="B90" s="3" t="s">
        <v>141</v>
      </c>
      <c r="C90" s="67">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0">
        <v>1.2199999999999999E-3</v>
      </c>
      <c r="R90" s="81">
        <f>P90*O90</f>
        <v>866.18901999999991</v>
      </c>
    </row>
    <row r="91" spans="1:18">
      <c r="B91" s="3" t="s">
        <v>118</v>
      </c>
      <c r="C91" s="67">
        <v>0</v>
      </c>
      <c r="D91" s="15">
        <v>0</v>
      </c>
      <c r="E91" s="15">
        <v>0</v>
      </c>
      <c r="F91" s="15"/>
      <c r="G91" s="15"/>
      <c r="H91" s="15"/>
      <c r="I91" s="15">
        <v>0</v>
      </c>
      <c r="J91" s="15">
        <v>0</v>
      </c>
      <c r="K91" s="15">
        <v>0</v>
      </c>
      <c r="L91" s="15">
        <v>0</v>
      </c>
      <c r="M91" s="15">
        <v>0</v>
      </c>
      <c r="N91" s="15">
        <v>0</v>
      </c>
      <c r="O91" s="15">
        <f t="shared" si="9"/>
        <v>0</v>
      </c>
    </row>
    <row r="92" spans="1:18">
      <c r="B92" s="3" t="s">
        <v>119</v>
      </c>
      <c r="C92" s="67"/>
      <c r="D92" s="15"/>
      <c r="E92" s="15">
        <v>0</v>
      </c>
      <c r="F92" s="15">
        <v>0</v>
      </c>
      <c r="G92" s="15"/>
      <c r="H92" s="15"/>
      <c r="I92" s="15"/>
      <c r="J92" s="15"/>
      <c r="K92" s="15">
        <v>0</v>
      </c>
      <c r="L92" s="15">
        <v>0</v>
      </c>
      <c r="M92" s="15"/>
      <c r="N92" s="15"/>
      <c r="O92" s="15">
        <f t="shared" si="9"/>
        <v>0</v>
      </c>
    </row>
    <row r="93" spans="1:18">
      <c r="B93" s="3" t="s">
        <v>210</v>
      </c>
      <c r="C93" s="67">
        <v>0</v>
      </c>
      <c r="D93" s="15"/>
      <c r="E93" s="15"/>
      <c r="F93" s="15"/>
      <c r="G93" s="15"/>
      <c r="H93" s="15"/>
      <c r="I93" s="15"/>
      <c r="J93" s="15"/>
      <c r="K93" s="15"/>
      <c r="L93" s="15"/>
      <c r="M93" s="15"/>
      <c r="N93" s="15"/>
      <c r="O93" s="15">
        <f t="shared" si="9"/>
        <v>0</v>
      </c>
    </row>
    <row r="94" spans="1:18">
      <c r="B94" s="3" t="s">
        <v>215</v>
      </c>
      <c r="C94" s="67">
        <v>0</v>
      </c>
      <c r="D94" s="15">
        <v>0</v>
      </c>
      <c r="E94" s="15">
        <v>0</v>
      </c>
      <c r="F94" s="15">
        <v>0</v>
      </c>
      <c r="G94" s="15">
        <v>0</v>
      </c>
      <c r="H94" s="15">
        <v>0</v>
      </c>
      <c r="I94" s="15"/>
      <c r="J94" s="15"/>
      <c r="K94" s="15"/>
      <c r="L94" s="15"/>
      <c r="M94" s="15"/>
      <c r="N94" s="15"/>
      <c r="O94" s="15">
        <f t="shared" si="9"/>
        <v>0</v>
      </c>
    </row>
    <row r="95" spans="1:18">
      <c r="B95" s="3" t="s">
        <v>218</v>
      </c>
      <c r="C95" s="67">
        <v>0</v>
      </c>
      <c r="D95" s="15">
        <v>0</v>
      </c>
      <c r="E95" s="15">
        <v>0</v>
      </c>
      <c r="F95" s="15">
        <v>0</v>
      </c>
      <c r="G95" s="15">
        <v>0</v>
      </c>
      <c r="H95" s="15">
        <v>0</v>
      </c>
      <c r="I95" s="15"/>
      <c r="J95" s="15"/>
      <c r="K95" s="15"/>
      <c r="L95" s="15"/>
      <c r="M95" s="15"/>
      <c r="N95" s="15"/>
      <c r="O95" s="15">
        <f t="shared" si="9"/>
        <v>0</v>
      </c>
    </row>
    <row r="96" spans="1:18">
      <c r="B96" s="3" t="s">
        <v>120</v>
      </c>
    </row>
    <row r="97" spans="3:18">
      <c r="C97" s="66">
        <f t="shared" ref="C97:O97" si="10">SUM(C84:C95)</f>
        <v>216125436</v>
      </c>
      <c r="D97" s="66">
        <f t="shared" si="10"/>
        <v>199570616</v>
      </c>
      <c r="E97" s="66">
        <f t="shared" si="10"/>
        <v>144604088</v>
      </c>
      <c r="F97" s="66">
        <f t="shared" si="10"/>
        <v>114445102</v>
      </c>
      <c r="G97" s="66">
        <f t="shared" si="10"/>
        <v>100655025</v>
      </c>
      <c r="H97" s="66">
        <f t="shared" si="10"/>
        <v>97148666</v>
      </c>
      <c r="I97" s="66">
        <f t="shared" si="10"/>
        <v>116896726</v>
      </c>
      <c r="J97" s="66">
        <f t="shared" si="10"/>
        <v>124854447</v>
      </c>
      <c r="K97" s="66">
        <f t="shared" si="10"/>
        <v>104266104</v>
      </c>
      <c r="L97" s="66">
        <f t="shared" si="10"/>
        <v>95814789</v>
      </c>
      <c r="M97" s="66">
        <f t="shared" si="10"/>
        <v>126731495</v>
      </c>
      <c r="N97" s="66">
        <f t="shared" si="10"/>
        <v>188698478</v>
      </c>
      <c r="O97" s="66">
        <f t="shared" si="10"/>
        <v>1629810972</v>
      </c>
      <c r="R97" s="81">
        <f>SUM(R8:R96)</f>
        <v>4474033.4386200001</v>
      </c>
    </row>
    <row r="99" spans="3:18">
      <c r="O99" s="66">
        <f>O97+O81+O69+O54+O33</f>
        <v>4093241027</v>
      </c>
    </row>
  </sheetData>
  <phoneticPr fontId="23" type="noConversion"/>
  <pageMargins left="0.75" right="0.75" top="1" bottom="1" header="0.5" footer="0.5"/>
  <pageSetup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0"/>
  <dimension ref="A1:AE1051"/>
  <sheetViews>
    <sheetView workbookViewId="0"/>
  </sheetViews>
  <sheetFormatPr defaultColWidth="10.25" defaultRowHeight="15.75"/>
  <cols>
    <col min="1" max="1" width="21.625" style="3" customWidth="1"/>
    <col min="2" max="2" width="15.625" style="3" customWidth="1"/>
    <col min="3" max="3" width="16.625" style="3" customWidth="1"/>
    <col min="4" max="4" width="16.625" style="3" hidden="1" customWidth="1"/>
    <col min="5" max="5" width="14.875" style="3" customWidth="1"/>
    <col min="6" max="6" width="2.125" style="3" bestFit="1" customWidth="1"/>
    <col min="7" max="7" width="16.875" style="3" customWidth="1"/>
    <col min="8" max="8" width="16.875" style="3" hidden="1" customWidth="1"/>
    <col min="9" max="9" width="12.625" style="3" customWidth="1"/>
    <col min="10" max="10" width="2.125" style="3" bestFit="1" customWidth="1"/>
    <col min="11" max="11" width="17.875" style="3" customWidth="1"/>
    <col min="12" max="12" width="1.25" style="3" customWidth="1"/>
    <col min="13" max="13" width="16.375" style="3" hidden="1" customWidth="1"/>
    <col min="14" max="14" width="16.5" style="3" customWidth="1"/>
    <col min="15" max="15" width="17.75" style="66" bestFit="1" customWidth="1"/>
    <col min="16" max="16" width="12.75" style="66" customWidth="1"/>
    <col min="17" max="17" width="13" style="3" customWidth="1"/>
    <col min="18" max="20" width="14.75" style="3" customWidth="1"/>
    <col min="21" max="22" width="18" style="3" customWidth="1"/>
    <col min="23" max="23" width="10.25" style="3" customWidth="1"/>
    <col min="24" max="24" width="12.125" style="3" customWidth="1"/>
    <col min="25" max="16384" width="10.25" style="3"/>
  </cols>
  <sheetData>
    <row r="1" spans="1:31" ht="18">
      <c r="A1" s="130" t="s">
        <v>31</v>
      </c>
      <c r="B1" s="131"/>
      <c r="C1" s="131"/>
      <c r="D1" s="131"/>
      <c r="E1" s="132"/>
      <c r="F1" s="132"/>
      <c r="G1" s="131"/>
      <c r="H1" s="131"/>
      <c r="I1" s="132"/>
      <c r="J1" s="131"/>
      <c r="K1" s="131"/>
      <c r="M1" s="20"/>
      <c r="N1" s="20"/>
      <c r="O1" s="71"/>
      <c r="P1" s="71"/>
      <c r="Q1" s="20"/>
      <c r="R1" s="20"/>
      <c r="S1" s="20"/>
      <c r="T1" s="20"/>
      <c r="U1" s="20"/>
      <c r="V1" s="20"/>
      <c r="W1" s="20"/>
      <c r="X1" s="20"/>
      <c r="Y1" s="20"/>
      <c r="Z1" s="20"/>
      <c r="AA1" s="20"/>
      <c r="AB1" s="20"/>
      <c r="AC1" s="20"/>
    </row>
    <row r="2" spans="1:31" ht="18">
      <c r="A2" s="842" t="s">
        <v>566</v>
      </c>
      <c r="B2" s="842"/>
      <c r="C2" s="842"/>
      <c r="D2" s="842"/>
      <c r="E2" s="842"/>
      <c r="F2" s="842"/>
      <c r="G2" s="842"/>
      <c r="H2" s="131"/>
      <c r="I2" s="132"/>
      <c r="J2" s="131"/>
      <c r="K2" s="131"/>
      <c r="M2" s="20"/>
      <c r="N2" s="20"/>
      <c r="O2" s="71"/>
      <c r="P2" s="71"/>
      <c r="Q2" s="20"/>
      <c r="R2" s="20"/>
      <c r="S2" s="20"/>
      <c r="T2" s="20"/>
      <c r="U2" s="20"/>
      <c r="V2" s="20"/>
      <c r="W2" s="20"/>
      <c r="X2" s="20"/>
      <c r="Y2" s="20"/>
      <c r="Z2" s="20"/>
      <c r="AA2" s="20"/>
      <c r="AB2" s="20"/>
      <c r="AC2" s="20"/>
    </row>
    <row r="3" spans="1:31" ht="18">
      <c r="A3" s="842" t="s">
        <v>334</v>
      </c>
      <c r="B3" s="842"/>
      <c r="C3" s="842"/>
      <c r="D3" s="842"/>
      <c r="E3" s="842"/>
      <c r="F3" s="842"/>
      <c r="G3" s="842"/>
      <c r="H3" s="131"/>
      <c r="I3" s="132"/>
      <c r="J3" s="131"/>
      <c r="K3" s="131"/>
      <c r="M3" s="20"/>
      <c r="N3" s="20"/>
      <c r="O3" s="71"/>
      <c r="P3" s="71"/>
      <c r="Q3" s="20"/>
      <c r="R3" s="20"/>
      <c r="S3" s="20"/>
      <c r="T3" s="20"/>
      <c r="U3" s="20"/>
      <c r="V3" s="20"/>
      <c r="W3" s="20"/>
      <c r="X3" s="20"/>
      <c r="Y3" s="20"/>
      <c r="Z3" s="20"/>
      <c r="AA3" s="20"/>
      <c r="AB3" s="20"/>
      <c r="AC3" s="20"/>
    </row>
    <row r="4" spans="1:31">
      <c r="A4" s="843" t="s">
        <v>601</v>
      </c>
      <c r="B4" s="843"/>
      <c r="C4" s="843"/>
      <c r="D4" s="843"/>
      <c r="E4" s="843"/>
      <c r="F4" s="843"/>
      <c r="G4" s="843"/>
      <c r="H4" s="134"/>
      <c r="I4" s="135"/>
      <c r="J4" s="134"/>
      <c r="K4" s="134"/>
      <c r="M4" s="20"/>
      <c r="N4" s="20"/>
      <c r="O4" s="71"/>
      <c r="P4" s="71"/>
      <c r="Q4" s="20"/>
      <c r="R4" s="20"/>
      <c r="S4" s="20"/>
      <c r="T4" s="20"/>
      <c r="U4" s="20"/>
      <c r="V4" s="20"/>
      <c r="W4" s="20"/>
      <c r="X4" s="20"/>
      <c r="Y4" s="20"/>
      <c r="Z4" s="20"/>
      <c r="AA4" s="20"/>
      <c r="AB4" s="20"/>
      <c r="AC4" s="20"/>
    </row>
    <row r="5" spans="1:31">
      <c r="A5" s="844" t="s">
        <v>335</v>
      </c>
      <c r="B5" s="844"/>
      <c r="C5" s="844"/>
      <c r="D5" s="844"/>
      <c r="E5" s="844"/>
      <c r="F5" s="844"/>
      <c r="G5" s="844"/>
      <c r="H5" s="134"/>
      <c r="I5" s="135"/>
      <c r="J5" s="134"/>
      <c r="K5" s="134"/>
      <c r="M5" s="20"/>
      <c r="N5" s="20"/>
      <c r="O5" s="71"/>
      <c r="P5" s="71"/>
      <c r="Q5" s="20"/>
      <c r="R5" s="20"/>
      <c r="S5" s="20"/>
      <c r="T5" s="20"/>
      <c r="U5" s="20"/>
      <c r="V5" s="20"/>
      <c r="W5" s="20"/>
      <c r="X5" s="20"/>
      <c r="Y5" s="20"/>
      <c r="Z5" s="20"/>
      <c r="AA5" s="20"/>
      <c r="AB5" s="20"/>
      <c r="AC5" s="20"/>
    </row>
    <row r="6" spans="1:31">
      <c r="A6" s="136"/>
      <c r="B6" s="134"/>
      <c r="C6" s="134"/>
      <c r="D6" s="134"/>
      <c r="E6" s="135"/>
      <c r="F6" s="135"/>
      <c r="G6" s="134"/>
      <c r="H6" s="134"/>
      <c r="I6" s="135"/>
      <c r="J6" s="134"/>
      <c r="K6" s="134"/>
      <c r="M6" s="20"/>
      <c r="N6" s="20"/>
      <c r="O6" s="71"/>
      <c r="P6" s="71"/>
      <c r="Q6" s="20"/>
      <c r="R6" s="20"/>
      <c r="S6" s="20"/>
      <c r="T6" s="20"/>
      <c r="U6" s="20"/>
      <c r="V6" s="20"/>
      <c r="W6" s="20"/>
      <c r="X6" s="20"/>
      <c r="Y6" s="20"/>
      <c r="Z6" s="20"/>
      <c r="AA6" s="20"/>
      <c r="AB6" s="20"/>
      <c r="AC6" s="20"/>
    </row>
    <row r="7" spans="1:31">
      <c r="A7" s="136"/>
      <c r="B7" s="134"/>
      <c r="C7" s="134"/>
      <c r="D7" s="134"/>
      <c r="E7" s="135"/>
      <c r="F7" s="135"/>
      <c r="G7" s="134"/>
      <c r="H7" s="134"/>
      <c r="I7" s="135"/>
      <c r="J7" s="134"/>
      <c r="K7" s="134"/>
      <c r="M7" s="20"/>
      <c r="N7" s="20"/>
      <c r="O7" s="71"/>
      <c r="P7" s="71"/>
      <c r="Q7" s="20"/>
      <c r="R7" s="20"/>
      <c r="S7" s="20"/>
      <c r="T7" s="20"/>
      <c r="U7" s="20"/>
      <c r="V7" s="20"/>
      <c r="W7" s="20"/>
      <c r="X7" s="20"/>
      <c r="Y7" s="20"/>
      <c r="Z7" s="20"/>
      <c r="AA7" s="20"/>
      <c r="AB7" s="20"/>
      <c r="AC7" s="20"/>
    </row>
    <row r="8" spans="1:31">
      <c r="A8" s="134"/>
      <c r="B8" s="134"/>
      <c r="C8" s="134"/>
      <c r="D8" s="134"/>
      <c r="E8" s="135"/>
      <c r="F8" s="135"/>
      <c r="G8" s="134"/>
      <c r="H8" s="134"/>
      <c r="I8" s="135"/>
      <c r="J8" s="134"/>
      <c r="K8" s="134"/>
      <c r="M8" s="20"/>
      <c r="N8" s="20"/>
      <c r="O8" s="71"/>
      <c r="P8" s="71"/>
      <c r="Q8" s="20"/>
      <c r="R8" s="20"/>
      <c r="S8" s="20"/>
      <c r="T8" s="20"/>
      <c r="U8" s="20"/>
      <c r="V8" s="20"/>
      <c r="W8" s="20"/>
      <c r="X8" s="20"/>
      <c r="Y8" s="20"/>
      <c r="Z8" s="20"/>
      <c r="AA8" s="20"/>
      <c r="AB8" s="20"/>
      <c r="AC8" s="20"/>
    </row>
    <row r="9" spans="1:31">
      <c r="A9" s="137"/>
      <c r="B9" s="137"/>
      <c r="C9" s="138"/>
      <c r="D9" s="138"/>
      <c r="E9" s="139"/>
      <c r="F9" s="139"/>
      <c r="G9" s="140" t="s">
        <v>190</v>
      </c>
      <c r="H9" s="141"/>
      <c r="I9" s="139"/>
      <c r="J9" s="140"/>
      <c r="K9" s="140"/>
      <c r="M9" s="20"/>
      <c r="N9" s="20"/>
      <c r="O9" s="71"/>
      <c r="P9" s="71"/>
      <c r="Q9" s="20"/>
      <c r="R9" s="20"/>
      <c r="S9" s="20"/>
      <c r="T9" s="20"/>
      <c r="U9" s="20"/>
      <c r="V9" s="20"/>
      <c r="W9" s="20"/>
      <c r="X9" s="20"/>
      <c r="Y9" s="20"/>
      <c r="Z9" s="20"/>
      <c r="AA9" s="20"/>
      <c r="AB9" s="20"/>
      <c r="AC9" s="20"/>
    </row>
    <row r="10" spans="1:31">
      <c r="A10" s="137"/>
      <c r="B10" s="137"/>
      <c r="C10" s="138" t="s">
        <v>336</v>
      </c>
      <c r="D10" s="138"/>
      <c r="E10" s="140" t="s">
        <v>359</v>
      </c>
      <c r="F10" s="139"/>
      <c r="G10" s="142" t="s">
        <v>337</v>
      </c>
      <c r="H10" s="141" t="s">
        <v>246</v>
      </c>
      <c r="I10" s="140" t="s">
        <v>295</v>
      </c>
      <c r="J10" s="138"/>
      <c r="K10" s="140" t="s">
        <v>295</v>
      </c>
      <c r="M10" s="20"/>
      <c r="N10" s="20"/>
      <c r="O10" s="71"/>
      <c r="P10" s="71"/>
      <c r="Q10" s="20"/>
      <c r="R10" s="20"/>
      <c r="S10" s="20"/>
      <c r="T10" s="20"/>
      <c r="U10" s="20"/>
      <c r="V10" s="20"/>
      <c r="W10" s="20"/>
      <c r="X10" s="20"/>
      <c r="Y10" s="20"/>
      <c r="Z10" s="20"/>
      <c r="AA10" s="20"/>
      <c r="AB10" s="20"/>
      <c r="AC10" s="20"/>
    </row>
    <row r="11" spans="1:31">
      <c r="A11" s="137"/>
      <c r="B11" s="137"/>
      <c r="C11" s="143" t="s">
        <v>294</v>
      </c>
      <c r="D11" s="138" t="s">
        <v>336</v>
      </c>
      <c r="E11" s="144" t="s">
        <v>13</v>
      </c>
      <c r="F11" s="145"/>
      <c r="G11" s="144" t="s">
        <v>294</v>
      </c>
      <c r="H11" s="140" t="s">
        <v>337</v>
      </c>
      <c r="I11" s="144" t="s">
        <v>13</v>
      </c>
      <c r="J11" s="144"/>
      <c r="K11" s="144" t="s">
        <v>337</v>
      </c>
      <c r="M11" s="142"/>
      <c r="N11" s="20"/>
      <c r="O11" s="71"/>
      <c r="P11" s="71"/>
      <c r="Q11" s="20"/>
      <c r="R11" s="20"/>
      <c r="S11" s="20"/>
      <c r="T11" s="20"/>
      <c r="U11" s="20"/>
      <c r="V11" s="20"/>
      <c r="W11" s="20"/>
      <c r="X11" s="20"/>
      <c r="Y11" s="20"/>
      <c r="Z11" s="20"/>
      <c r="AA11" s="20"/>
      <c r="AB11" s="20"/>
      <c r="AC11" s="20"/>
    </row>
    <row r="12" spans="1:31">
      <c r="A12" s="146" t="s">
        <v>339</v>
      </c>
      <c r="G12" s="147"/>
      <c r="H12" s="147"/>
      <c r="M12" s="20"/>
      <c r="N12" s="20"/>
      <c r="O12" s="71"/>
      <c r="P12" s="71"/>
      <c r="Q12" s="20"/>
      <c r="R12" s="20"/>
      <c r="S12" s="20"/>
      <c r="T12" s="20"/>
      <c r="U12" s="20"/>
      <c r="V12" s="20"/>
      <c r="W12" s="20"/>
      <c r="X12" s="20"/>
      <c r="Y12" s="20"/>
      <c r="Z12" s="20"/>
      <c r="AA12" s="20"/>
      <c r="AB12" s="20"/>
      <c r="AC12" s="20"/>
    </row>
    <row r="13" spans="1:31">
      <c r="A13" s="3" t="s">
        <v>340</v>
      </c>
      <c r="G13" s="147"/>
      <c r="H13" s="147"/>
      <c r="M13" s="20"/>
      <c r="N13" s="20"/>
      <c r="O13" s="71"/>
      <c r="P13" s="71"/>
      <c r="Q13" s="20"/>
      <c r="R13" s="20"/>
      <c r="S13" s="20"/>
      <c r="T13" s="20"/>
      <c r="U13" s="20"/>
      <c r="V13" s="20"/>
      <c r="W13" s="20"/>
      <c r="X13" s="20"/>
      <c r="Y13" s="20"/>
      <c r="Z13" s="20"/>
      <c r="AA13" s="20"/>
      <c r="AB13" s="20"/>
      <c r="AC13" s="20"/>
    </row>
    <row r="14" spans="1:31">
      <c r="G14" s="147"/>
      <c r="H14" s="147"/>
      <c r="M14" s="20"/>
      <c r="N14" s="20"/>
      <c r="O14" s="71"/>
      <c r="P14" s="71"/>
      <c r="Q14" s="20"/>
      <c r="R14" s="20"/>
      <c r="S14" s="20"/>
      <c r="T14" s="20"/>
      <c r="U14" s="20"/>
      <c r="V14" s="20"/>
      <c r="W14" s="20"/>
      <c r="X14" s="20"/>
      <c r="Y14" s="20"/>
      <c r="Z14" s="20"/>
      <c r="AA14" s="20"/>
      <c r="AB14" s="20"/>
      <c r="AC14" s="20"/>
    </row>
    <row r="15" spans="1:31">
      <c r="A15" s="3" t="s">
        <v>341</v>
      </c>
      <c r="G15" s="147"/>
      <c r="H15" s="147"/>
      <c r="M15" s="20"/>
      <c r="N15" s="20"/>
      <c r="O15" s="71"/>
      <c r="P15" s="71"/>
      <c r="Q15" s="20"/>
      <c r="R15" s="20"/>
      <c r="S15" s="20"/>
      <c r="T15" s="20"/>
      <c r="U15" s="20"/>
      <c r="V15" s="20"/>
      <c r="W15" s="20"/>
      <c r="X15" s="20"/>
      <c r="Y15" s="20"/>
      <c r="Z15" s="20"/>
      <c r="AA15" s="20"/>
      <c r="AB15" s="20"/>
      <c r="AC15" s="20"/>
    </row>
    <row r="16" spans="1:31">
      <c r="A16" s="3" t="s">
        <v>342</v>
      </c>
      <c r="C16" s="148">
        <f t="shared" ref="C16:D18" si="0">C33+C50+C67</f>
        <v>29903</v>
      </c>
      <c r="D16" s="148">
        <f t="shared" si="0"/>
        <v>31243</v>
      </c>
      <c r="E16" s="149">
        <v>9.6</v>
      </c>
      <c r="G16" s="2">
        <f t="shared" ref="G16:H18" si="1">G33+G50+G67</f>
        <v>287069</v>
      </c>
      <c r="H16" s="2">
        <f t="shared" si="1"/>
        <v>299933</v>
      </c>
      <c r="I16" s="149" t="e">
        <f>E16+E16*$P$27</f>
        <v>#REF!</v>
      </c>
      <c r="K16" s="2" t="e">
        <f>K33+K50+K67</f>
        <v>#REF!</v>
      </c>
      <c r="M16" s="81" t="e">
        <f>I16*D16</f>
        <v>#REF!</v>
      </c>
      <c r="O16" s="102"/>
      <c r="P16" s="150"/>
      <c r="Q16" s="150"/>
      <c r="R16" s="151"/>
      <c r="S16" s="20"/>
      <c r="T16" s="20"/>
      <c r="U16" s="20"/>
      <c r="V16" s="20"/>
      <c r="W16" s="20"/>
      <c r="X16" s="20"/>
      <c r="Y16" s="20"/>
      <c r="Z16" s="20"/>
      <c r="AA16" s="20"/>
      <c r="AB16" s="20"/>
      <c r="AC16" s="20"/>
      <c r="AE16" s="81"/>
    </row>
    <row r="17" spans="1:31">
      <c r="A17" s="3" t="s">
        <v>343</v>
      </c>
      <c r="C17" s="148">
        <f t="shared" si="0"/>
        <v>4807</v>
      </c>
      <c r="D17" s="148">
        <f t="shared" si="0"/>
        <v>5092</v>
      </c>
      <c r="E17" s="149">
        <v>18.28</v>
      </c>
      <c r="G17" s="2">
        <f t="shared" si="1"/>
        <v>87872</v>
      </c>
      <c r="H17" s="2">
        <f t="shared" si="1"/>
        <v>93082</v>
      </c>
      <c r="I17" s="149" t="e">
        <f>E17+E17*$P$27</f>
        <v>#REF!</v>
      </c>
      <c r="K17" s="2" t="e">
        <f>K34+K51+K68</f>
        <v>#REF!</v>
      </c>
      <c r="M17" s="81" t="e">
        <f>I17*D17</f>
        <v>#REF!</v>
      </c>
      <c r="O17" s="102"/>
      <c r="P17" s="150"/>
      <c r="Q17" s="150"/>
      <c r="R17" s="151"/>
      <c r="S17" s="20"/>
      <c r="T17" s="20"/>
      <c r="U17" s="20"/>
      <c r="V17" s="20"/>
      <c r="W17" s="20"/>
      <c r="X17" s="20"/>
      <c r="Y17" s="20"/>
      <c r="Z17" s="20"/>
      <c r="AA17" s="20"/>
      <c r="AB17" s="20"/>
      <c r="AC17" s="20"/>
      <c r="AE17" s="81"/>
    </row>
    <row r="18" spans="1:31">
      <c r="A18" s="3" t="s">
        <v>344</v>
      </c>
      <c r="C18" s="148">
        <f t="shared" si="0"/>
        <v>659</v>
      </c>
      <c r="D18" s="148">
        <f t="shared" si="0"/>
        <v>700</v>
      </c>
      <c r="E18" s="149">
        <v>37.82</v>
      </c>
      <c r="G18" s="2">
        <f t="shared" si="1"/>
        <v>24923</v>
      </c>
      <c r="H18" s="2">
        <f t="shared" si="1"/>
        <v>26474</v>
      </c>
      <c r="I18" s="149" t="e">
        <f>E18+E18*$P$27</f>
        <v>#REF!</v>
      </c>
      <c r="K18" s="2" t="e">
        <f>K35+K52+K69</f>
        <v>#REF!</v>
      </c>
      <c r="M18" s="81" t="e">
        <f>I18*D18</f>
        <v>#REF!</v>
      </c>
      <c r="O18" s="102"/>
      <c r="P18" s="150"/>
      <c r="Q18" s="150"/>
      <c r="R18" s="151"/>
      <c r="S18" s="20"/>
      <c r="T18" s="20"/>
      <c r="U18" s="20"/>
      <c r="V18" s="20"/>
      <c r="W18" s="20"/>
      <c r="X18" s="20"/>
      <c r="Y18" s="20"/>
      <c r="Z18" s="20"/>
      <c r="AA18" s="20"/>
      <c r="AB18" s="20"/>
      <c r="AC18" s="20"/>
      <c r="AE18" s="81"/>
    </row>
    <row r="19" spans="1:31">
      <c r="A19" s="3" t="s">
        <v>345</v>
      </c>
      <c r="C19" s="148"/>
      <c r="D19" s="148"/>
      <c r="E19" s="149"/>
      <c r="G19" s="2"/>
      <c r="H19" s="2"/>
      <c r="I19" s="424"/>
      <c r="K19" s="2"/>
      <c r="M19" s="81"/>
      <c r="O19" s="3"/>
      <c r="P19" s="150"/>
      <c r="Q19" s="150"/>
      <c r="R19" s="152"/>
      <c r="S19" s="20"/>
      <c r="T19" s="20"/>
      <c r="U19" s="20"/>
      <c r="V19" s="20"/>
      <c r="W19" s="20"/>
      <c r="X19" s="20"/>
      <c r="Y19" s="20"/>
      <c r="Z19" s="20"/>
      <c r="AA19" s="20"/>
      <c r="AB19" s="20"/>
      <c r="AC19" s="20"/>
      <c r="AE19" s="81"/>
    </row>
    <row r="20" spans="1:31">
      <c r="A20" s="3" t="s">
        <v>346</v>
      </c>
      <c r="C20" s="148">
        <f t="shared" ref="C20:D25" si="2">C37+C54+C71</f>
        <v>2083</v>
      </c>
      <c r="D20" s="148">
        <f t="shared" si="2"/>
        <v>2178</v>
      </c>
      <c r="E20" s="149">
        <v>10.92</v>
      </c>
      <c r="G20" s="2">
        <f t="shared" ref="G20:H23" si="3">G37+G54+G71</f>
        <v>22746</v>
      </c>
      <c r="H20" s="2">
        <f t="shared" si="3"/>
        <v>23783</v>
      </c>
      <c r="I20" s="149" t="e">
        <f>E20+E20*$P$27</f>
        <v>#REF!</v>
      </c>
      <c r="K20" s="2" t="e">
        <f>K37+K54+K71</f>
        <v>#REF!</v>
      </c>
      <c r="M20" s="81" t="e">
        <f>I20*D20</f>
        <v>#REF!</v>
      </c>
      <c r="O20" s="102"/>
      <c r="P20" s="150"/>
      <c r="Q20" s="150"/>
      <c r="R20" s="151"/>
      <c r="S20" s="20"/>
      <c r="T20" s="20"/>
      <c r="U20" s="20"/>
      <c r="V20" s="20"/>
      <c r="W20" s="20"/>
      <c r="X20" s="20"/>
      <c r="Y20" s="20"/>
      <c r="Z20" s="20"/>
      <c r="AA20" s="20"/>
      <c r="AB20" s="20"/>
      <c r="AC20" s="20"/>
      <c r="AE20" s="81"/>
    </row>
    <row r="21" spans="1:31">
      <c r="A21" s="3" t="s">
        <v>347</v>
      </c>
      <c r="C21" s="148">
        <f t="shared" si="2"/>
        <v>1818</v>
      </c>
      <c r="D21" s="148">
        <f t="shared" si="2"/>
        <v>1921</v>
      </c>
      <c r="E21" s="149">
        <v>16.04</v>
      </c>
      <c r="G21" s="2">
        <f t="shared" si="3"/>
        <v>29160</v>
      </c>
      <c r="H21" s="2">
        <f t="shared" si="3"/>
        <v>30813</v>
      </c>
      <c r="I21" s="149" t="e">
        <f>E21+E21*$P$27</f>
        <v>#REF!</v>
      </c>
      <c r="K21" s="2" t="e">
        <f>K38+K55+K72</f>
        <v>#REF!</v>
      </c>
      <c r="M21" s="81" t="e">
        <f>I21*D21</f>
        <v>#REF!</v>
      </c>
      <c r="O21" s="102"/>
      <c r="P21" s="150"/>
      <c r="Q21" s="150"/>
      <c r="R21" s="151"/>
      <c r="S21" s="20"/>
      <c r="T21" s="20"/>
      <c r="U21" s="20"/>
      <c r="V21" s="20"/>
      <c r="W21" s="20"/>
      <c r="X21" s="20"/>
      <c r="Y21" s="20"/>
      <c r="Z21" s="20"/>
      <c r="AA21" s="20"/>
      <c r="AB21" s="20"/>
      <c r="AC21" s="20"/>
      <c r="AE21" s="81"/>
    </row>
    <row r="22" spans="1:31">
      <c r="A22" s="3" t="s">
        <v>348</v>
      </c>
      <c r="C22" s="148">
        <f t="shared" si="2"/>
        <v>480</v>
      </c>
      <c r="D22" s="148">
        <f t="shared" si="2"/>
        <v>509</v>
      </c>
      <c r="E22" s="149">
        <v>25.88</v>
      </c>
      <c r="G22" s="2">
        <f t="shared" si="3"/>
        <v>12423</v>
      </c>
      <c r="H22" s="2">
        <f t="shared" si="3"/>
        <v>13173</v>
      </c>
      <c r="I22" s="149" t="e">
        <f>E22+E22*$P$27</f>
        <v>#REF!</v>
      </c>
      <c r="K22" s="2" t="e">
        <f>K39+K56+K73</f>
        <v>#REF!</v>
      </c>
      <c r="M22" s="81" t="e">
        <f>I22*D22</f>
        <v>#REF!</v>
      </c>
      <c r="O22" s="102"/>
      <c r="P22" s="150"/>
      <c r="Q22" s="150"/>
      <c r="R22" s="151"/>
      <c r="S22" s="20"/>
      <c r="T22" s="20"/>
      <c r="U22" s="20"/>
      <c r="V22" s="20"/>
      <c r="W22" s="20"/>
      <c r="X22" s="20"/>
      <c r="Y22" s="20"/>
      <c r="Z22" s="20"/>
      <c r="AA22" s="20"/>
      <c r="AB22" s="20"/>
      <c r="AC22" s="20"/>
      <c r="AE22" s="81"/>
    </row>
    <row r="23" spans="1:31">
      <c r="A23" s="3" t="s">
        <v>349</v>
      </c>
      <c r="C23" s="148">
        <f t="shared" si="2"/>
        <v>623</v>
      </c>
      <c r="D23" s="148">
        <f t="shared" si="2"/>
        <v>658</v>
      </c>
      <c r="E23" s="153">
        <v>1</v>
      </c>
      <c r="F23" s="20"/>
      <c r="G23" s="2">
        <f t="shared" si="3"/>
        <v>623</v>
      </c>
      <c r="H23" s="2">
        <f t="shared" si="3"/>
        <v>658</v>
      </c>
      <c r="I23" s="149">
        <f>'Blocking - detail'!I23</f>
        <v>1</v>
      </c>
      <c r="J23" s="20"/>
      <c r="K23" s="2">
        <f>K40+K57+K74</f>
        <v>623</v>
      </c>
      <c r="M23" s="81">
        <f>I23*D23</f>
        <v>658</v>
      </c>
      <c r="O23" s="102"/>
      <c r="P23" s="3"/>
      <c r="Q23" s="150"/>
      <c r="S23" s="20"/>
      <c r="T23" s="20"/>
      <c r="U23" s="20"/>
      <c r="V23" s="20"/>
      <c r="W23" s="20"/>
      <c r="X23" s="20"/>
      <c r="Y23" s="20"/>
      <c r="Z23" s="20"/>
      <c r="AA23" s="20"/>
      <c r="AB23" s="20"/>
      <c r="AC23" s="20"/>
      <c r="AE23" s="81"/>
    </row>
    <row r="24" spans="1:31">
      <c r="A24" s="3" t="s">
        <v>350</v>
      </c>
      <c r="C24" s="148">
        <f t="shared" si="2"/>
        <v>33244</v>
      </c>
      <c r="D24" s="148">
        <f t="shared" si="2"/>
        <v>2797.0833333333335</v>
      </c>
      <c r="E24" s="149"/>
      <c r="G24" s="2"/>
      <c r="H24" s="2"/>
      <c r="I24" s="149"/>
      <c r="K24" s="2"/>
      <c r="M24" s="81"/>
      <c r="O24" s="81"/>
      <c r="P24" s="3"/>
      <c r="S24" s="20"/>
      <c r="T24" s="20"/>
      <c r="U24" s="20"/>
      <c r="V24" s="20"/>
      <c r="W24" s="20"/>
      <c r="X24" s="20"/>
      <c r="Y24" s="20"/>
      <c r="Z24" s="20"/>
      <c r="AA24" s="20"/>
      <c r="AB24" s="20"/>
      <c r="AC24" s="20"/>
      <c r="AE24" s="81"/>
    </row>
    <row r="25" spans="1:31">
      <c r="A25" s="3" t="s">
        <v>35</v>
      </c>
      <c r="C25" s="148">
        <f t="shared" si="2"/>
        <v>3613896</v>
      </c>
      <c r="D25" s="148">
        <f t="shared" si="2"/>
        <v>3794904.7279999279</v>
      </c>
      <c r="E25" s="153"/>
      <c r="F25" s="20"/>
      <c r="G25" s="2">
        <f>G42+G59+G76</f>
        <v>464816</v>
      </c>
      <c r="H25" s="2">
        <f>H42+H59+H76</f>
        <v>487916</v>
      </c>
      <c r="I25" s="153"/>
      <c r="J25" s="20"/>
      <c r="K25" s="154" t="e">
        <f>K42+K59+K76</f>
        <v>#REF!</v>
      </c>
      <c r="M25" s="81" t="e">
        <f>SUM(M16:M24)</f>
        <v>#REF!</v>
      </c>
      <c r="O25" s="155"/>
      <c r="P25" s="3"/>
      <c r="S25" s="20"/>
      <c r="T25" s="20"/>
      <c r="U25" s="20"/>
      <c r="V25" s="20"/>
      <c r="W25" s="20"/>
      <c r="X25" s="20"/>
      <c r="Y25" s="20"/>
      <c r="Z25" s="20"/>
      <c r="AA25" s="20"/>
      <c r="AB25" s="20"/>
      <c r="AC25" s="20"/>
      <c r="AE25" s="81"/>
    </row>
    <row r="26" spans="1:31">
      <c r="A26" s="3" t="s">
        <v>351</v>
      </c>
      <c r="C26" s="148" t="e">
        <f>C43+C60+C77</f>
        <v>#REF!</v>
      </c>
      <c r="D26" s="148">
        <v>0</v>
      </c>
      <c r="E26" s="153"/>
      <c r="F26" s="20"/>
      <c r="G26" s="156" t="e">
        <f>G43+G60+G77</f>
        <v>#REF!</v>
      </c>
      <c r="H26" s="156">
        <v>0</v>
      </c>
      <c r="I26" s="153"/>
      <c r="J26" s="20"/>
      <c r="K26" s="156" t="e">
        <f>G26</f>
        <v>#REF!</v>
      </c>
      <c r="S26" s="20"/>
      <c r="T26" s="20"/>
      <c r="U26" s="20"/>
      <c r="V26" s="20"/>
      <c r="W26" s="20"/>
      <c r="X26" s="20"/>
      <c r="Y26" s="20"/>
      <c r="Z26" s="20"/>
      <c r="AA26" s="20"/>
      <c r="AB26" s="20"/>
      <c r="AC26" s="20"/>
      <c r="AE26" s="81"/>
    </row>
    <row r="27" spans="1:31" ht="16.5" thickBot="1">
      <c r="A27" s="3" t="s">
        <v>9</v>
      </c>
      <c r="C27" s="157" t="e">
        <f>C25+C26</f>
        <v>#REF!</v>
      </c>
      <c r="D27" s="157">
        <f>D25+D26</f>
        <v>3794904.7279999279</v>
      </c>
      <c r="E27" s="158"/>
      <c r="F27" s="158"/>
      <c r="G27" s="158" t="e">
        <f>G25+G26</f>
        <v>#REF!</v>
      </c>
      <c r="H27" s="158">
        <f>H25+H26</f>
        <v>487916</v>
      </c>
      <c r="I27" s="158"/>
      <c r="J27" s="158"/>
      <c r="K27" s="158" t="e">
        <f>K25+K26</f>
        <v>#REF!</v>
      </c>
      <c r="N27" s="3" t="s">
        <v>352</v>
      </c>
      <c r="O27" s="66" t="e">
        <f>#REF!*1000</f>
        <v>#REF!</v>
      </c>
      <c r="P27" s="14" t="e">
        <f>(O27-G27)/G27</f>
        <v>#REF!</v>
      </c>
      <c r="Q27" s="14"/>
      <c r="S27" s="20"/>
      <c r="T27" s="20"/>
      <c r="U27" s="20"/>
      <c r="V27" s="20"/>
      <c r="W27" s="20"/>
      <c r="X27" s="20"/>
      <c r="Y27" s="20"/>
      <c r="Z27" s="20"/>
      <c r="AA27" s="20"/>
      <c r="AB27" s="20"/>
      <c r="AC27" s="20"/>
      <c r="AE27" s="81"/>
    </row>
    <row r="28" spans="1:31" ht="16.5" thickTop="1">
      <c r="C28" s="159"/>
      <c r="D28" s="159"/>
      <c r="E28" s="159"/>
      <c r="F28" s="159"/>
      <c r="G28" s="147"/>
      <c r="H28" s="147"/>
      <c r="I28" s="1" t="s">
        <v>31</v>
      </c>
      <c r="J28" s="159"/>
      <c r="K28" s="2" t="s">
        <v>31</v>
      </c>
      <c r="N28" s="3" t="s">
        <v>256</v>
      </c>
      <c r="O28" s="66" t="e">
        <f>O27-K27</f>
        <v>#REF!</v>
      </c>
      <c r="P28" s="14" t="e">
        <f>(O27-K27)/K27</f>
        <v>#REF!</v>
      </c>
      <c r="Q28" s="14"/>
      <c r="S28" s="20"/>
      <c r="T28" s="20"/>
      <c r="U28" s="20"/>
      <c r="V28" s="20"/>
      <c r="W28" s="20"/>
      <c r="X28" s="20"/>
      <c r="Y28" s="20"/>
      <c r="Z28" s="20"/>
      <c r="AA28" s="20"/>
      <c r="AB28" s="20"/>
      <c r="AC28" s="20"/>
      <c r="AE28" s="81"/>
    </row>
    <row r="29" spans="1:31">
      <c r="A29" s="146" t="s">
        <v>339</v>
      </c>
      <c r="G29" s="147"/>
      <c r="H29" s="147"/>
      <c r="O29" s="160" t="s">
        <v>31</v>
      </c>
      <c r="P29" s="3"/>
      <c r="S29" s="20"/>
      <c r="T29" s="20"/>
      <c r="U29" s="20"/>
      <c r="V29" s="20"/>
      <c r="W29" s="20"/>
      <c r="X29" s="20"/>
      <c r="Y29" s="20"/>
      <c r="Z29" s="20"/>
      <c r="AA29" s="20"/>
      <c r="AB29" s="20"/>
      <c r="AC29" s="20"/>
      <c r="AE29" s="81"/>
    </row>
    <row r="30" spans="1:31">
      <c r="A30" s="3" t="s">
        <v>353</v>
      </c>
      <c r="G30" s="147"/>
      <c r="H30" s="147"/>
      <c r="M30" s="162"/>
      <c r="N30" s="162"/>
      <c r="O30" s="162"/>
      <c r="P30" s="162"/>
      <c r="Q30" s="162"/>
      <c r="R30" s="162"/>
      <c r="S30" s="162"/>
      <c r="T30" s="162"/>
      <c r="U30" s="162"/>
      <c r="V30" s="162"/>
      <c r="W30" s="162"/>
      <c r="X30" s="162"/>
      <c r="Y30" s="20"/>
      <c r="Z30" s="20"/>
      <c r="AA30" s="20"/>
      <c r="AB30" s="20"/>
      <c r="AC30" s="20"/>
      <c r="AE30" s="81"/>
    </row>
    <row r="31" spans="1:31">
      <c r="E31" s="148"/>
      <c r="G31" s="147"/>
      <c r="H31" s="147"/>
      <c r="M31" s="162"/>
      <c r="N31" s="162"/>
      <c r="O31" s="162"/>
      <c r="P31" s="162"/>
      <c r="Q31" s="162"/>
      <c r="R31" s="162"/>
      <c r="S31" s="162"/>
      <c r="T31" s="162"/>
      <c r="U31" s="162"/>
      <c r="V31" s="162"/>
      <c r="W31" s="162"/>
      <c r="X31" s="162"/>
      <c r="Y31" s="20"/>
      <c r="Z31" s="20"/>
      <c r="AA31" s="20"/>
      <c r="AB31" s="20"/>
      <c r="AC31" s="20"/>
      <c r="AE31" s="81"/>
    </row>
    <row r="32" spans="1:31">
      <c r="A32" s="3" t="s">
        <v>341</v>
      </c>
      <c r="G32" s="147"/>
      <c r="H32" s="147"/>
      <c r="M32" s="162"/>
      <c r="N32" s="162"/>
      <c r="O32" s="162"/>
      <c r="P32" s="71"/>
      <c r="Q32" s="163"/>
      <c r="R32" s="164"/>
      <c r="S32" s="165"/>
      <c r="T32" s="166"/>
      <c r="U32" s="162"/>
      <c r="V32" s="162"/>
      <c r="W32" s="162"/>
      <c r="X32" s="162"/>
      <c r="Y32" s="20"/>
      <c r="Z32" s="20"/>
      <c r="AA32" s="20"/>
      <c r="AB32" s="20"/>
      <c r="AC32" s="20"/>
      <c r="AE32" s="81"/>
    </row>
    <row r="33" spans="1:31">
      <c r="A33" s="3" t="s">
        <v>342</v>
      </c>
      <c r="C33" s="148">
        <f>13866+112</f>
        <v>13978</v>
      </c>
      <c r="D33" s="148">
        <f>ROUND(C33*($D$42/$C$42),0)</f>
        <v>14355</v>
      </c>
      <c r="E33" s="149">
        <f>$E$16</f>
        <v>9.6</v>
      </c>
      <c r="G33" s="2">
        <f>ROUND(E33*$C33,0)</f>
        <v>134189</v>
      </c>
      <c r="H33" s="2">
        <f>ROUND(E33*$D33,0)</f>
        <v>137808</v>
      </c>
      <c r="I33" s="149" t="e">
        <f>$I$16</f>
        <v>#REF!</v>
      </c>
      <c r="K33" s="2" t="e">
        <f>ROUND(I33*$C33,0)</f>
        <v>#REF!</v>
      </c>
      <c r="M33" s="20"/>
      <c r="N33" s="20"/>
      <c r="O33" s="165"/>
      <c r="P33" s="71"/>
      <c r="Q33" s="162"/>
      <c r="R33" s="167"/>
      <c r="S33" s="168"/>
      <c r="T33" s="162"/>
      <c r="U33" s="165"/>
      <c r="V33" s="165"/>
      <c r="W33" s="169"/>
      <c r="X33" s="165"/>
      <c r="Y33" s="20"/>
      <c r="Z33" s="20"/>
      <c r="AA33" s="20"/>
      <c r="AB33" s="20"/>
      <c r="AC33" s="20"/>
      <c r="AE33" s="81"/>
    </row>
    <row r="34" spans="1:31">
      <c r="A34" s="3" t="s">
        <v>343</v>
      </c>
      <c r="C34" s="148">
        <f>264+13</f>
        <v>277</v>
      </c>
      <c r="D34" s="148">
        <f>ROUND(C34*($D$42/$C$42),0)</f>
        <v>284</v>
      </c>
      <c r="E34" s="149">
        <f>$E$17</f>
        <v>18.28</v>
      </c>
      <c r="G34" s="2">
        <f>ROUND(E34*$C34,0)</f>
        <v>5064</v>
      </c>
      <c r="H34" s="2">
        <f>ROUND(E34*$D34,0)</f>
        <v>5192</v>
      </c>
      <c r="I34" s="149" t="e">
        <f>$I$17</f>
        <v>#REF!</v>
      </c>
      <c r="K34" s="2" t="e">
        <f>ROUND(I34*$C34,0)</f>
        <v>#REF!</v>
      </c>
      <c r="M34" s="20"/>
      <c r="N34" s="20"/>
      <c r="O34" s="165"/>
      <c r="P34" s="71"/>
      <c r="Q34" s="20"/>
      <c r="R34" s="171"/>
      <c r="S34" s="162"/>
      <c r="T34" s="162"/>
      <c r="U34" s="165"/>
      <c r="V34" s="165"/>
      <c r="W34" s="169"/>
      <c r="X34" s="165"/>
      <c r="Y34" s="20"/>
      <c r="Z34" s="20"/>
      <c r="AA34" s="20"/>
      <c r="AB34" s="20"/>
      <c r="AC34" s="20"/>
      <c r="AE34" s="81"/>
    </row>
    <row r="35" spans="1:31">
      <c r="A35" s="3" t="s">
        <v>344</v>
      </c>
      <c r="C35" s="148">
        <v>0</v>
      </c>
      <c r="D35" s="148">
        <f>ROUND(C35*($D$42/$C$42),0)</f>
        <v>0</v>
      </c>
      <c r="E35" s="149">
        <f>$E$18</f>
        <v>37.82</v>
      </c>
      <c r="G35" s="2">
        <f>ROUND(E35*$C35,0)</f>
        <v>0</v>
      </c>
      <c r="H35" s="2">
        <f>ROUND(E35*$D35,0)</f>
        <v>0</v>
      </c>
      <c r="I35" s="149" t="e">
        <f>$I$18</f>
        <v>#REF!</v>
      </c>
      <c r="K35" s="2" t="e">
        <f>ROUND(I35*$C35,0)</f>
        <v>#REF!</v>
      </c>
      <c r="M35" s="20"/>
      <c r="N35" s="20"/>
      <c r="O35" s="165"/>
      <c r="P35" s="71"/>
      <c r="Q35" s="20"/>
      <c r="R35" s="171"/>
      <c r="S35" s="162"/>
      <c r="T35" s="162"/>
      <c r="U35" s="165"/>
      <c r="V35" s="165"/>
      <c r="W35" s="169"/>
      <c r="X35" s="165"/>
      <c r="Y35" s="20"/>
      <c r="Z35" s="20"/>
      <c r="AA35" s="20"/>
      <c r="AB35" s="20"/>
      <c r="AC35" s="20"/>
      <c r="AE35" s="81"/>
    </row>
    <row r="36" spans="1:31">
      <c r="A36" s="3" t="s">
        <v>345</v>
      </c>
      <c r="C36" s="148"/>
      <c r="D36" s="148"/>
      <c r="E36" s="149"/>
      <c r="G36" s="2"/>
      <c r="H36" s="2"/>
      <c r="I36" s="149"/>
      <c r="K36" s="2"/>
      <c r="M36" s="20"/>
      <c r="N36" s="20"/>
      <c r="O36" s="165"/>
      <c r="P36" s="71"/>
      <c r="Q36" s="20"/>
      <c r="R36" s="171"/>
      <c r="S36" s="162"/>
      <c r="T36" s="162"/>
      <c r="U36" s="165"/>
      <c r="V36" s="165"/>
      <c r="W36" s="169"/>
      <c r="X36" s="165"/>
      <c r="Y36" s="20"/>
      <c r="Z36" s="20"/>
      <c r="AA36" s="20"/>
      <c r="AB36" s="20"/>
      <c r="AC36" s="20"/>
      <c r="AE36" s="81"/>
    </row>
    <row r="37" spans="1:31">
      <c r="A37" s="3" t="s">
        <v>346</v>
      </c>
      <c r="C37" s="148">
        <f>921</f>
        <v>921</v>
      </c>
      <c r="D37" s="148">
        <f>ROUND(C37*($D$42/$C$42),0)</f>
        <v>946</v>
      </c>
      <c r="E37" s="149">
        <f>$E$20</f>
        <v>10.92</v>
      </c>
      <c r="G37" s="2">
        <f>ROUND(E37*$C37,0)</f>
        <v>10057</v>
      </c>
      <c r="H37" s="2">
        <f>ROUND(E37*$D37,0)</f>
        <v>10330</v>
      </c>
      <c r="I37" s="149" t="e">
        <f>$I$20</f>
        <v>#REF!</v>
      </c>
      <c r="K37" s="2" t="e">
        <f>ROUND(I37*$C37,0)</f>
        <v>#REF!</v>
      </c>
      <c r="M37" s="20"/>
      <c r="N37" s="20"/>
      <c r="O37" s="165"/>
      <c r="P37" s="71"/>
      <c r="Q37" s="20"/>
      <c r="R37" s="171"/>
      <c r="S37" s="162"/>
      <c r="T37" s="162"/>
      <c r="U37" s="165"/>
      <c r="V37" s="165"/>
      <c r="W37" s="169"/>
      <c r="X37" s="165"/>
      <c r="Y37" s="20"/>
      <c r="Z37" s="20"/>
      <c r="AA37" s="20"/>
      <c r="AB37" s="20"/>
      <c r="AC37" s="20"/>
      <c r="AE37" s="81"/>
    </row>
    <row r="38" spans="1:31">
      <c r="A38" s="3" t="s">
        <v>347</v>
      </c>
      <c r="C38" s="148">
        <f>228</f>
        <v>228</v>
      </c>
      <c r="D38" s="148">
        <f>ROUND(C38*($D$42/$C$42),0)</f>
        <v>234</v>
      </c>
      <c r="E38" s="149">
        <f>$E$21</f>
        <v>16.04</v>
      </c>
      <c r="G38" s="2">
        <f>ROUND(E38*$C38,0)</f>
        <v>3657</v>
      </c>
      <c r="H38" s="2">
        <f>ROUND(E38*$D38,0)</f>
        <v>3753</v>
      </c>
      <c r="I38" s="149" t="e">
        <f>$I$21</f>
        <v>#REF!</v>
      </c>
      <c r="K38" s="2" t="e">
        <f>ROUND(I38*$C38,0)</f>
        <v>#REF!</v>
      </c>
      <c r="M38" s="20"/>
      <c r="N38" s="20"/>
      <c r="O38" s="165"/>
      <c r="P38" s="71"/>
      <c r="Q38" s="20"/>
      <c r="R38" s="171"/>
      <c r="S38" s="162"/>
      <c r="T38" s="162"/>
      <c r="U38" s="165"/>
      <c r="V38" s="165"/>
      <c r="W38" s="169"/>
      <c r="X38" s="165"/>
      <c r="Y38" s="20"/>
      <c r="Z38" s="20"/>
      <c r="AA38" s="20"/>
      <c r="AB38" s="20"/>
      <c r="AC38" s="20"/>
      <c r="AE38" s="81"/>
    </row>
    <row r="39" spans="1:31">
      <c r="A39" s="3" t="s">
        <v>348</v>
      </c>
      <c r="C39" s="148">
        <f>12</f>
        <v>12</v>
      </c>
      <c r="D39" s="148">
        <f>ROUND(C39*($D$42/$C$42),0)</f>
        <v>12</v>
      </c>
      <c r="E39" s="149">
        <f>$E$22</f>
        <v>25.88</v>
      </c>
      <c r="G39" s="2">
        <f>ROUND(E39*$C39,0)</f>
        <v>311</v>
      </c>
      <c r="H39" s="2">
        <f>ROUND(E39*$D39,0)</f>
        <v>311</v>
      </c>
      <c r="I39" s="149" t="e">
        <f>$I$22</f>
        <v>#REF!</v>
      </c>
      <c r="K39" s="2" t="e">
        <f>ROUND(I39*$C39,0)</f>
        <v>#REF!</v>
      </c>
      <c r="M39" s="20"/>
      <c r="N39" s="20"/>
      <c r="O39" s="165"/>
      <c r="P39" s="71"/>
      <c r="Q39" s="20"/>
      <c r="R39" s="171"/>
      <c r="S39" s="162"/>
      <c r="T39" s="162"/>
      <c r="U39" s="165"/>
      <c r="V39" s="165"/>
      <c r="W39" s="169"/>
      <c r="X39" s="165"/>
      <c r="Y39" s="20"/>
      <c r="Z39" s="20"/>
      <c r="AA39" s="20"/>
      <c r="AB39" s="20"/>
      <c r="AC39" s="20"/>
      <c r="AE39" s="81"/>
    </row>
    <row r="40" spans="1:31">
      <c r="A40" s="3" t="s">
        <v>349</v>
      </c>
      <c r="C40" s="148">
        <f>112+13</f>
        <v>125</v>
      </c>
      <c r="D40" s="148">
        <f>ROUND(C40*($D$42/$C$42),0)</f>
        <v>128</v>
      </c>
      <c r="E40" s="149">
        <f>$E$23</f>
        <v>1</v>
      </c>
      <c r="F40" s="20"/>
      <c r="G40" s="156">
        <f>ROUND(E40*$C40,0)</f>
        <v>125</v>
      </c>
      <c r="H40" s="156">
        <f>ROUND(E40*$D40,0)</f>
        <v>128</v>
      </c>
      <c r="I40" s="153">
        <f>$I$23</f>
        <v>1</v>
      </c>
      <c r="J40" s="20"/>
      <c r="K40" s="156">
        <f>ROUND(I40*$C40,0)</f>
        <v>125</v>
      </c>
      <c r="M40" s="162"/>
      <c r="N40" s="162"/>
      <c r="O40" s="165"/>
      <c r="P40" s="71"/>
      <c r="Q40" s="20"/>
      <c r="R40" s="162"/>
      <c r="S40" s="162"/>
      <c r="T40" s="162"/>
      <c r="U40" s="165"/>
      <c r="V40" s="165"/>
      <c r="W40" s="165"/>
      <c r="X40" s="165"/>
      <c r="Y40" s="20"/>
      <c r="Z40" s="20"/>
      <c r="AA40" s="20"/>
      <c r="AB40" s="20"/>
      <c r="AC40" s="20"/>
      <c r="AE40" s="81"/>
    </row>
    <row r="41" spans="1:31">
      <c r="A41" s="3" t="s">
        <v>350</v>
      </c>
      <c r="C41" s="148">
        <v>15099</v>
      </c>
      <c r="D41" s="148">
        <v>1276.1666666666667</v>
      </c>
      <c r="E41" s="149"/>
      <c r="G41" s="2"/>
      <c r="H41" s="2"/>
      <c r="I41" s="149"/>
      <c r="K41" s="2"/>
      <c r="M41" s="162"/>
      <c r="N41" s="162"/>
      <c r="O41" s="162"/>
      <c r="P41" s="162"/>
      <c r="Q41" s="162"/>
      <c r="R41" s="162"/>
      <c r="S41" s="162"/>
      <c r="T41" s="162"/>
      <c r="U41" s="172"/>
      <c r="V41" s="162"/>
      <c r="W41" s="162"/>
      <c r="X41" s="162"/>
      <c r="Y41" s="20"/>
      <c r="Z41" s="20"/>
      <c r="AA41" s="20"/>
      <c r="AB41" s="20"/>
      <c r="AC41" s="20"/>
      <c r="AE41" s="81"/>
    </row>
    <row r="42" spans="1:31">
      <c r="A42" s="3" t="s">
        <v>35</v>
      </c>
      <c r="C42" s="148">
        <v>1147205</v>
      </c>
      <c r="D42" s="148">
        <v>1178171.795773752</v>
      </c>
      <c r="E42" s="153"/>
      <c r="F42" s="20"/>
      <c r="G42" s="156">
        <f>SUM(G33:G40)</f>
        <v>153403</v>
      </c>
      <c r="H42" s="156">
        <f>SUM(H33:H40)</f>
        <v>157522</v>
      </c>
      <c r="I42" s="153"/>
      <c r="J42" s="20"/>
      <c r="K42" s="156" t="e">
        <f>SUM(K33:K40)</f>
        <v>#REF!</v>
      </c>
      <c r="M42" s="162"/>
      <c r="N42" s="162"/>
      <c r="O42" s="171"/>
      <c r="P42" s="162"/>
      <c r="Q42" s="20"/>
      <c r="R42" s="20"/>
      <c r="S42" s="20"/>
      <c r="T42" s="162"/>
      <c r="U42" s="162"/>
      <c r="V42" s="162"/>
      <c r="W42" s="162"/>
      <c r="X42" s="162"/>
      <c r="Y42" s="20"/>
      <c r="Z42" s="20"/>
      <c r="AA42" s="20"/>
      <c r="AB42" s="20"/>
      <c r="AC42" s="20"/>
      <c r="AE42" s="81"/>
    </row>
    <row r="43" spans="1:31">
      <c r="A43" s="3" t="s">
        <v>351</v>
      </c>
      <c r="C43" s="148" t="e">
        <f>#REF!</f>
        <v>#REF!</v>
      </c>
      <c r="D43" s="148">
        <v>0</v>
      </c>
      <c r="E43" s="153"/>
      <c r="F43" s="20"/>
      <c r="G43" s="156" t="e">
        <f>#REF!</f>
        <v>#REF!</v>
      </c>
      <c r="H43" s="156">
        <v>0</v>
      </c>
      <c r="I43" s="153"/>
      <c r="J43" s="20"/>
      <c r="K43" s="156" t="e">
        <f>G43</f>
        <v>#REF!</v>
      </c>
      <c r="M43" s="328"/>
      <c r="N43" s="328"/>
      <c r="O43" s="171"/>
      <c r="P43" s="162"/>
      <c r="Q43" s="162"/>
      <c r="R43" s="167"/>
      <c r="S43" s="165"/>
      <c r="T43" s="162"/>
      <c r="U43" s="162"/>
      <c r="V43" s="162"/>
      <c r="W43" s="162"/>
      <c r="X43" s="162"/>
      <c r="Y43" s="20"/>
      <c r="Z43" s="20"/>
      <c r="AA43" s="20"/>
      <c r="AB43" s="20"/>
      <c r="AC43" s="20"/>
      <c r="AE43" s="81"/>
    </row>
    <row r="44" spans="1:31" ht="16.5" thickBot="1">
      <c r="A44" s="3" t="s">
        <v>9</v>
      </c>
      <c r="C44" s="157" t="e">
        <f>C42+C43</f>
        <v>#REF!</v>
      </c>
      <c r="D44" s="157">
        <f>SUM(D42:D43)</f>
        <v>1178171.795773752</v>
      </c>
      <c r="E44" s="158"/>
      <c r="F44" s="158"/>
      <c r="G44" s="158" t="e">
        <f>G42+G43</f>
        <v>#REF!</v>
      </c>
      <c r="H44" s="158">
        <f>H42+H43</f>
        <v>157522</v>
      </c>
      <c r="I44" s="158"/>
      <c r="J44" s="158"/>
      <c r="K44" s="158" t="e">
        <f>K42+K43</f>
        <v>#REF!</v>
      </c>
      <c r="M44" s="295"/>
      <c r="N44" s="295"/>
      <c r="O44" s="354"/>
      <c r="P44" s="162"/>
      <c r="Q44" s="162"/>
      <c r="R44" s="162"/>
      <c r="S44" s="162"/>
      <c r="T44" s="162"/>
      <c r="U44" s="162"/>
      <c r="V44" s="162"/>
      <c r="W44" s="162"/>
      <c r="X44" s="162"/>
      <c r="Y44" s="20"/>
      <c r="Z44" s="20"/>
      <c r="AA44" s="20"/>
      <c r="AB44" s="20"/>
      <c r="AC44" s="20"/>
      <c r="AE44" s="81"/>
    </row>
    <row r="45" spans="1:31" ht="16.5" thickTop="1">
      <c r="C45" s="159"/>
      <c r="D45" s="159"/>
      <c r="E45" s="159"/>
      <c r="F45" s="159"/>
      <c r="G45" s="147"/>
      <c r="H45" s="147"/>
      <c r="I45" s="1" t="s">
        <v>31</v>
      </c>
      <c r="J45" s="159"/>
      <c r="K45" s="2" t="s">
        <v>31</v>
      </c>
      <c r="M45" s="20"/>
      <c r="N45" s="20"/>
      <c r="O45" s="71"/>
      <c r="P45" s="71"/>
      <c r="Q45" s="20"/>
      <c r="R45" s="20"/>
      <c r="S45" s="20"/>
      <c r="T45" s="162"/>
      <c r="U45" s="162"/>
      <c r="V45" s="162"/>
      <c r="W45" s="162"/>
      <c r="X45" s="162"/>
      <c r="Y45" s="20"/>
      <c r="Z45" s="20"/>
      <c r="AA45" s="20"/>
      <c r="AB45" s="20"/>
      <c r="AC45" s="20"/>
      <c r="AE45" s="81"/>
    </row>
    <row r="46" spans="1:31">
      <c r="A46" s="146" t="s">
        <v>339</v>
      </c>
      <c r="G46" s="147"/>
      <c r="H46" s="147"/>
      <c r="M46" s="20"/>
      <c r="N46" s="20"/>
      <c r="O46" s="71"/>
      <c r="P46" s="71"/>
      <c r="Q46" s="20"/>
      <c r="R46" s="20"/>
      <c r="S46" s="20"/>
      <c r="T46" s="162"/>
      <c r="U46" s="162"/>
      <c r="V46" s="162"/>
      <c r="W46" s="162"/>
      <c r="X46" s="162"/>
      <c r="Y46" s="20"/>
      <c r="Z46" s="20"/>
      <c r="AA46" s="20"/>
      <c r="AB46" s="20"/>
      <c r="AC46" s="20"/>
      <c r="AE46" s="81"/>
    </row>
    <row r="47" spans="1:31">
      <c r="A47" s="3" t="s">
        <v>354</v>
      </c>
      <c r="G47" s="147"/>
      <c r="H47" s="147"/>
      <c r="M47" s="162"/>
      <c r="N47" s="162"/>
      <c r="O47" s="162"/>
      <c r="P47" s="162"/>
      <c r="Q47" s="162"/>
      <c r="R47" s="162"/>
      <c r="S47" s="162"/>
      <c r="T47" s="162"/>
      <c r="U47" s="162"/>
      <c r="V47" s="162"/>
      <c r="W47" s="162"/>
      <c r="X47" s="162"/>
      <c r="Y47" s="20"/>
      <c r="Z47" s="20"/>
      <c r="AA47" s="20"/>
      <c r="AB47" s="20"/>
      <c r="AC47" s="20"/>
      <c r="AE47" s="81"/>
    </row>
    <row r="48" spans="1:31">
      <c r="G48" s="147"/>
      <c r="H48" s="147"/>
      <c r="M48" s="162"/>
      <c r="N48" s="162"/>
      <c r="O48" s="162"/>
      <c r="P48" s="162"/>
      <c r="Q48" s="162"/>
      <c r="R48" s="162"/>
      <c r="S48" s="162"/>
      <c r="T48" s="162"/>
      <c r="U48" s="162"/>
      <c r="V48" s="162"/>
      <c r="W48" s="162"/>
      <c r="X48" s="162"/>
      <c r="Y48" s="20"/>
      <c r="Z48" s="20"/>
      <c r="AA48" s="20"/>
      <c r="AB48" s="20"/>
      <c r="AC48" s="20"/>
      <c r="AE48" s="81"/>
    </row>
    <row r="49" spans="1:31">
      <c r="A49" s="3" t="s">
        <v>341</v>
      </c>
      <c r="G49" s="147"/>
      <c r="H49" s="147"/>
      <c r="M49" s="162"/>
      <c r="N49" s="162"/>
      <c r="O49" s="162"/>
      <c r="P49" s="71"/>
      <c r="Q49" s="163"/>
      <c r="R49" s="164"/>
      <c r="S49" s="165"/>
      <c r="T49" s="166"/>
      <c r="U49" s="162"/>
      <c r="V49" s="162"/>
      <c r="W49" s="162"/>
      <c r="X49" s="162"/>
      <c r="Y49" s="20"/>
      <c r="Z49" s="20"/>
      <c r="AA49" s="20"/>
      <c r="AB49" s="20"/>
      <c r="AC49" s="20"/>
      <c r="AE49" s="81"/>
    </row>
    <row r="50" spans="1:31">
      <c r="A50" s="3" t="s">
        <v>342</v>
      </c>
      <c r="C50" s="148">
        <f>8606+13+6615+38</f>
        <v>15272</v>
      </c>
      <c r="D50" s="148">
        <f>ROUND(C50*($D$59/$C$59),0)</f>
        <v>16186</v>
      </c>
      <c r="E50" s="149">
        <f>$E$16</f>
        <v>9.6</v>
      </c>
      <c r="G50" s="2">
        <f>ROUND(E50*$C50,0)</f>
        <v>146611</v>
      </c>
      <c r="H50" s="2">
        <f>ROUND(E50*$D50,0)</f>
        <v>155386</v>
      </c>
      <c r="I50" s="149" t="e">
        <f>$I$16</f>
        <v>#REF!</v>
      </c>
      <c r="K50" s="2" t="e">
        <f>ROUND(I50*$C50,0)</f>
        <v>#REF!</v>
      </c>
      <c r="M50" s="20"/>
      <c r="N50" s="20"/>
      <c r="O50" s="165"/>
      <c r="P50" s="71"/>
      <c r="Q50" s="162"/>
      <c r="R50" s="167"/>
      <c r="S50" s="168"/>
      <c r="T50" s="162"/>
      <c r="U50" s="165"/>
      <c r="V50" s="165"/>
      <c r="W50" s="169"/>
      <c r="X50" s="165"/>
      <c r="Y50" s="20"/>
      <c r="Z50" s="20"/>
      <c r="AA50" s="20"/>
      <c r="AB50" s="20"/>
      <c r="AC50" s="20"/>
      <c r="AE50" s="81"/>
    </row>
    <row r="51" spans="1:31">
      <c r="A51" s="3" t="s">
        <v>343</v>
      </c>
      <c r="C51" s="148">
        <f>3424+252+432</f>
        <v>4108</v>
      </c>
      <c r="D51" s="148">
        <f>ROUND(C51*($D$59/$C$59),0)</f>
        <v>4354</v>
      </c>
      <c r="E51" s="149">
        <f>$E$17</f>
        <v>18.28</v>
      </c>
      <c r="G51" s="2">
        <f>ROUND(E51*$C51,0)</f>
        <v>75094</v>
      </c>
      <c r="H51" s="2">
        <f>ROUND(E51*$D51,0)</f>
        <v>79591</v>
      </c>
      <c r="I51" s="149" t="e">
        <f>$I$17</f>
        <v>#REF!</v>
      </c>
      <c r="K51" s="2" t="e">
        <f>ROUND(I51*$C51,0)</f>
        <v>#REF!</v>
      </c>
      <c r="M51" s="20"/>
      <c r="N51" s="20"/>
      <c r="O51" s="165"/>
      <c r="P51" s="71"/>
      <c r="Q51" s="20"/>
      <c r="R51" s="171"/>
      <c r="S51" s="162"/>
      <c r="T51" s="162"/>
      <c r="U51" s="165"/>
      <c r="V51" s="165"/>
      <c r="W51" s="169"/>
      <c r="X51" s="165"/>
      <c r="Y51" s="20"/>
      <c r="Z51" s="20"/>
      <c r="AA51" s="20"/>
      <c r="AB51" s="20"/>
      <c r="AC51" s="20"/>
      <c r="AE51" s="81"/>
    </row>
    <row r="52" spans="1:31">
      <c r="A52" s="3" t="s">
        <v>344</v>
      </c>
      <c r="C52" s="148">
        <f>512+51+36+12</f>
        <v>611</v>
      </c>
      <c r="D52" s="148">
        <f>ROUND(C52*($D$59/$C$59),0)</f>
        <v>648</v>
      </c>
      <c r="E52" s="149">
        <f>$E$18</f>
        <v>37.82</v>
      </c>
      <c r="G52" s="2">
        <f>ROUND(E52*$C52,0)</f>
        <v>23108</v>
      </c>
      <c r="H52" s="2">
        <f>ROUND(E52*$D52,0)</f>
        <v>24507</v>
      </c>
      <c r="I52" s="149" t="e">
        <f>$I$18</f>
        <v>#REF!</v>
      </c>
      <c r="K52" s="2" t="e">
        <f>ROUND(I52*$C52,0)</f>
        <v>#REF!</v>
      </c>
      <c r="M52" s="20"/>
      <c r="N52" s="20"/>
      <c r="O52" s="165"/>
      <c r="P52" s="71"/>
      <c r="Q52" s="20"/>
      <c r="R52" s="171"/>
      <c r="S52" s="162"/>
      <c r="T52" s="162"/>
      <c r="U52" s="165"/>
      <c r="V52" s="165"/>
      <c r="W52" s="169"/>
      <c r="X52" s="165"/>
      <c r="Y52" s="20"/>
      <c r="Z52" s="20"/>
      <c r="AA52" s="20"/>
      <c r="AB52" s="20"/>
      <c r="AC52" s="20"/>
      <c r="AE52" s="81"/>
    </row>
    <row r="53" spans="1:31">
      <c r="A53" s="3" t="s">
        <v>345</v>
      </c>
      <c r="C53" s="148"/>
      <c r="D53" s="148"/>
      <c r="E53" s="149"/>
      <c r="G53" s="2"/>
      <c r="H53" s="2"/>
      <c r="I53" s="149"/>
      <c r="K53" s="2"/>
      <c r="M53" s="20"/>
      <c r="N53" s="20"/>
      <c r="O53" s="165"/>
      <c r="P53" s="71"/>
      <c r="Q53" s="20"/>
      <c r="R53" s="171"/>
      <c r="S53" s="162"/>
      <c r="T53" s="162"/>
      <c r="U53" s="165"/>
      <c r="V53" s="165"/>
      <c r="W53" s="169"/>
      <c r="X53" s="165"/>
      <c r="Y53" s="20"/>
      <c r="Z53" s="20"/>
      <c r="AA53" s="20"/>
      <c r="AB53" s="20"/>
      <c r="AC53" s="20"/>
      <c r="AE53" s="81"/>
    </row>
    <row r="54" spans="1:31">
      <c r="A54" s="3" t="s">
        <v>346</v>
      </c>
      <c r="C54" s="148">
        <f>649+501</f>
        <v>1150</v>
      </c>
      <c r="D54" s="148">
        <f>ROUND(C54*($D$59/$C$59),0)</f>
        <v>1219</v>
      </c>
      <c r="E54" s="149">
        <f>$E$20</f>
        <v>10.92</v>
      </c>
      <c r="G54" s="2">
        <f>ROUND(E54*$C54,0)</f>
        <v>12558</v>
      </c>
      <c r="H54" s="2">
        <f>ROUND(E54*$D54,0)</f>
        <v>13311</v>
      </c>
      <c r="I54" s="149" t="e">
        <f>$I$20</f>
        <v>#REF!</v>
      </c>
      <c r="K54" s="2" t="e">
        <f>ROUND(I54*$C54,0)</f>
        <v>#REF!</v>
      </c>
      <c r="M54" s="20"/>
      <c r="N54" s="20"/>
      <c r="O54" s="165"/>
      <c r="P54" s="71"/>
      <c r="Q54" s="20"/>
      <c r="R54" s="171"/>
      <c r="S54" s="162"/>
      <c r="T54" s="162"/>
      <c r="U54" s="165"/>
      <c r="V54" s="165"/>
      <c r="W54" s="169"/>
      <c r="X54" s="165"/>
      <c r="Y54" s="20"/>
      <c r="Z54" s="20"/>
      <c r="AA54" s="20"/>
      <c r="AB54" s="20"/>
      <c r="AC54" s="20"/>
      <c r="AE54" s="81"/>
    </row>
    <row r="55" spans="1:31">
      <c r="A55" s="3" t="s">
        <v>347</v>
      </c>
      <c r="C55" s="148">
        <f>1253+229</f>
        <v>1482</v>
      </c>
      <c r="D55" s="148">
        <f>ROUND(C55*($D$59/$C$59),0)</f>
        <v>1571</v>
      </c>
      <c r="E55" s="149">
        <f>$E$21</f>
        <v>16.04</v>
      </c>
      <c r="G55" s="2">
        <f>ROUND(E55*$C55,0)</f>
        <v>23771</v>
      </c>
      <c r="H55" s="2">
        <f>ROUND(E55*$D55,0)</f>
        <v>25199</v>
      </c>
      <c r="I55" s="149" t="e">
        <f>$I$21</f>
        <v>#REF!</v>
      </c>
      <c r="K55" s="2" t="e">
        <f>ROUND(I55*$C55,0)</f>
        <v>#REF!</v>
      </c>
      <c r="M55" s="20"/>
      <c r="N55" s="20"/>
      <c r="O55" s="165"/>
      <c r="P55" s="71"/>
      <c r="Q55" s="20"/>
      <c r="R55" s="171"/>
      <c r="S55" s="162"/>
      <c r="T55" s="162"/>
      <c r="U55" s="165"/>
      <c r="V55" s="165"/>
      <c r="W55" s="169"/>
      <c r="X55" s="165"/>
      <c r="Y55" s="20"/>
      <c r="Z55" s="20"/>
      <c r="AA55" s="20"/>
      <c r="AB55" s="20"/>
      <c r="AC55" s="20"/>
      <c r="AE55" s="81"/>
    </row>
    <row r="56" spans="1:31">
      <c r="A56" s="3" t="s">
        <v>348</v>
      </c>
      <c r="C56" s="148">
        <f>384+48</f>
        <v>432</v>
      </c>
      <c r="D56" s="148">
        <f>ROUND(C56*($D$59/$C$59),0)</f>
        <v>458</v>
      </c>
      <c r="E56" s="149">
        <f>$E$22</f>
        <v>25.88</v>
      </c>
      <c r="G56" s="2">
        <f>ROUND(E56*$C56,0)</f>
        <v>11180</v>
      </c>
      <c r="H56" s="2">
        <f>ROUND(E56*$D56,0)</f>
        <v>11853</v>
      </c>
      <c r="I56" s="149" t="e">
        <f>$I$22</f>
        <v>#REF!</v>
      </c>
      <c r="K56" s="2" t="e">
        <f>ROUND(I56*$C56,0)</f>
        <v>#REF!</v>
      </c>
      <c r="M56" s="20"/>
      <c r="N56" s="20"/>
      <c r="O56" s="165"/>
      <c r="P56" s="71"/>
      <c r="Q56" s="20"/>
      <c r="R56" s="171"/>
      <c r="S56" s="162"/>
      <c r="T56" s="162"/>
      <c r="U56" s="165"/>
      <c r="V56" s="165"/>
      <c r="W56" s="169"/>
      <c r="X56" s="165"/>
      <c r="Y56" s="20"/>
      <c r="Z56" s="20"/>
      <c r="AA56" s="20"/>
      <c r="AB56" s="20"/>
      <c r="AC56" s="20"/>
      <c r="AE56" s="81"/>
    </row>
    <row r="57" spans="1:31">
      <c r="A57" s="3" t="s">
        <v>349</v>
      </c>
      <c r="C57" s="148">
        <f>13+252+51+38+12</f>
        <v>366</v>
      </c>
      <c r="D57" s="148">
        <f>ROUND(C57*($D$59/$C$59),0)</f>
        <v>388</v>
      </c>
      <c r="E57" s="149">
        <f>$E$23</f>
        <v>1</v>
      </c>
      <c r="F57" s="20"/>
      <c r="G57" s="156">
        <f>ROUND(E57*$C57,0)</f>
        <v>366</v>
      </c>
      <c r="H57" s="156">
        <f>ROUND(E57*$D57,0)</f>
        <v>388</v>
      </c>
      <c r="I57" s="153">
        <f>$I$23</f>
        <v>1</v>
      </c>
      <c r="J57" s="20"/>
      <c r="K57" s="156">
        <f>ROUND(I57*$C57,0)</f>
        <v>366</v>
      </c>
      <c r="M57" s="162"/>
      <c r="N57" s="162"/>
      <c r="O57" s="165"/>
      <c r="P57" s="71"/>
      <c r="Q57" s="20"/>
      <c r="R57" s="162"/>
      <c r="S57" s="162"/>
      <c r="T57" s="162"/>
      <c r="U57" s="165"/>
      <c r="V57" s="165"/>
      <c r="W57" s="165"/>
      <c r="X57" s="165"/>
      <c r="Y57" s="20"/>
      <c r="Z57" s="20"/>
      <c r="AA57" s="20"/>
      <c r="AB57" s="20"/>
      <c r="AC57" s="20"/>
      <c r="AE57" s="81"/>
    </row>
    <row r="58" spans="1:31">
      <c r="A58" s="3" t="s">
        <v>350</v>
      </c>
      <c r="C58" s="148">
        <f>10688+6709</f>
        <v>17397</v>
      </c>
      <c r="D58" s="148">
        <v>1459</v>
      </c>
      <c r="E58" s="149"/>
      <c r="G58" s="2"/>
      <c r="H58" s="2"/>
      <c r="I58" s="149"/>
      <c r="K58" s="2"/>
      <c r="M58" s="162"/>
      <c r="N58" s="162"/>
      <c r="O58" s="162"/>
      <c r="P58" s="162"/>
      <c r="Q58" s="162"/>
      <c r="R58" s="162"/>
      <c r="S58" s="162"/>
      <c r="T58" s="162"/>
      <c r="U58" s="172"/>
      <c r="V58" s="162"/>
      <c r="W58" s="162"/>
      <c r="X58" s="162"/>
      <c r="Y58" s="20"/>
      <c r="Z58" s="20"/>
      <c r="AA58" s="20"/>
      <c r="AB58" s="20"/>
      <c r="AC58" s="20"/>
      <c r="AE58" s="81"/>
    </row>
    <row r="59" spans="1:31">
      <c r="A59" s="3" t="s">
        <v>35</v>
      </c>
      <c r="C59" s="148">
        <f>1679522+631102</f>
        <v>2310624</v>
      </c>
      <c r="D59" s="148">
        <v>2448984.1343942713</v>
      </c>
      <c r="E59" s="153"/>
      <c r="F59" s="20"/>
      <c r="G59" s="156">
        <f>SUM(G50:G57)</f>
        <v>292688</v>
      </c>
      <c r="H59" s="156">
        <f>SUM(H50:H57)</f>
        <v>310235</v>
      </c>
      <c r="I59" s="153"/>
      <c r="J59" s="20"/>
      <c r="K59" s="156" t="e">
        <f>SUM(K50:K57)</f>
        <v>#REF!</v>
      </c>
      <c r="M59" s="162"/>
      <c r="N59" s="162"/>
      <c r="O59" s="171"/>
      <c r="P59" s="162"/>
      <c r="Q59" s="20"/>
      <c r="R59" s="20"/>
      <c r="S59" s="20"/>
      <c r="T59" s="162"/>
      <c r="U59" s="162"/>
      <c r="V59" s="162"/>
      <c r="W59" s="162"/>
      <c r="X59" s="162"/>
      <c r="Y59" s="20"/>
      <c r="Z59" s="20"/>
      <c r="AA59" s="20"/>
      <c r="AB59" s="20"/>
      <c r="AC59" s="20"/>
      <c r="AE59" s="81"/>
    </row>
    <row r="60" spans="1:31">
      <c r="A60" s="3" t="s">
        <v>351</v>
      </c>
      <c r="C60" s="148" t="e">
        <f>#REF!</f>
        <v>#REF!</v>
      </c>
      <c r="D60" s="148">
        <v>0</v>
      </c>
      <c r="E60" s="153"/>
      <c r="F60" s="20"/>
      <c r="G60" s="156" t="e">
        <f>#REF!</f>
        <v>#REF!</v>
      </c>
      <c r="H60" s="156">
        <v>0</v>
      </c>
      <c r="I60" s="153"/>
      <c r="J60" s="20"/>
      <c r="K60" s="156" t="e">
        <f>G60</f>
        <v>#REF!</v>
      </c>
      <c r="M60" s="328"/>
      <c r="N60" s="328"/>
      <c r="O60" s="171"/>
      <c r="P60" s="162"/>
      <c r="Q60" s="162"/>
      <c r="R60" s="167"/>
      <c r="S60" s="165"/>
      <c r="T60" s="162"/>
      <c r="U60" s="162"/>
      <c r="V60" s="162"/>
      <c r="W60" s="162"/>
      <c r="X60" s="162"/>
      <c r="Y60" s="20"/>
      <c r="Z60" s="20"/>
      <c r="AA60" s="20"/>
      <c r="AB60" s="20"/>
      <c r="AC60" s="20"/>
      <c r="AE60" s="81"/>
    </row>
    <row r="61" spans="1:31" ht="16.5" thickBot="1">
      <c r="A61" s="3" t="s">
        <v>9</v>
      </c>
      <c r="C61" s="157" t="e">
        <f>C59+C60</f>
        <v>#REF!</v>
      </c>
      <c r="D61" s="157">
        <f>SUM(D59:D60)</f>
        <v>2448984.1343942713</v>
      </c>
      <c r="E61" s="158"/>
      <c r="F61" s="158"/>
      <c r="G61" s="158" t="e">
        <f>G59+G60</f>
        <v>#REF!</v>
      </c>
      <c r="H61" s="158">
        <f>H59+H60</f>
        <v>310235</v>
      </c>
      <c r="I61" s="158"/>
      <c r="J61" s="158"/>
      <c r="K61" s="158" t="e">
        <f>K59+K60</f>
        <v>#REF!</v>
      </c>
      <c r="M61" s="295"/>
      <c r="N61" s="295"/>
      <c r="O61" s="354"/>
      <c r="P61" s="162"/>
      <c r="Q61" s="162"/>
      <c r="R61" s="162"/>
      <c r="S61" s="162"/>
      <c r="T61" s="162"/>
      <c r="U61" s="162"/>
      <c r="V61" s="162"/>
      <c r="W61" s="162"/>
      <c r="X61" s="162"/>
      <c r="Y61" s="20"/>
      <c r="Z61" s="20"/>
      <c r="AA61" s="20"/>
      <c r="AB61" s="20"/>
      <c r="AC61" s="20"/>
      <c r="AE61" s="81"/>
    </row>
    <row r="62" spans="1:31" ht="16.5" thickTop="1">
      <c r="C62" s="159"/>
      <c r="D62" s="159"/>
      <c r="E62" s="159"/>
      <c r="F62" s="159"/>
      <c r="G62" s="147"/>
      <c r="H62" s="147"/>
      <c r="I62" s="1" t="s">
        <v>31</v>
      </c>
      <c r="J62" s="159"/>
      <c r="K62" s="2" t="s">
        <v>31</v>
      </c>
      <c r="M62" s="20"/>
      <c r="N62" s="20"/>
      <c r="O62" s="71"/>
      <c r="P62" s="71"/>
      <c r="Q62" s="20"/>
      <c r="R62" s="20"/>
      <c r="S62" s="20"/>
      <c r="T62" s="20"/>
      <c r="U62" s="20"/>
      <c r="V62" s="20"/>
      <c r="W62" s="20"/>
      <c r="X62" s="20"/>
      <c r="Y62" s="20"/>
      <c r="Z62" s="20"/>
      <c r="AA62" s="20"/>
      <c r="AB62" s="20"/>
      <c r="AC62" s="20"/>
      <c r="AE62" s="81"/>
    </row>
    <row r="63" spans="1:31">
      <c r="A63" s="146" t="s">
        <v>339</v>
      </c>
      <c r="G63" s="147"/>
      <c r="H63" s="147"/>
      <c r="M63" s="20"/>
      <c r="N63" s="20"/>
      <c r="O63" s="71"/>
      <c r="P63" s="71"/>
      <c r="Q63" s="20"/>
      <c r="R63" s="20"/>
      <c r="S63" s="20"/>
      <c r="T63" s="20"/>
      <c r="U63" s="20"/>
      <c r="V63" s="20"/>
      <c r="W63" s="20"/>
      <c r="X63" s="20"/>
      <c r="Y63" s="20"/>
      <c r="Z63" s="20"/>
      <c r="AA63" s="20"/>
      <c r="AB63" s="20"/>
      <c r="AC63" s="20"/>
      <c r="AE63" s="81"/>
    </row>
    <row r="64" spans="1:31">
      <c r="A64" s="3" t="s">
        <v>355</v>
      </c>
      <c r="G64" s="147"/>
      <c r="H64" s="147"/>
      <c r="M64" s="162"/>
      <c r="N64" s="162"/>
      <c r="O64" s="162"/>
      <c r="P64" s="162"/>
      <c r="Q64" s="162"/>
      <c r="R64" s="162"/>
      <c r="S64" s="162"/>
      <c r="T64" s="162"/>
      <c r="U64" s="162"/>
      <c r="V64" s="162"/>
      <c r="W64" s="162"/>
      <c r="X64" s="162"/>
      <c r="Y64" s="20"/>
      <c r="Z64" s="20"/>
      <c r="AA64" s="20"/>
      <c r="AB64" s="20"/>
      <c r="AC64" s="20"/>
      <c r="AE64" s="81"/>
    </row>
    <row r="65" spans="1:31">
      <c r="G65" s="147"/>
      <c r="H65" s="147"/>
      <c r="M65" s="162"/>
      <c r="N65" s="162"/>
      <c r="O65" s="162"/>
      <c r="P65" s="162"/>
      <c r="Q65" s="162"/>
      <c r="R65" s="162"/>
      <c r="S65" s="162"/>
      <c r="T65" s="162"/>
      <c r="U65" s="162"/>
      <c r="V65" s="162"/>
      <c r="W65" s="162"/>
      <c r="X65" s="162"/>
      <c r="Y65" s="20"/>
      <c r="Z65" s="20"/>
      <c r="AA65" s="20"/>
      <c r="AB65" s="20"/>
      <c r="AC65" s="20"/>
      <c r="AE65" s="81"/>
    </row>
    <row r="66" spans="1:31">
      <c r="A66" s="3" t="s">
        <v>341</v>
      </c>
      <c r="G66" s="147"/>
      <c r="H66" s="147"/>
      <c r="M66" s="162"/>
      <c r="N66" s="162"/>
      <c r="O66" s="162"/>
      <c r="P66" s="71"/>
      <c r="Q66" s="163"/>
      <c r="R66" s="164"/>
      <c r="S66" s="165"/>
      <c r="T66" s="166"/>
      <c r="U66" s="162"/>
      <c r="V66" s="162"/>
      <c r="W66" s="162"/>
      <c r="X66" s="162"/>
      <c r="Y66" s="20"/>
      <c r="Z66" s="20"/>
      <c r="AA66" s="20"/>
      <c r="AB66" s="20"/>
      <c r="AC66" s="20"/>
      <c r="AE66" s="81"/>
    </row>
    <row r="67" spans="1:31">
      <c r="A67" s="3" t="s">
        <v>342</v>
      </c>
      <c r="C67" s="148">
        <f>329+192+132</f>
        <v>653</v>
      </c>
      <c r="D67" s="148">
        <f>ROUND(C67*($D$76/$C$76),0)</f>
        <v>702</v>
      </c>
      <c r="E67" s="149">
        <f>$E$16</f>
        <v>9.6</v>
      </c>
      <c r="G67" s="2">
        <f>ROUND(E67*$C67,0)</f>
        <v>6269</v>
      </c>
      <c r="H67" s="2">
        <f>ROUND(E67*$D67,0)</f>
        <v>6739</v>
      </c>
      <c r="I67" s="149" t="e">
        <f>$I$16</f>
        <v>#REF!</v>
      </c>
      <c r="K67" s="2" t="e">
        <f>ROUND(I67*$C67,0)</f>
        <v>#REF!</v>
      </c>
      <c r="M67" s="20"/>
      <c r="N67" s="20"/>
      <c r="O67" s="165"/>
      <c r="P67" s="71"/>
      <c r="Q67" s="162"/>
      <c r="R67" s="167"/>
      <c r="S67" s="168"/>
      <c r="T67" s="162"/>
      <c r="U67" s="165"/>
      <c r="V67" s="165"/>
      <c r="W67" s="169"/>
      <c r="X67" s="165"/>
      <c r="Y67" s="20"/>
      <c r="Z67" s="20"/>
      <c r="AA67" s="20"/>
      <c r="AB67" s="20"/>
      <c r="AC67" s="20"/>
      <c r="AE67" s="81"/>
    </row>
    <row r="68" spans="1:31">
      <c r="A68" s="3" t="s">
        <v>343</v>
      </c>
      <c r="C68" s="148">
        <f>386+36</f>
        <v>422</v>
      </c>
      <c r="D68" s="148">
        <f>ROUND(C68*($D$76/$C$76),0)</f>
        <v>454</v>
      </c>
      <c r="E68" s="149">
        <f>$E$17</f>
        <v>18.28</v>
      </c>
      <c r="G68" s="2">
        <f>ROUND(E68*$C68,0)</f>
        <v>7714</v>
      </c>
      <c r="H68" s="2">
        <f>ROUND(E68*$D68,0)</f>
        <v>8299</v>
      </c>
      <c r="I68" s="149" t="e">
        <f>$I$17</f>
        <v>#REF!</v>
      </c>
      <c r="K68" s="2" t="e">
        <f>ROUND(I68*$C68,0)</f>
        <v>#REF!</v>
      </c>
      <c r="M68" s="20"/>
      <c r="N68" s="20"/>
      <c r="O68" s="165"/>
      <c r="P68" s="71"/>
      <c r="Q68" s="20"/>
      <c r="R68" s="171"/>
      <c r="S68" s="162"/>
      <c r="T68" s="162"/>
      <c r="U68" s="165"/>
      <c r="V68" s="165"/>
      <c r="W68" s="169"/>
      <c r="X68" s="165"/>
      <c r="Y68" s="20"/>
      <c r="Z68" s="20"/>
      <c r="AA68" s="20"/>
      <c r="AB68" s="20"/>
      <c r="AC68" s="20"/>
      <c r="AE68" s="81"/>
    </row>
    <row r="69" spans="1:31">
      <c r="A69" s="3" t="s">
        <v>344</v>
      </c>
      <c r="C69" s="148">
        <f>48</f>
        <v>48</v>
      </c>
      <c r="D69" s="148">
        <f>ROUND(C69*($D$76/$C$76),0)</f>
        <v>52</v>
      </c>
      <c r="E69" s="149">
        <f>$E$18</f>
        <v>37.82</v>
      </c>
      <c r="G69" s="2">
        <f>ROUND(E69*$C69,0)</f>
        <v>1815</v>
      </c>
      <c r="H69" s="2">
        <f>ROUND(E69*$D69,0)</f>
        <v>1967</v>
      </c>
      <c r="I69" s="149" t="e">
        <f>$I$18</f>
        <v>#REF!</v>
      </c>
      <c r="K69" s="2" t="e">
        <f>ROUND(I69*$C69,0)</f>
        <v>#REF!</v>
      </c>
      <c r="M69" s="20"/>
      <c r="N69" s="20"/>
      <c r="O69" s="165"/>
      <c r="P69" s="71"/>
      <c r="Q69" s="20"/>
      <c r="R69" s="171"/>
      <c r="S69" s="162"/>
      <c r="T69" s="162"/>
      <c r="U69" s="165"/>
      <c r="V69" s="165"/>
      <c r="W69" s="169"/>
      <c r="X69" s="165"/>
      <c r="Y69" s="20"/>
      <c r="Z69" s="20"/>
      <c r="AA69" s="20"/>
      <c r="AB69" s="20"/>
      <c r="AC69" s="20"/>
      <c r="AE69" s="81"/>
    </row>
    <row r="70" spans="1:31">
      <c r="A70" s="3" t="s">
        <v>345</v>
      </c>
      <c r="C70" s="148"/>
      <c r="D70" s="148"/>
      <c r="E70" s="149"/>
      <c r="G70" s="2"/>
      <c r="H70" s="2"/>
      <c r="I70" s="149"/>
      <c r="K70" s="2"/>
      <c r="M70" s="20"/>
      <c r="N70" s="20"/>
      <c r="O70" s="165"/>
      <c r="P70" s="71"/>
      <c r="Q70" s="20"/>
      <c r="R70" s="171"/>
      <c r="S70" s="162"/>
      <c r="T70" s="162"/>
      <c r="U70" s="165"/>
      <c r="V70" s="165"/>
      <c r="W70" s="169"/>
      <c r="X70" s="165"/>
      <c r="Y70" s="20"/>
      <c r="Z70" s="20"/>
      <c r="AA70" s="20"/>
      <c r="AB70" s="20"/>
      <c r="AC70" s="20"/>
      <c r="AE70" s="81"/>
    </row>
    <row r="71" spans="1:31">
      <c r="A71" s="3" t="s">
        <v>346</v>
      </c>
      <c r="C71" s="148">
        <f>12</f>
        <v>12</v>
      </c>
      <c r="D71" s="148">
        <f>ROUND(C71*($D$76/$C$76),0)</f>
        <v>13</v>
      </c>
      <c r="E71" s="149">
        <f>$E$20</f>
        <v>10.92</v>
      </c>
      <c r="G71" s="2">
        <f>ROUND(E71*$C71,0)</f>
        <v>131</v>
      </c>
      <c r="H71" s="2">
        <f>ROUND(E71*$D71,0)</f>
        <v>142</v>
      </c>
      <c r="I71" s="149" t="e">
        <f>$I$20</f>
        <v>#REF!</v>
      </c>
      <c r="K71" s="2" t="e">
        <f>ROUND(I71*$C71,0)</f>
        <v>#REF!</v>
      </c>
      <c r="M71" s="20"/>
      <c r="N71" s="20"/>
      <c r="O71" s="165"/>
      <c r="P71" s="71"/>
      <c r="Q71" s="20"/>
      <c r="R71" s="171"/>
      <c r="S71" s="162"/>
      <c r="T71" s="162"/>
      <c r="U71" s="165"/>
      <c r="V71" s="165"/>
      <c r="W71" s="169"/>
      <c r="X71" s="165"/>
      <c r="Y71" s="20"/>
      <c r="Z71" s="20"/>
      <c r="AA71" s="20"/>
      <c r="AB71" s="20"/>
      <c r="AC71" s="20"/>
      <c r="AE71" s="81"/>
    </row>
    <row r="72" spans="1:31">
      <c r="A72" s="3" t="s">
        <v>347</v>
      </c>
      <c r="C72" s="148">
        <f>96+12</f>
        <v>108</v>
      </c>
      <c r="D72" s="148">
        <f>ROUND(C72*($D$76/$C$76),0)</f>
        <v>116</v>
      </c>
      <c r="E72" s="149">
        <f>$E$21</f>
        <v>16.04</v>
      </c>
      <c r="G72" s="2">
        <f>ROUND(E72*$C72,0)</f>
        <v>1732</v>
      </c>
      <c r="H72" s="2">
        <f>ROUND(E72*$D72,0)</f>
        <v>1861</v>
      </c>
      <c r="I72" s="149" t="e">
        <f>$I$21</f>
        <v>#REF!</v>
      </c>
      <c r="K72" s="2" t="e">
        <f>ROUND(I72*$C72,0)</f>
        <v>#REF!</v>
      </c>
      <c r="M72" s="20"/>
      <c r="N72" s="20"/>
      <c r="O72" s="165"/>
      <c r="P72" s="71"/>
      <c r="Q72" s="20"/>
      <c r="R72" s="171"/>
      <c r="S72" s="162"/>
      <c r="T72" s="162"/>
      <c r="U72" s="165"/>
      <c r="V72" s="165"/>
      <c r="W72" s="169"/>
      <c r="X72" s="165"/>
      <c r="Y72" s="20"/>
      <c r="Z72" s="20"/>
      <c r="AA72" s="20"/>
      <c r="AB72" s="20"/>
      <c r="AC72" s="20"/>
      <c r="AE72" s="81"/>
    </row>
    <row r="73" spans="1:31">
      <c r="A73" s="3" t="s">
        <v>348</v>
      </c>
      <c r="C73" s="148">
        <f>36</f>
        <v>36</v>
      </c>
      <c r="D73" s="148">
        <f>ROUND(C73*($D$76/$C$76),0)</f>
        <v>39</v>
      </c>
      <c r="E73" s="149">
        <f>$E$22</f>
        <v>25.88</v>
      </c>
      <c r="G73" s="2">
        <f>ROUND(E73*$C73,0)</f>
        <v>932</v>
      </c>
      <c r="H73" s="2">
        <f>ROUND(E73*$D73,0)</f>
        <v>1009</v>
      </c>
      <c r="I73" s="149" t="e">
        <f>$I$22</f>
        <v>#REF!</v>
      </c>
      <c r="K73" s="2" t="e">
        <f>ROUND(I73*$C73,0)</f>
        <v>#REF!</v>
      </c>
      <c r="M73" s="20"/>
      <c r="N73" s="20"/>
      <c r="O73" s="165"/>
      <c r="P73" s="71"/>
      <c r="Q73" s="20"/>
      <c r="R73" s="171"/>
      <c r="S73" s="162"/>
      <c r="T73" s="162"/>
      <c r="U73" s="165"/>
      <c r="V73" s="165"/>
      <c r="W73" s="169"/>
      <c r="X73" s="165"/>
      <c r="Y73" s="20"/>
      <c r="Z73" s="20"/>
      <c r="AA73" s="20"/>
      <c r="AB73" s="20"/>
      <c r="AC73" s="20"/>
      <c r="AE73" s="81"/>
    </row>
    <row r="74" spans="1:31">
      <c r="A74" s="3" t="s">
        <v>349</v>
      </c>
      <c r="C74" s="148">
        <f>132</f>
        <v>132</v>
      </c>
      <c r="D74" s="148">
        <f>ROUND(C74*($D$76/$C$76),0)</f>
        <v>142</v>
      </c>
      <c r="E74" s="149">
        <f>$E$23</f>
        <v>1</v>
      </c>
      <c r="F74" s="20"/>
      <c r="G74" s="156">
        <f>ROUND(E74*$C74,0)</f>
        <v>132</v>
      </c>
      <c r="H74" s="156">
        <f>ROUND(E74*$D74,0)</f>
        <v>142</v>
      </c>
      <c r="I74" s="153">
        <f>$I$23</f>
        <v>1</v>
      </c>
      <c r="J74" s="20"/>
      <c r="K74" s="156">
        <f>ROUND(I74*$C74,0)</f>
        <v>132</v>
      </c>
      <c r="M74" s="162"/>
      <c r="N74" s="162"/>
      <c r="O74" s="165"/>
      <c r="P74" s="71"/>
      <c r="Q74" s="20"/>
      <c r="R74" s="162"/>
      <c r="S74" s="162"/>
      <c r="T74" s="162"/>
      <c r="U74" s="165"/>
      <c r="V74" s="165"/>
      <c r="W74" s="165"/>
      <c r="X74" s="165"/>
      <c r="Y74" s="20"/>
      <c r="Z74" s="20"/>
      <c r="AA74" s="20"/>
      <c r="AB74" s="20"/>
      <c r="AC74" s="20"/>
      <c r="AE74" s="81"/>
    </row>
    <row r="75" spans="1:31">
      <c r="A75" s="3" t="s">
        <v>350</v>
      </c>
      <c r="C75" s="148">
        <f>520+228</f>
        <v>748</v>
      </c>
      <c r="D75" s="148">
        <v>61.916666666666664</v>
      </c>
      <c r="E75" s="149"/>
      <c r="G75" s="2"/>
      <c r="H75" s="2"/>
      <c r="I75" s="149"/>
      <c r="K75" s="2"/>
      <c r="M75" s="162"/>
      <c r="N75" s="162"/>
      <c r="O75" s="162"/>
      <c r="P75" s="162"/>
      <c r="Q75" s="162"/>
      <c r="R75" s="162"/>
      <c r="S75" s="162"/>
      <c r="T75" s="162"/>
      <c r="U75" s="172"/>
      <c r="V75" s="162"/>
      <c r="W75" s="162"/>
      <c r="X75" s="162"/>
      <c r="Y75" s="20"/>
      <c r="Z75" s="20"/>
      <c r="AA75" s="20"/>
      <c r="AB75" s="20"/>
      <c r="AC75" s="20"/>
      <c r="AE75" s="81"/>
    </row>
    <row r="76" spans="1:31">
      <c r="A76" s="3" t="s">
        <v>35</v>
      </c>
      <c r="C76" s="148">
        <f>124900+31167</f>
        <v>156067</v>
      </c>
      <c r="D76" s="148">
        <v>167748.79783190461</v>
      </c>
      <c r="E76" s="153"/>
      <c r="F76" s="20"/>
      <c r="G76" s="156">
        <f>SUM(G67:G74)</f>
        <v>18725</v>
      </c>
      <c r="H76" s="156">
        <f>SUM(H67:H74)</f>
        <v>20159</v>
      </c>
      <c r="I76" s="153"/>
      <c r="J76" s="20"/>
      <c r="K76" s="156" t="e">
        <f>SUM(K67:K74)</f>
        <v>#REF!</v>
      </c>
      <c r="M76" s="162"/>
      <c r="N76" s="162"/>
      <c r="O76" s="171"/>
      <c r="P76" s="162"/>
      <c r="Q76" s="20"/>
      <c r="R76" s="20"/>
      <c r="S76" s="20"/>
      <c r="T76" s="162"/>
      <c r="U76" s="162"/>
      <c r="V76" s="162"/>
      <c r="W76" s="162"/>
      <c r="X76" s="162"/>
      <c r="Y76" s="20"/>
      <c r="Z76" s="20"/>
      <c r="AA76" s="20"/>
      <c r="AB76" s="20"/>
      <c r="AC76" s="20"/>
      <c r="AE76" s="81"/>
    </row>
    <row r="77" spans="1:31">
      <c r="A77" s="3" t="s">
        <v>351</v>
      </c>
      <c r="C77" s="148" t="e">
        <f>#REF!</f>
        <v>#REF!</v>
      </c>
      <c r="D77" s="148">
        <v>0</v>
      </c>
      <c r="E77" s="153"/>
      <c r="F77" s="20"/>
      <c r="G77" s="156" t="e">
        <f>#REF!</f>
        <v>#REF!</v>
      </c>
      <c r="H77" s="156">
        <v>0</v>
      </c>
      <c r="I77" s="153"/>
      <c r="J77" s="20"/>
      <c r="K77" s="156" t="e">
        <f>G77</f>
        <v>#REF!</v>
      </c>
      <c r="M77" s="328"/>
      <c r="N77" s="328"/>
      <c r="O77" s="171"/>
      <c r="P77" s="162"/>
      <c r="Q77" s="162"/>
      <c r="R77" s="167"/>
      <c r="S77" s="165"/>
      <c r="T77" s="162"/>
      <c r="U77" s="162"/>
      <c r="V77" s="162"/>
      <c r="W77" s="162"/>
      <c r="X77" s="162"/>
      <c r="Y77" s="20"/>
      <c r="Z77" s="20"/>
      <c r="AA77" s="20"/>
      <c r="AB77" s="20"/>
      <c r="AC77" s="20"/>
      <c r="AE77" s="81"/>
    </row>
    <row r="78" spans="1:31" ht="16.5" thickBot="1">
      <c r="A78" s="3" t="s">
        <v>9</v>
      </c>
      <c r="C78" s="157" t="e">
        <f>C76+C77</f>
        <v>#REF!</v>
      </c>
      <c r="D78" s="157">
        <f>SUM(D76:D77)</f>
        <v>167748.79783190461</v>
      </c>
      <c r="E78" s="158"/>
      <c r="F78" s="158"/>
      <c r="G78" s="158" t="e">
        <f>G76+G77</f>
        <v>#REF!</v>
      </c>
      <c r="H78" s="158">
        <f>H76+H77</f>
        <v>20159</v>
      </c>
      <c r="I78" s="158"/>
      <c r="J78" s="158"/>
      <c r="K78" s="158" t="e">
        <f>K76+K77</f>
        <v>#REF!</v>
      </c>
      <c r="M78" s="295"/>
      <c r="N78" s="295"/>
      <c r="O78" s="354"/>
      <c r="P78" s="162"/>
      <c r="Q78" s="162"/>
      <c r="R78" s="162"/>
      <c r="S78" s="162"/>
      <c r="T78" s="162"/>
      <c r="U78" s="162"/>
      <c r="V78" s="162"/>
      <c r="W78" s="162"/>
      <c r="X78" s="162"/>
      <c r="Y78" s="20"/>
      <c r="Z78" s="20"/>
      <c r="AA78" s="20"/>
      <c r="AB78" s="20"/>
      <c r="AC78" s="20"/>
      <c r="AE78" s="81"/>
    </row>
    <row r="79" spans="1:31" ht="16.5" thickTop="1">
      <c r="C79" s="159"/>
      <c r="D79" s="159"/>
      <c r="E79" s="159"/>
      <c r="F79" s="159"/>
      <c r="G79" s="147"/>
      <c r="H79" s="147"/>
      <c r="I79" s="1" t="s">
        <v>31</v>
      </c>
      <c r="J79" s="159"/>
      <c r="K79" s="2" t="s">
        <v>31</v>
      </c>
      <c r="M79" s="20"/>
      <c r="N79" s="20"/>
      <c r="O79" s="71"/>
      <c r="P79" s="71"/>
      <c r="Q79" s="20"/>
      <c r="R79" s="20"/>
      <c r="S79" s="20"/>
      <c r="T79" s="20"/>
      <c r="U79" s="20"/>
      <c r="V79" s="20"/>
      <c r="W79" s="20"/>
      <c r="X79" s="20"/>
      <c r="Y79" s="20"/>
      <c r="Z79" s="20"/>
      <c r="AA79" s="20"/>
      <c r="AB79" s="20"/>
      <c r="AC79" s="20"/>
      <c r="AE79" s="81"/>
    </row>
    <row r="80" spans="1:31">
      <c r="A80" s="177" t="s">
        <v>356</v>
      </c>
      <c r="B80" s="1"/>
      <c r="C80" s="1"/>
      <c r="D80" s="1"/>
      <c r="E80" s="21"/>
      <c r="F80" s="21"/>
      <c r="G80" s="1"/>
      <c r="H80" s="1"/>
      <c r="I80" s="21"/>
      <c r="J80" s="1"/>
      <c r="K80" s="1"/>
      <c r="M80" s="20"/>
      <c r="N80" s="20"/>
      <c r="O80" s="71"/>
      <c r="P80" s="71"/>
      <c r="Q80" s="20"/>
      <c r="R80" s="20"/>
      <c r="S80" s="20"/>
      <c r="T80" s="20"/>
      <c r="U80" s="20"/>
      <c r="V80" s="20"/>
      <c r="W80" s="20"/>
      <c r="X80" s="20"/>
      <c r="Y80" s="20"/>
      <c r="Z80" s="20"/>
      <c r="AA80" s="20"/>
      <c r="AB80" s="20"/>
      <c r="AC80" s="20"/>
      <c r="AE80" s="81"/>
    </row>
    <row r="81" spans="1:31">
      <c r="A81" s="1" t="s">
        <v>357</v>
      </c>
      <c r="B81" s="1"/>
      <c r="C81" s="1"/>
      <c r="D81" s="1"/>
      <c r="E81" s="21"/>
      <c r="F81" s="21"/>
      <c r="G81" s="1"/>
      <c r="H81" s="1"/>
      <c r="I81" s="21"/>
      <c r="J81" s="1"/>
      <c r="K81" s="1"/>
      <c r="M81" s="355"/>
      <c r="N81" s="355"/>
      <c r="O81" s="71"/>
      <c r="P81" s="71"/>
      <c r="Q81" s="20"/>
      <c r="R81" s="20"/>
      <c r="S81" s="20"/>
      <c r="T81" s="20"/>
      <c r="U81" s="20"/>
      <c r="V81" s="20"/>
      <c r="W81" s="20"/>
      <c r="X81" s="20"/>
      <c r="Y81" s="20"/>
      <c r="Z81" s="20"/>
      <c r="AA81" s="20"/>
      <c r="AB81" s="20"/>
      <c r="AC81" s="20"/>
      <c r="AE81" s="81"/>
    </row>
    <row r="82" spans="1:31">
      <c r="A82" s="181"/>
      <c r="B82" s="1"/>
      <c r="C82" s="1"/>
      <c r="D82" s="1"/>
      <c r="E82" s="21"/>
      <c r="F82" s="21"/>
      <c r="G82" s="1"/>
      <c r="H82" s="1"/>
      <c r="I82" s="21"/>
      <c r="J82" s="1"/>
      <c r="K82" s="1"/>
      <c r="M82" s="20"/>
      <c r="N82" s="20"/>
      <c r="O82" s="71"/>
      <c r="P82" s="71"/>
      <c r="Q82" s="20"/>
      <c r="R82" s="20"/>
      <c r="S82" s="20"/>
      <c r="T82" s="20"/>
      <c r="U82" s="20"/>
      <c r="V82" s="20"/>
      <c r="W82" s="20"/>
      <c r="X82" s="20"/>
      <c r="Y82" s="20"/>
      <c r="Z82" s="20"/>
      <c r="AA82" s="20"/>
      <c r="AB82" s="20"/>
      <c r="AC82" s="20"/>
      <c r="AE82" s="81"/>
    </row>
    <row r="83" spans="1:31">
      <c r="A83" s="1" t="s">
        <v>358</v>
      </c>
      <c r="B83" s="1"/>
      <c r="C83" s="21">
        <f t="shared" ref="C83:D90" si="4">C96+C109+C122+C135</f>
        <v>1229595</v>
      </c>
      <c r="D83" s="21">
        <f t="shared" si="4"/>
        <v>1221387</v>
      </c>
      <c r="E83" s="182">
        <v>6</v>
      </c>
      <c r="F83" s="1"/>
      <c r="G83" s="2">
        <f t="shared" ref="G83:H90" si="5">G96+G109+G122+G135</f>
        <v>7377570</v>
      </c>
      <c r="H83" s="2">
        <f t="shared" si="5"/>
        <v>7328322</v>
      </c>
      <c r="I83" s="182">
        <v>6.75</v>
      </c>
      <c r="J83" s="1"/>
      <c r="K83" s="2">
        <f t="shared" ref="K83:K89" si="6">K96+K109+K122+K135</f>
        <v>8299768</v>
      </c>
      <c r="M83" s="81">
        <f>I83*D83</f>
        <v>8244362.25</v>
      </c>
      <c r="O83" s="14">
        <f t="shared" ref="O83:O88" si="7">(I83-E83)/E83</f>
        <v>0.125</v>
      </c>
      <c r="T83" s="3" t="s">
        <v>359</v>
      </c>
      <c r="U83" s="3" t="s">
        <v>295</v>
      </c>
      <c r="V83" s="3" t="s">
        <v>360</v>
      </c>
      <c r="W83" s="3" t="s">
        <v>304</v>
      </c>
      <c r="X83" s="20"/>
      <c r="Y83" s="20"/>
      <c r="Z83" s="20"/>
      <c r="AA83" s="20"/>
      <c r="AB83" s="20"/>
      <c r="AC83" s="20"/>
      <c r="AE83" s="81"/>
    </row>
    <row r="84" spans="1:31">
      <c r="A84" s="1" t="s">
        <v>361</v>
      </c>
      <c r="B84" s="1"/>
      <c r="C84" s="21" t="e">
        <f t="shared" si="4"/>
        <v>#REF!</v>
      </c>
      <c r="D84" s="21">
        <f t="shared" si="4"/>
        <v>670554218.28816807</v>
      </c>
      <c r="E84" s="183">
        <v>4.9139999999999997</v>
      </c>
      <c r="F84" s="1" t="s">
        <v>362</v>
      </c>
      <c r="G84" s="2" t="e">
        <f t="shared" si="5"/>
        <v>#REF!</v>
      </c>
      <c r="H84" s="2">
        <f t="shared" si="5"/>
        <v>32951033</v>
      </c>
      <c r="I84" s="183">
        <v>5.4039999999999999</v>
      </c>
      <c r="J84" s="1" t="s">
        <v>362</v>
      </c>
      <c r="K84" s="2" t="e">
        <f t="shared" si="6"/>
        <v>#REF!</v>
      </c>
      <c r="M84" s="81">
        <f>(I84/100)*D84</f>
        <v>36236749.956292599</v>
      </c>
      <c r="O84" s="14">
        <f t="shared" si="7"/>
        <v>9.9715099715099759E-2</v>
      </c>
      <c r="Q84" s="128">
        <f>(E85-E84)/E84</f>
        <v>0.57733007733007746</v>
      </c>
      <c r="S84" s="3" t="s">
        <v>20</v>
      </c>
      <c r="T84" s="81">
        <f>H83</f>
        <v>7328322</v>
      </c>
      <c r="U84" s="81">
        <f>K83</f>
        <v>8299768</v>
      </c>
      <c r="V84" s="103">
        <v>10560201.731189568</v>
      </c>
      <c r="W84" s="128">
        <f>U84/V84</f>
        <v>0.78594786456461585</v>
      </c>
      <c r="X84" s="20"/>
      <c r="Y84" s="20"/>
      <c r="Z84" s="20"/>
      <c r="AA84" s="20"/>
      <c r="AB84" s="20"/>
      <c r="AC84" s="20"/>
      <c r="AE84" s="81"/>
    </row>
    <row r="85" spans="1:31">
      <c r="A85" s="1" t="s">
        <v>363</v>
      </c>
      <c r="B85" s="1"/>
      <c r="C85" s="21" t="e">
        <f t="shared" si="4"/>
        <v>#REF!</v>
      </c>
      <c r="D85" s="21">
        <f t="shared" si="4"/>
        <v>958583102.59308743</v>
      </c>
      <c r="E85" s="183">
        <v>7.7510000000000003</v>
      </c>
      <c r="F85" s="1" t="s">
        <v>362</v>
      </c>
      <c r="G85" s="2" t="e">
        <f t="shared" si="5"/>
        <v>#REF!</v>
      </c>
      <c r="H85" s="2">
        <f t="shared" si="5"/>
        <v>74299776</v>
      </c>
      <c r="I85" s="183">
        <f>ROUND((E85/E84*I84),3)-0.003</f>
        <v>8.520999999999999</v>
      </c>
      <c r="J85" s="1" t="s">
        <v>362</v>
      </c>
      <c r="K85" s="2" t="e">
        <f t="shared" si="6"/>
        <v>#REF!</v>
      </c>
      <c r="M85" s="81">
        <f>(I85/100)*D85</f>
        <v>81680866.171956971</v>
      </c>
      <c r="N85" s="184"/>
      <c r="O85" s="14">
        <f t="shared" si="7"/>
        <v>9.9342020384466351E-2</v>
      </c>
      <c r="Q85" s="128">
        <f>(I85-I84)/I84</f>
        <v>0.57679496669133956</v>
      </c>
      <c r="S85" s="3" t="s">
        <v>364</v>
      </c>
      <c r="T85" s="103">
        <f>E84*(D84+D85)/100</f>
        <v>80055807.948104903</v>
      </c>
      <c r="U85" s="103">
        <f>I84*(D84+D85)/100</f>
        <v>88038580.820423052</v>
      </c>
      <c r="V85" s="103">
        <v>74901422.706720337</v>
      </c>
      <c r="W85" s="128">
        <f>U85/V85</f>
        <v>1.1753926379361552</v>
      </c>
      <c r="X85" s="20"/>
      <c r="Y85" s="20"/>
      <c r="Z85" s="20"/>
      <c r="AA85" s="20"/>
      <c r="AB85" s="20"/>
      <c r="AC85" s="20"/>
      <c r="AE85" s="81"/>
    </row>
    <row r="86" spans="1:31">
      <c r="A86" s="1" t="s">
        <v>365</v>
      </c>
      <c r="B86" s="1"/>
      <c r="C86" s="21">
        <f t="shared" si="4"/>
        <v>5923</v>
      </c>
      <c r="D86" s="21">
        <f t="shared" si="4"/>
        <v>6971.808259255954</v>
      </c>
      <c r="E86" s="185">
        <v>1.55</v>
      </c>
      <c r="F86" s="1"/>
      <c r="G86" s="2">
        <f t="shared" si="5"/>
        <v>9181</v>
      </c>
      <c r="H86" s="2">
        <f t="shared" si="5"/>
        <v>10806</v>
      </c>
      <c r="I86" s="185">
        <v>1.65</v>
      </c>
      <c r="J86" s="1"/>
      <c r="K86" s="2">
        <f t="shared" si="6"/>
        <v>9773</v>
      </c>
      <c r="M86" s="81">
        <f>I86*D86</f>
        <v>11503.483627772324</v>
      </c>
      <c r="O86" s="14">
        <f t="shared" si="7"/>
        <v>6.4516129032257979E-2</v>
      </c>
      <c r="S86" s="3" t="s">
        <v>366</v>
      </c>
      <c r="T86" s="81">
        <f>H84+H85-T85</f>
        <v>27195001.051895097</v>
      </c>
      <c r="U86" s="81" t="e">
        <f>K84+K85-U85</f>
        <v>#REF!</v>
      </c>
      <c r="V86" s="103">
        <v>33130328.65840701</v>
      </c>
      <c r="W86" s="128" t="e">
        <f>U86/V86</f>
        <v>#REF!</v>
      </c>
      <c r="X86" s="20"/>
      <c r="Y86" s="20"/>
      <c r="Z86" s="20"/>
      <c r="AA86" s="20"/>
      <c r="AB86" s="20"/>
      <c r="AC86" s="20"/>
      <c r="AE86" s="81"/>
    </row>
    <row r="87" spans="1:31">
      <c r="A87" s="187" t="s">
        <v>367</v>
      </c>
      <c r="B87" s="187"/>
      <c r="C87" s="21">
        <f t="shared" si="4"/>
        <v>979</v>
      </c>
      <c r="D87" s="21">
        <f t="shared" si="4"/>
        <v>1152.184035507054</v>
      </c>
      <c r="E87" s="185">
        <v>3</v>
      </c>
      <c r="F87" s="187"/>
      <c r="G87" s="2">
        <f t="shared" si="5"/>
        <v>2937</v>
      </c>
      <c r="H87" s="2">
        <f t="shared" si="5"/>
        <v>3457</v>
      </c>
      <c r="I87" s="185">
        <f>ROUND(I86/E86*E87,2)+0.01</f>
        <v>3.1999999999999997</v>
      </c>
      <c r="J87" s="187"/>
      <c r="K87" s="2">
        <f t="shared" si="6"/>
        <v>3132</v>
      </c>
      <c r="M87" s="81">
        <f>I87*D87</f>
        <v>3686.9889136225725</v>
      </c>
      <c r="O87" s="14">
        <f t="shared" si="7"/>
        <v>6.6666666666666582E-2</v>
      </c>
      <c r="X87" s="20"/>
      <c r="Y87" s="20"/>
      <c r="Z87" s="20"/>
      <c r="AA87" s="20"/>
      <c r="AB87" s="20"/>
      <c r="AC87" s="20"/>
      <c r="AE87" s="81"/>
    </row>
    <row r="88" spans="1:31">
      <c r="A88" s="187" t="s">
        <v>368</v>
      </c>
      <c r="B88" s="187"/>
      <c r="C88" s="21">
        <f t="shared" si="4"/>
        <v>70</v>
      </c>
      <c r="D88" s="21">
        <f t="shared" si="4"/>
        <v>82.551683985472636</v>
      </c>
      <c r="E88" s="188">
        <v>-1.55</v>
      </c>
      <c r="F88" s="187"/>
      <c r="G88" s="2">
        <f t="shared" si="5"/>
        <v>-108</v>
      </c>
      <c r="H88" s="2">
        <f t="shared" si="5"/>
        <v>-128</v>
      </c>
      <c r="I88" s="188">
        <f>-I86</f>
        <v>-1.65</v>
      </c>
      <c r="J88" s="187"/>
      <c r="K88" s="2">
        <f t="shared" si="6"/>
        <v>-115</v>
      </c>
      <c r="M88" s="81">
        <f>I88*D88</f>
        <v>-136.21027857602985</v>
      </c>
      <c r="O88" s="14">
        <f t="shared" si="7"/>
        <v>6.4516129032257979E-2</v>
      </c>
      <c r="X88" s="20"/>
      <c r="Y88" s="20"/>
      <c r="Z88" s="20"/>
      <c r="AA88" s="20"/>
      <c r="AB88" s="20"/>
      <c r="AC88" s="20"/>
      <c r="AE88" s="81"/>
    </row>
    <row r="89" spans="1:31">
      <c r="A89" s="1" t="s">
        <v>369</v>
      </c>
      <c r="B89" s="189"/>
      <c r="C89" s="21" t="e">
        <f t="shared" si="4"/>
        <v>#REF!</v>
      </c>
      <c r="D89" s="21">
        <f t="shared" si="4"/>
        <v>1629137320.8812554</v>
      </c>
      <c r="E89" s="190"/>
      <c r="F89" s="2"/>
      <c r="G89" s="2" t="e">
        <f t="shared" si="5"/>
        <v>#REF!</v>
      </c>
      <c r="H89" s="2">
        <f t="shared" si="5"/>
        <v>114593266</v>
      </c>
      <c r="I89" s="2"/>
      <c r="J89" s="2"/>
      <c r="K89" s="2" t="e">
        <f t="shared" si="6"/>
        <v>#REF!</v>
      </c>
      <c r="M89" s="81">
        <f>SUM(M83:M88)</f>
        <v>126177032.64051239</v>
      </c>
      <c r="O89" s="14"/>
      <c r="X89" s="20"/>
      <c r="Y89" s="20"/>
      <c r="Z89" s="20"/>
      <c r="AA89" s="20"/>
      <c r="AB89" s="20"/>
      <c r="AC89" s="20"/>
      <c r="AE89" s="81"/>
    </row>
    <row r="90" spans="1:31">
      <c r="A90" s="1" t="s">
        <v>351</v>
      </c>
      <c r="B90" s="191"/>
      <c r="C90" s="192" t="e">
        <f t="shared" si="4"/>
        <v>#REF!</v>
      </c>
      <c r="D90" s="192">
        <f t="shared" si="4"/>
        <v>0</v>
      </c>
      <c r="E90" s="193"/>
      <c r="F90" s="193"/>
      <c r="G90" s="194" t="e">
        <f t="shared" si="5"/>
        <v>#REF!</v>
      </c>
      <c r="H90" s="194">
        <f t="shared" si="5"/>
        <v>0</v>
      </c>
      <c r="I90" s="193"/>
      <c r="J90" s="193"/>
      <c r="K90" s="194" t="e">
        <f>G90</f>
        <v>#REF!</v>
      </c>
      <c r="X90" s="20"/>
      <c r="Y90" s="20"/>
      <c r="Z90" s="20"/>
      <c r="AA90" s="20"/>
      <c r="AB90" s="20"/>
      <c r="AC90" s="20"/>
      <c r="AE90" s="81"/>
    </row>
    <row r="91" spans="1:31" ht="16.5" thickBot="1">
      <c r="A91" s="1" t="s">
        <v>370</v>
      </c>
      <c r="B91" s="1"/>
      <c r="C91" s="195" t="e">
        <f>C89+C90</f>
        <v>#REF!</v>
      </c>
      <c r="D91" s="195">
        <f>D84+D85+D90</f>
        <v>1629137320.8812556</v>
      </c>
      <c r="E91" s="196"/>
      <c r="F91" s="196"/>
      <c r="G91" s="196" t="e">
        <f>G89+G90</f>
        <v>#REF!</v>
      </c>
      <c r="H91" s="196">
        <f>H89+H90</f>
        <v>114593266</v>
      </c>
      <c r="I91" s="196"/>
      <c r="J91" s="196"/>
      <c r="K91" s="196" t="e">
        <f>K89+K90</f>
        <v>#REF!</v>
      </c>
      <c r="N91" s="3" t="s">
        <v>352</v>
      </c>
      <c r="O91" s="66" t="e">
        <f>#REF!*1000</f>
        <v>#REF!</v>
      </c>
      <c r="X91" s="20"/>
      <c r="Y91" s="20"/>
      <c r="Z91" s="20"/>
      <c r="AA91" s="20"/>
      <c r="AB91" s="20"/>
      <c r="AC91" s="20"/>
      <c r="AE91" s="81"/>
    </row>
    <row r="92" spans="1:31" ht="16.5" thickTop="1">
      <c r="A92" s="1"/>
      <c r="B92" s="197"/>
      <c r="C92" s="21"/>
      <c r="D92" s="21"/>
      <c r="E92" s="21"/>
      <c r="F92" s="21"/>
      <c r="I92" s="1" t="s">
        <v>31</v>
      </c>
      <c r="J92" s="1"/>
      <c r="K92" s="2" t="s">
        <v>31</v>
      </c>
      <c r="N92" s="3" t="s">
        <v>256</v>
      </c>
      <c r="O92" s="66" t="e">
        <f>O91-K91</f>
        <v>#REF!</v>
      </c>
      <c r="P92" s="198" t="e">
        <f>(O91-K91)/K91</f>
        <v>#REF!</v>
      </c>
      <c r="X92" s="20"/>
      <c r="Y92" s="20"/>
      <c r="Z92" s="20"/>
      <c r="AA92" s="20"/>
      <c r="AB92" s="20"/>
      <c r="AC92" s="20"/>
      <c r="AE92" s="81"/>
    </row>
    <row r="93" spans="1:31">
      <c r="A93" s="177" t="s">
        <v>371</v>
      </c>
      <c r="B93" s="1"/>
      <c r="C93" s="1" t="s">
        <v>31</v>
      </c>
      <c r="D93" s="1"/>
      <c r="E93" s="21"/>
      <c r="F93" s="21"/>
      <c r="G93" s="1"/>
      <c r="H93" s="1"/>
      <c r="I93" s="21"/>
      <c r="J93" s="1"/>
      <c r="K93" s="1"/>
      <c r="M93" s="20"/>
      <c r="N93" s="20"/>
      <c r="O93" s="129"/>
      <c r="P93" s="71"/>
      <c r="Q93" s="20"/>
      <c r="R93" s="20"/>
      <c r="S93" s="20"/>
      <c r="T93" s="20"/>
      <c r="U93" s="20"/>
      <c r="V93" s="20"/>
      <c r="W93" s="20"/>
      <c r="X93" s="20"/>
      <c r="Y93" s="20"/>
      <c r="Z93" s="20"/>
      <c r="AA93" s="20"/>
      <c r="AB93" s="20"/>
      <c r="AC93" s="20"/>
      <c r="AE93" s="81"/>
    </row>
    <row r="94" spans="1:31">
      <c r="A94" s="1" t="s">
        <v>318</v>
      </c>
      <c r="B94" s="1"/>
      <c r="C94" s="1"/>
      <c r="D94" s="21"/>
      <c r="E94" s="21"/>
      <c r="F94" s="21"/>
      <c r="G94" s="1"/>
      <c r="H94" s="1"/>
      <c r="I94" s="21"/>
      <c r="J94" s="1"/>
      <c r="K94" s="1"/>
      <c r="M94" s="20"/>
      <c r="N94" s="20"/>
      <c r="O94" s="71"/>
      <c r="P94" s="71"/>
      <c r="Q94" s="20"/>
      <c r="R94" s="20"/>
      <c r="S94" s="20"/>
      <c r="T94" s="20"/>
      <c r="U94" s="20"/>
      <c r="V94" s="20"/>
      <c r="W94" s="20"/>
      <c r="X94" s="20"/>
      <c r="Y94" s="20"/>
      <c r="Z94" s="20"/>
      <c r="AA94" s="20"/>
      <c r="AB94" s="20"/>
      <c r="AC94" s="20"/>
      <c r="AE94" s="81"/>
    </row>
    <row r="95" spans="1:31">
      <c r="A95" s="181"/>
      <c r="B95" s="1"/>
      <c r="C95" s="1"/>
      <c r="D95" s="1"/>
      <c r="E95" s="21"/>
      <c r="F95" s="21"/>
      <c r="G95" s="1"/>
      <c r="H95" s="1"/>
      <c r="I95" s="21"/>
      <c r="J95" s="1"/>
      <c r="K95" s="1"/>
      <c r="M95" s="20"/>
      <c r="N95" s="20"/>
      <c r="O95" s="71"/>
      <c r="P95" s="71"/>
      <c r="Q95" s="20"/>
      <c r="R95" s="20"/>
      <c r="S95" s="20"/>
      <c r="T95" s="20"/>
      <c r="U95" s="20"/>
      <c r="V95" s="20"/>
      <c r="W95" s="20"/>
      <c r="X95" s="20"/>
      <c r="Y95" s="20"/>
      <c r="Z95" s="20"/>
      <c r="AA95" s="20"/>
      <c r="AB95" s="20"/>
      <c r="AC95" s="20"/>
      <c r="AE95" s="81"/>
    </row>
    <row r="96" spans="1:31">
      <c r="A96" s="1" t="s">
        <v>358</v>
      </c>
      <c r="B96" s="1"/>
      <c r="C96" s="21">
        <f>1191112+6</f>
        <v>1191118</v>
      </c>
      <c r="D96" s="21">
        <f>1191112+6</f>
        <v>1191118</v>
      </c>
      <c r="E96" s="182">
        <f>$E$83</f>
        <v>6</v>
      </c>
      <c r="F96" s="1"/>
      <c r="G96" s="2">
        <f>ROUND(E96*$C96,0)</f>
        <v>7146708</v>
      </c>
      <c r="H96" s="2">
        <f>ROUND(E96*$D96,0)</f>
        <v>7146708</v>
      </c>
      <c r="I96" s="182">
        <f>$I$83</f>
        <v>6.75</v>
      </c>
      <c r="J96" s="1"/>
      <c r="K96" s="2">
        <f>ROUND(I96*$C96,0)</f>
        <v>8040047</v>
      </c>
      <c r="M96" s="20"/>
      <c r="N96" s="20"/>
      <c r="O96" s="71"/>
      <c r="P96" s="71"/>
      <c r="Q96" s="20"/>
      <c r="R96" s="20"/>
      <c r="S96" s="20"/>
      <c r="T96" s="20"/>
      <c r="U96" s="20"/>
      <c r="V96" s="20"/>
      <c r="W96" s="20"/>
      <c r="X96" s="20"/>
      <c r="Y96" s="20"/>
      <c r="Z96" s="20"/>
      <c r="AA96" s="20"/>
      <c r="AB96" s="20"/>
      <c r="AC96" s="20"/>
      <c r="AE96" s="81"/>
    </row>
    <row r="97" spans="1:31">
      <c r="A97" s="1" t="s">
        <v>361</v>
      </c>
      <c r="B97" s="1"/>
      <c r="C97" s="21" t="e">
        <f>652855208+600+#REF!*1000</f>
        <v>#REF!</v>
      </c>
      <c r="D97" s="21">
        <f>652855208+600</f>
        <v>652855808</v>
      </c>
      <c r="E97" s="183">
        <f>$E$84</f>
        <v>4.9139999999999997</v>
      </c>
      <c r="F97" s="1" t="s">
        <v>362</v>
      </c>
      <c r="G97" s="2" t="e">
        <f>ROUND(E97*$C97/100,0)</f>
        <v>#REF!</v>
      </c>
      <c r="H97" s="2">
        <f>ROUND(E97*$D97/100,0)</f>
        <v>32081334</v>
      </c>
      <c r="I97" s="183">
        <f>$I$84</f>
        <v>5.4039999999999999</v>
      </c>
      <c r="J97" s="1" t="s">
        <v>362</v>
      </c>
      <c r="K97" s="2" t="e">
        <f>ROUND(I97*$C97/100,0)</f>
        <v>#REF!</v>
      </c>
      <c r="M97" s="20"/>
      <c r="N97" s="20"/>
      <c r="O97" s="71"/>
      <c r="P97" s="71"/>
      <c r="Q97" s="20"/>
      <c r="R97" s="20"/>
      <c r="S97" s="20"/>
      <c r="T97" s="20"/>
      <c r="U97" s="20"/>
      <c r="V97" s="20"/>
      <c r="W97" s="20"/>
      <c r="X97" s="20"/>
      <c r="Y97" s="20"/>
      <c r="Z97" s="20"/>
      <c r="AA97" s="20"/>
      <c r="AB97" s="20"/>
      <c r="AC97" s="20"/>
      <c r="AE97" s="81"/>
    </row>
    <row r="98" spans="1:31">
      <c r="A98" s="1" t="s">
        <v>363</v>
      </c>
      <c r="B98" s="21"/>
      <c r="C98" s="21" t="e">
        <f>1582245854+1297-C97+#REF!*1000</f>
        <v>#REF!</v>
      </c>
      <c r="D98" s="21">
        <f>1582245854+1297-D97</f>
        <v>929391343</v>
      </c>
      <c r="E98" s="183">
        <f>$E$85</f>
        <v>7.7510000000000003</v>
      </c>
      <c r="F98" s="1" t="s">
        <v>362</v>
      </c>
      <c r="G98" s="2" t="e">
        <f>ROUND(E98*$C98/100,0)</f>
        <v>#REF!</v>
      </c>
      <c r="H98" s="2">
        <f>ROUND(E98*$D98/100,0)</f>
        <v>72037123</v>
      </c>
      <c r="I98" s="183">
        <f>$I$85</f>
        <v>8.520999999999999</v>
      </c>
      <c r="J98" s="1" t="s">
        <v>362</v>
      </c>
      <c r="K98" s="2" t="e">
        <f>ROUND(I98*$C98/100,0)</f>
        <v>#REF!</v>
      </c>
      <c r="M98" s="20"/>
      <c r="N98" s="20"/>
      <c r="O98" s="71"/>
      <c r="P98" s="71"/>
      <c r="Q98" s="20"/>
      <c r="R98" s="20"/>
      <c r="S98" s="20"/>
      <c r="T98" s="20"/>
      <c r="U98" s="20"/>
      <c r="V98" s="20"/>
      <c r="W98" s="20"/>
      <c r="X98" s="20"/>
      <c r="Y98" s="20"/>
      <c r="Z98" s="20"/>
      <c r="AA98" s="20"/>
      <c r="AB98" s="20"/>
      <c r="AC98" s="20"/>
      <c r="AE98" s="81"/>
    </row>
    <row r="99" spans="1:31">
      <c r="A99" s="1" t="s">
        <v>365</v>
      </c>
      <c r="B99" s="1"/>
      <c r="C99" s="21">
        <v>0</v>
      </c>
      <c r="D99" s="21">
        <v>0</v>
      </c>
      <c r="E99" s="185">
        <f>$E$86</f>
        <v>1.55</v>
      </c>
      <c r="F99" s="1"/>
      <c r="G99" s="2">
        <f>ROUND(E99*$C99,0)</f>
        <v>0</v>
      </c>
      <c r="H99" s="2">
        <v>0</v>
      </c>
      <c r="I99" s="185">
        <f>$I$86</f>
        <v>1.65</v>
      </c>
      <c r="J99" s="1"/>
      <c r="K99" s="2">
        <f>ROUND(I99*$C99,0)</f>
        <v>0</v>
      </c>
      <c r="M99" s="20"/>
      <c r="N99" s="20"/>
      <c r="O99" s="71"/>
      <c r="P99" s="71"/>
      <c r="Q99" s="20"/>
      <c r="R99" s="20"/>
      <c r="S99" s="20"/>
      <c r="T99" s="20"/>
      <c r="U99" s="20"/>
      <c r="V99" s="20"/>
      <c r="W99" s="20"/>
      <c r="X99" s="20"/>
      <c r="Y99" s="20"/>
      <c r="Z99" s="20"/>
      <c r="AA99" s="20"/>
      <c r="AB99" s="20"/>
      <c r="AC99" s="20"/>
      <c r="AE99" s="81"/>
    </row>
    <row r="100" spans="1:31">
      <c r="A100" s="187" t="s">
        <v>367</v>
      </c>
      <c r="B100" s="187"/>
      <c r="C100" s="21">
        <v>0</v>
      </c>
      <c r="D100" s="21">
        <v>0</v>
      </c>
      <c r="E100" s="185">
        <f>$E$87</f>
        <v>3</v>
      </c>
      <c r="F100" s="187"/>
      <c r="G100" s="2">
        <f>ROUND(E100*$C100,0)</f>
        <v>0</v>
      </c>
      <c r="H100" s="2">
        <v>0</v>
      </c>
      <c r="I100" s="185">
        <f>$I$87</f>
        <v>3.1999999999999997</v>
      </c>
      <c r="J100" s="187"/>
      <c r="K100" s="2">
        <f>ROUND(I100*$C100,0)</f>
        <v>0</v>
      </c>
      <c r="M100" s="20"/>
      <c r="N100" s="20"/>
      <c r="O100" s="71"/>
      <c r="P100" s="71"/>
      <c r="Q100" s="20"/>
      <c r="R100" s="20"/>
      <c r="S100" s="20"/>
      <c r="T100" s="20"/>
      <c r="U100" s="20"/>
      <c r="V100" s="20"/>
      <c r="W100" s="20"/>
      <c r="X100" s="20"/>
      <c r="Y100" s="20"/>
      <c r="Z100" s="20"/>
      <c r="AA100" s="20"/>
      <c r="AB100" s="20"/>
      <c r="AC100" s="20"/>
      <c r="AE100" s="81"/>
    </row>
    <row r="101" spans="1:31">
      <c r="A101" s="187" t="s">
        <v>368</v>
      </c>
      <c r="B101" s="187"/>
      <c r="C101" s="21">
        <v>0</v>
      </c>
      <c r="D101" s="21">
        <v>0</v>
      </c>
      <c r="E101" s="188">
        <f>-E99</f>
        <v>-1.55</v>
      </c>
      <c r="F101" s="187"/>
      <c r="G101" s="2">
        <f>ROUND(E101*$C101,0)</f>
        <v>0</v>
      </c>
      <c r="H101" s="2">
        <v>0</v>
      </c>
      <c r="I101" s="188">
        <f>-I99</f>
        <v>-1.65</v>
      </c>
      <c r="J101" s="187"/>
      <c r="K101" s="2">
        <f>ROUND(I101*$C101,0)</f>
        <v>0</v>
      </c>
      <c r="M101" s="20"/>
      <c r="N101" s="20"/>
      <c r="O101" s="71"/>
      <c r="P101" s="71"/>
      <c r="Q101" s="20"/>
      <c r="R101" s="20"/>
      <c r="S101" s="20"/>
      <c r="T101" s="20"/>
      <c r="U101" s="20"/>
      <c r="V101" s="20"/>
      <c r="W101" s="20"/>
      <c r="X101" s="20"/>
      <c r="Y101" s="20"/>
      <c r="Z101" s="20"/>
      <c r="AA101" s="20"/>
      <c r="AB101" s="20"/>
      <c r="AC101" s="20"/>
      <c r="AE101" s="81"/>
    </row>
    <row r="102" spans="1:31">
      <c r="A102" s="1" t="s">
        <v>369</v>
      </c>
      <c r="B102" s="189"/>
      <c r="C102" s="21" t="e">
        <f>SUM(C97:C98)</f>
        <v>#REF!</v>
      </c>
      <c r="D102" s="21">
        <f>SUM(D97:D98)</f>
        <v>1582247151</v>
      </c>
      <c r="E102" s="190"/>
      <c r="F102" s="2"/>
      <c r="G102" s="2" t="e">
        <f>SUM(G96:G101)</f>
        <v>#REF!</v>
      </c>
      <c r="H102" s="2">
        <f>SUM(H96:H101)</f>
        <v>111265165</v>
      </c>
      <c r="I102" s="2"/>
      <c r="J102" s="2"/>
      <c r="K102" s="2" t="e">
        <f>SUM(K96:K101)</f>
        <v>#REF!</v>
      </c>
      <c r="M102" s="20"/>
      <c r="N102" s="20"/>
      <c r="O102" s="50"/>
      <c r="P102" s="71"/>
      <c r="Q102" s="20"/>
      <c r="R102" s="20"/>
      <c r="S102" s="20"/>
      <c r="T102" s="20"/>
      <c r="U102" s="20"/>
      <c r="V102" s="20"/>
      <c r="W102" s="20"/>
      <c r="X102" s="20"/>
      <c r="Y102" s="20"/>
      <c r="Z102" s="20"/>
      <c r="AA102" s="20"/>
      <c r="AB102" s="20"/>
      <c r="AC102" s="20"/>
      <c r="AE102" s="81"/>
    </row>
    <row r="103" spans="1:31">
      <c r="A103" s="1" t="s">
        <v>351</v>
      </c>
      <c r="B103" s="191"/>
      <c r="C103" s="201" t="e">
        <f>#REF!</f>
        <v>#REF!</v>
      </c>
      <c r="D103" s="192">
        <v>0</v>
      </c>
      <c r="E103" s="193"/>
      <c r="F103" s="193"/>
      <c r="G103" s="194" t="e">
        <f>#REF!</f>
        <v>#REF!</v>
      </c>
      <c r="H103" s="192">
        <v>0</v>
      </c>
      <c r="I103" s="193"/>
      <c r="J103" s="193"/>
      <c r="K103" s="194" t="e">
        <f>G103</f>
        <v>#REF!</v>
      </c>
      <c r="M103" s="328"/>
      <c r="N103" s="328"/>
      <c r="O103" s="171"/>
      <c r="P103" s="71"/>
      <c r="Q103" s="20"/>
      <c r="R103" s="20"/>
      <c r="S103" s="20"/>
      <c r="T103" s="20"/>
      <c r="U103" s="20"/>
      <c r="V103" s="20"/>
      <c r="W103" s="20"/>
      <c r="X103" s="20"/>
      <c r="Y103" s="20"/>
      <c r="Z103" s="20"/>
      <c r="AA103" s="20"/>
      <c r="AB103" s="20"/>
      <c r="AC103" s="20"/>
      <c r="AE103" s="81"/>
    </row>
    <row r="104" spans="1:31" ht="16.5" thickBot="1">
      <c r="A104" s="1" t="s">
        <v>370</v>
      </c>
      <c r="B104" s="1"/>
      <c r="C104" s="195" t="e">
        <f>C102+C103</f>
        <v>#REF!</v>
      </c>
      <c r="D104" s="195">
        <f>SUM(D102:D103)</f>
        <v>1582247151</v>
      </c>
      <c r="E104" s="196"/>
      <c r="F104" s="196"/>
      <c r="G104" s="196" t="e">
        <f>G102+G103</f>
        <v>#REF!</v>
      </c>
      <c r="H104" s="202">
        <f>SUM(H102:H103)</f>
        <v>111265165</v>
      </c>
      <c r="I104" s="196"/>
      <c r="J104" s="196"/>
      <c r="K104" s="196" t="e">
        <f>K102+K103</f>
        <v>#REF!</v>
      </c>
      <c r="M104" s="295"/>
      <c r="N104" s="295"/>
      <c r="O104" s="354"/>
      <c r="P104" s="71"/>
      <c r="Q104" s="20"/>
      <c r="R104" s="20"/>
      <c r="S104" s="20"/>
      <c r="T104" s="20"/>
      <c r="U104" s="20"/>
      <c r="V104" s="20"/>
      <c r="W104" s="20"/>
      <c r="X104" s="20"/>
      <c r="Y104" s="20"/>
      <c r="Z104" s="20"/>
      <c r="AA104" s="20"/>
      <c r="AB104" s="20"/>
      <c r="AC104" s="20"/>
      <c r="AE104" s="81"/>
    </row>
    <row r="105" spans="1:31" ht="16.5" thickTop="1">
      <c r="A105" s="1"/>
      <c r="B105" s="197"/>
      <c r="C105" s="21"/>
      <c r="D105" s="21"/>
      <c r="E105" s="21"/>
      <c r="F105" s="21"/>
      <c r="I105" s="1" t="s">
        <v>31</v>
      </c>
      <c r="J105" s="1"/>
      <c r="K105" s="2" t="s">
        <v>31</v>
      </c>
      <c r="M105" s="20"/>
      <c r="N105" s="20"/>
      <c r="O105" s="71"/>
      <c r="P105" s="71"/>
      <c r="Q105" s="20"/>
      <c r="R105" s="20"/>
      <c r="S105" s="20"/>
      <c r="T105" s="20"/>
      <c r="U105" s="20"/>
      <c r="V105" s="20"/>
      <c r="W105" s="20"/>
      <c r="X105" s="20"/>
      <c r="Y105" s="20"/>
      <c r="Z105" s="20"/>
      <c r="AA105" s="20"/>
      <c r="AB105" s="20"/>
      <c r="AC105" s="20"/>
      <c r="AE105" s="81"/>
    </row>
    <row r="106" spans="1:31">
      <c r="A106" s="177" t="s">
        <v>372</v>
      </c>
      <c r="B106" s="1"/>
      <c r="C106" s="1"/>
      <c r="D106" s="1"/>
      <c r="E106" s="21"/>
      <c r="F106" s="21"/>
      <c r="G106" s="1"/>
      <c r="H106" s="1"/>
      <c r="I106" s="21"/>
      <c r="J106" s="1"/>
      <c r="K106" s="1"/>
      <c r="M106" s="20"/>
      <c r="N106" s="20"/>
      <c r="O106" s="71"/>
      <c r="P106" s="71"/>
      <c r="Q106" s="20"/>
      <c r="R106" s="20"/>
      <c r="S106" s="20"/>
      <c r="T106" s="20"/>
      <c r="U106" s="20"/>
      <c r="V106" s="20"/>
      <c r="W106" s="20"/>
      <c r="X106" s="20"/>
      <c r="Y106" s="20"/>
      <c r="Z106" s="20"/>
      <c r="AA106" s="20"/>
      <c r="AB106" s="20"/>
      <c r="AC106" s="20"/>
      <c r="AE106" s="81"/>
    </row>
    <row r="107" spans="1:31">
      <c r="A107" s="1" t="s">
        <v>318</v>
      </c>
      <c r="B107" s="1"/>
      <c r="C107" s="1"/>
      <c r="D107" s="1"/>
      <c r="E107" s="21"/>
      <c r="F107" s="21"/>
      <c r="G107" s="1"/>
      <c r="H107" s="1"/>
      <c r="I107" s="21"/>
      <c r="J107" s="1"/>
      <c r="K107" s="1"/>
      <c r="M107" s="20"/>
      <c r="N107" s="20"/>
      <c r="O107" s="71"/>
      <c r="P107" s="71"/>
      <c r="Q107" s="20"/>
      <c r="R107" s="20"/>
      <c r="S107" s="20"/>
      <c r="T107" s="20"/>
      <c r="U107" s="20"/>
      <c r="V107" s="20"/>
      <c r="W107" s="20"/>
      <c r="X107" s="20"/>
      <c r="Y107" s="20"/>
      <c r="Z107" s="20"/>
      <c r="AA107" s="20"/>
      <c r="AB107" s="20"/>
      <c r="AC107" s="20"/>
      <c r="AE107" s="81"/>
    </row>
    <row r="108" spans="1:31">
      <c r="A108" s="181"/>
      <c r="B108" s="1"/>
      <c r="C108" s="1"/>
      <c r="D108" s="1"/>
      <c r="E108" s="21"/>
      <c r="F108" s="21"/>
      <c r="G108" s="1"/>
      <c r="H108" s="1"/>
      <c r="I108" s="21"/>
      <c r="J108" s="1"/>
      <c r="K108" s="1"/>
      <c r="M108" s="20"/>
      <c r="N108" s="20"/>
      <c r="O108" s="71"/>
      <c r="P108" s="71"/>
      <c r="Q108" s="20"/>
      <c r="R108" s="20"/>
      <c r="S108" s="20"/>
      <c r="T108" s="20"/>
      <c r="U108" s="20"/>
      <c r="V108" s="20"/>
      <c r="W108" s="20"/>
      <c r="X108" s="20"/>
      <c r="Y108" s="20"/>
      <c r="Z108" s="20"/>
      <c r="AA108" s="20"/>
      <c r="AB108" s="20"/>
      <c r="AC108" s="20"/>
      <c r="AE108" s="81"/>
    </row>
    <row r="109" spans="1:31">
      <c r="A109" s="1" t="s">
        <v>358</v>
      </c>
      <c r="B109" s="1"/>
      <c r="C109" s="21">
        <f>36986</f>
        <v>36986</v>
      </c>
      <c r="D109" s="21">
        <v>28799</v>
      </c>
      <c r="E109" s="182">
        <f>$E$83</f>
        <v>6</v>
      </c>
      <c r="F109" s="1"/>
      <c r="G109" s="2">
        <f>ROUND(E109*$C109,0)</f>
        <v>221916</v>
      </c>
      <c r="H109" s="2">
        <f>ROUND(E109*$D109,0)</f>
        <v>172794</v>
      </c>
      <c r="I109" s="182">
        <f>$I$83</f>
        <v>6.75</v>
      </c>
      <c r="J109" s="1"/>
      <c r="K109" s="2">
        <f>ROUND(I109*$C109,0)</f>
        <v>249656</v>
      </c>
      <c r="M109" s="20"/>
      <c r="N109" s="20"/>
      <c r="O109" s="71"/>
      <c r="P109" s="71"/>
      <c r="Q109" s="20"/>
      <c r="R109" s="20"/>
      <c r="S109" s="20"/>
      <c r="T109" s="20"/>
      <c r="U109" s="20"/>
      <c r="V109" s="20"/>
      <c r="W109" s="20"/>
      <c r="X109" s="20"/>
      <c r="Y109" s="20"/>
      <c r="Z109" s="20"/>
      <c r="AA109" s="20"/>
      <c r="AB109" s="20"/>
      <c r="AC109" s="20"/>
      <c r="AE109" s="81"/>
    </row>
    <row r="110" spans="1:31">
      <c r="A110" s="1" t="s">
        <v>361</v>
      </c>
      <c r="B110" s="1"/>
      <c r="C110" s="21">
        <f>21464809</f>
        <v>21464809</v>
      </c>
      <c r="D110" s="21">
        <v>16847282.170853201</v>
      </c>
      <c r="E110" s="183">
        <f>$E$84</f>
        <v>4.9139999999999997</v>
      </c>
      <c r="F110" s="1" t="s">
        <v>362</v>
      </c>
      <c r="G110" s="2">
        <f>ROUND(E110*$C110/100,0)</f>
        <v>1054781</v>
      </c>
      <c r="H110" s="2">
        <f>ROUND(E110*$D110/100,0)</f>
        <v>827875</v>
      </c>
      <c r="I110" s="183">
        <f>$I$84</f>
        <v>5.4039999999999999</v>
      </c>
      <c r="J110" s="1" t="s">
        <v>362</v>
      </c>
      <c r="K110" s="2">
        <f>ROUND(I110*$C110/100,0)</f>
        <v>1159958</v>
      </c>
      <c r="M110" s="20"/>
      <c r="N110" s="20"/>
      <c r="O110" s="71"/>
      <c r="P110" s="71"/>
      <c r="Q110" s="20"/>
      <c r="R110" s="20"/>
      <c r="S110" s="20"/>
      <c r="T110" s="20"/>
      <c r="U110" s="20"/>
      <c r="V110" s="20"/>
      <c r="W110" s="20"/>
      <c r="X110" s="20"/>
      <c r="Y110" s="20"/>
      <c r="Z110" s="20"/>
      <c r="AA110" s="20"/>
      <c r="AB110" s="20"/>
      <c r="AC110" s="20"/>
      <c r="AE110" s="81"/>
    </row>
    <row r="111" spans="1:31">
      <c r="A111" s="1" t="s">
        <v>363</v>
      </c>
      <c r="B111" s="1"/>
      <c r="C111" s="21">
        <f>55153831-C110</f>
        <v>33689022</v>
      </c>
      <c r="D111" s="21">
        <v>26441812.722120248</v>
      </c>
      <c r="E111" s="183">
        <f>$E$85</f>
        <v>7.7510000000000003</v>
      </c>
      <c r="F111" s="1" t="s">
        <v>362</v>
      </c>
      <c r="G111" s="2">
        <f>ROUND(E111*$C111/100,0)</f>
        <v>2611236</v>
      </c>
      <c r="H111" s="2">
        <f>ROUND(E111*$D111/100,0)</f>
        <v>2049505</v>
      </c>
      <c r="I111" s="183">
        <f>$I$85</f>
        <v>8.520999999999999</v>
      </c>
      <c r="J111" s="1" t="s">
        <v>362</v>
      </c>
      <c r="K111" s="2">
        <f>ROUND(I111*$C111/100,0)</f>
        <v>2870642</v>
      </c>
      <c r="M111" s="20"/>
      <c r="N111" s="20"/>
      <c r="O111" s="71"/>
      <c r="P111" s="71"/>
      <c r="Q111" s="20"/>
      <c r="R111" s="20"/>
      <c r="S111" s="20"/>
      <c r="T111" s="20"/>
      <c r="U111" s="20"/>
      <c r="V111" s="20"/>
      <c r="W111" s="20"/>
      <c r="X111" s="20"/>
      <c r="Y111" s="20"/>
      <c r="Z111" s="20"/>
      <c r="AA111" s="20"/>
      <c r="AB111" s="20"/>
      <c r="AC111" s="20"/>
      <c r="AE111" s="81"/>
    </row>
    <row r="112" spans="1:31">
      <c r="A112" s="1" t="s">
        <v>365</v>
      </c>
      <c r="B112" s="1"/>
      <c r="C112" s="21">
        <v>0</v>
      </c>
      <c r="D112" s="21">
        <v>0</v>
      </c>
      <c r="E112" s="185">
        <f>$E$86</f>
        <v>1.55</v>
      </c>
      <c r="F112" s="1"/>
      <c r="G112" s="2">
        <f>ROUND(E112*$C112,0)</f>
        <v>0</v>
      </c>
      <c r="H112" s="2">
        <v>0</v>
      </c>
      <c r="I112" s="185">
        <f>$I$86</f>
        <v>1.65</v>
      </c>
      <c r="J112" s="1"/>
      <c r="K112" s="2">
        <f>ROUND(I112*$C112,0)</f>
        <v>0</v>
      </c>
      <c r="M112" s="20"/>
      <c r="N112" s="20"/>
      <c r="O112" s="71"/>
      <c r="P112" s="71"/>
      <c r="Q112" s="20"/>
      <c r="R112" s="20"/>
      <c r="S112" s="20"/>
      <c r="T112" s="20"/>
      <c r="U112" s="20"/>
      <c r="V112" s="20"/>
      <c r="W112" s="20"/>
      <c r="X112" s="20"/>
      <c r="Y112" s="20"/>
      <c r="Z112" s="20"/>
      <c r="AA112" s="20"/>
      <c r="AB112" s="20"/>
      <c r="AC112" s="20"/>
      <c r="AE112" s="81"/>
    </row>
    <row r="113" spans="1:31">
      <c r="A113" s="187" t="s">
        <v>367</v>
      </c>
      <c r="B113" s="187"/>
      <c r="C113" s="21">
        <v>0</v>
      </c>
      <c r="D113" s="21">
        <v>0</v>
      </c>
      <c r="E113" s="185">
        <f>$E$87</f>
        <v>3</v>
      </c>
      <c r="F113" s="187"/>
      <c r="G113" s="2">
        <f>ROUND(E113*$C113,0)</f>
        <v>0</v>
      </c>
      <c r="H113" s="2">
        <v>0</v>
      </c>
      <c r="I113" s="185">
        <f>$I$87</f>
        <v>3.1999999999999997</v>
      </c>
      <c r="J113" s="187"/>
      <c r="K113" s="2">
        <f>ROUND(I113*$C113,0)</f>
        <v>0</v>
      </c>
      <c r="M113" s="20"/>
      <c r="N113" s="20"/>
      <c r="O113" s="71"/>
      <c r="P113" s="71"/>
      <c r="Q113" s="20"/>
      <c r="R113" s="20"/>
      <c r="S113" s="20"/>
      <c r="T113" s="20"/>
      <c r="U113" s="20"/>
      <c r="V113" s="20"/>
      <c r="W113" s="20"/>
      <c r="X113" s="20"/>
      <c r="Y113" s="20"/>
      <c r="Z113" s="20"/>
      <c r="AA113" s="20"/>
      <c r="AB113" s="20"/>
      <c r="AC113" s="20"/>
      <c r="AE113" s="81"/>
    </row>
    <row r="114" spans="1:31">
      <c r="A114" s="187" t="s">
        <v>368</v>
      </c>
      <c r="B114" s="187"/>
      <c r="C114" s="21">
        <v>0</v>
      </c>
      <c r="D114" s="21">
        <v>0</v>
      </c>
      <c r="E114" s="188">
        <f>-E112</f>
        <v>-1.55</v>
      </c>
      <c r="F114" s="187"/>
      <c r="G114" s="2">
        <f>ROUND(E114*$C114,0)</f>
        <v>0</v>
      </c>
      <c r="H114" s="2">
        <v>0</v>
      </c>
      <c r="I114" s="188">
        <f>-I112</f>
        <v>-1.65</v>
      </c>
      <c r="J114" s="187"/>
      <c r="K114" s="2">
        <f>ROUND(I114*$C114,0)</f>
        <v>0</v>
      </c>
      <c r="M114" s="20"/>
      <c r="N114" s="20"/>
      <c r="O114" s="71"/>
      <c r="P114" s="71"/>
      <c r="Q114" s="20"/>
      <c r="R114" s="20"/>
      <c r="S114" s="20"/>
      <c r="T114" s="20"/>
      <c r="U114" s="20"/>
      <c r="V114" s="20"/>
      <c r="W114" s="20"/>
      <c r="X114" s="20"/>
      <c r="Y114" s="20"/>
      <c r="Z114" s="20"/>
      <c r="AA114" s="20"/>
      <c r="AB114" s="20"/>
      <c r="AC114" s="20"/>
      <c r="AE114" s="81"/>
    </row>
    <row r="115" spans="1:31">
      <c r="A115" s="1" t="s">
        <v>369</v>
      </c>
      <c r="B115" s="1"/>
      <c r="C115" s="21">
        <f>SUM(C110:C111)</f>
        <v>55153831</v>
      </c>
      <c r="D115" s="21">
        <v>43289094.892973453</v>
      </c>
      <c r="E115" s="190"/>
      <c r="F115" s="2"/>
      <c r="G115" s="2">
        <f>SUM(G109:G114)</f>
        <v>3887933</v>
      </c>
      <c r="H115" s="2">
        <f>SUM(H109:H114)</f>
        <v>3050174</v>
      </c>
      <c r="I115" s="2"/>
      <c r="J115" s="2"/>
      <c r="K115" s="2">
        <f>SUM(K109:K114)</f>
        <v>4280256</v>
      </c>
      <c r="M115" s="20"/>
      <c r="N115" s="20"/>
      <c r="O115" s="71"/>
      <c r="P115" s="71"/>
      <c r="Q115" s="20"/>
      <c r="R115" s="20"/>
      <c r="S115" s="20"/>
      <c r="T115" s="20"/>
      <c r="U115" s="20"/>
      <c r="V115" s="20"/>
      <c r="W115" s="20"/>
      <c r="X115" s="20"/>
      <c r="Y115" s="20"/>
      <c r="Z115" s="20"/>
      <c r="AA115" s="20"/>
      <c r="AB115" s="20"/>
      <c r="AC115" s="20"/>
      <c r="AE115" s="81"/>
    </row>
    <row r="116" spans="1:31">
      <c r="A116" s="1" t="s">
        <v>351</v>
      </c>
      <c r="B116" s="1"/>
      <c r="C116" s="201" t="e">
        <f>#REF!</f>
        <v>#REF!</v>
      </c>
      <c r="D116" s="192">
        <v>0</v>
      </c>
      <c r="E116" s="193"/>
      <c r="F116" s="193"/>
      <c r="G116" s="194" t="e">
        <f>#REF!</f>
        <v>#REF!</v>
      </c>
      <c r="H116" s="192">
        <v>0</v>
      </c>
      <c r="I116" s="193"/>
      <c r="J116" s="193"/>
      <c r="K116" s="194" t="e">
        <f>G116</f>
        <v>#REF!</v>
      </c>
      <c r="M116" s="328"/>
      <c r="N116" s="328"/>
      <c r="O116" s="171"/>
      <c r="P116" s="71"/>
      <c r="Q116" s="20"/>
      <c r="R116" s="20"/>
      <c r="S116" s="20"/>
      <c r="T116" s="20"/>
      <c r="U116" s="20"/>
      <c r="V116" s="20"/>
      <c r="W116" s="20"/>
      <c r="X116" s="20"/>
      <c r="Y116" s="20"/>
      <c r="Z116" s="20"/>
      <c r="AA116" s="20"/>
      <c r="AB116" s="20"/>
      <c r="AC116" s="20"/>
      <c r="AE116" s="81"/>
    </row>
    <row r="117" spans="1:31" ht="16.5" thickBot="1">
      <c r="A117" s="1" t="s">
        <v>370</v>
      </c>
      <c r="B117" s="1"/>
      <c r="C117" s="195" t="e">
        <f>C115+C116</f>
        <v>#REF!</v>
      </c>
      <c r="D117" s="195">
        <f>SUM(D115:D116)</f>
        <v>43289094.892973453</v>
      </c>
      <c r="E117" s="196"/>
      <c r="F117" s="196"/>
      <c r="G117" s="196" t="e">
        <f>G115+G116</f>
        <v>#REF!</v>
      </c>
      <c r="H117" s="202">
        <f>SUM(H115:H116)</f>
        <v>3050174</v>
      </c>
      <c r="I117" s="196"/>
      <c r="J117" s="196"/>
      <c r="K117" s="196" t="e">
        <f>K115+K116</f>
        <v>#REF!</v>
      </c>
      <c r="M117" s="295"/>
      <c r="N117" s="295"/>
      <c r="O117" s="354"/>
      <c r="P117" s="71"/>
      <c r="Q117" s="20"/>
      <c r="R117" s="20"/>
      <c r="S117" s="20"/>
      <c r="T117" s="20"/>
      <c r="U117" s="20"/>
      <c r="V117" s="20"/>
      <c r="W117" s="20"/>
      <c r="X117" s="20"/>
      <c r="Y117" s="20"/>
      <c r="Z117" s="20"/>
      <c r="AA117" s="20"/>
      <c r="AB117" s="20"/>
      <c r="AC117" s="20"/>
      <c r="AE117" s="81"/>
    </row>
    <row r="118" spans="1:31" ht="16.5" thickTop="1">
      <c r="A118" s="1"/>
      <c r="B118" s="197"/>
      <c r="C118" s="21"/>
      <c r="D118" s="21"/>
      <c r="E118" s="21"/>
      <c r="F118" s="21"/>
      <c r="I118" s="1" t="s">
        <v>31</v>
      </c>
      <c r="J118" s="1"/>
      <c r="K118" s="2" t="s">
        <v>31</v>
      </c>
      <c r="M118" s="20"/>
      <c r="N118" s="20"/>
      <c r="O118" s="71"/>
      <c r="P118" s="71"/>
      <c r="Q118" s="20"/>
      <c r="R118" s="20"/>
      <c r="S118" s="20"/>
      <c r="T118" s="20"/>
      <c r="U118" s="20"/>
      <c r="V118" s="20"/>
      <c r="W118" s="20"/>
      <c r="X118" s="20"/>
      <c r="Y118" s="20"/>
      <c r="Z118" s="20"/>
      <c r="AA118" s="20"/>
      <c r="AB118" s="20"/>
      <c r="AC118" s="20"/>
      <c r="AE118" s="81"/>
    </row>
    <row r="119" spans="1:31">
      <c r="A119" s="177" t="s">
        <v>373</v>
      </c>
      <c r="B119" s="1"/>
      <c r="C119" s="1"/>
      <c r="D119" s="1"/>
      <c r="E119" s="21"/>
      <c r="F119" s="21"/>
      <c r="G119" s="1"/>
      <c r="H119" s="1"/>
      <c r="I119" s="21"/>
      <c r="J119" s="1"/>
      <c r="K119" s="1"/>
      <c r="M119" s="20"/>
      <c r="N119" s="20"/>
      <c r="O119" s="71"/>
      <c r="P119" s="71"/>
      <c r="Q119" s="20"/>
      <c r="R119" s="20"/>
      <c r="S119" s="20"/>
      <c r="T119" s="20"/>
      <c r="U119" s="20"/>
      <c r="V119" s="20"/>
      <c r="W119" s="20"/>
      <c r="X119" s="20"/>
      <c r="Y119" s="20"/>
      <c r="Z119" s="20"/>
      <c r="AA119" s="20"/>
      <c r="AB119" s="20"/>
      <c r="AC119" s="20"/>
      <c r="AE119" s="81"/>
    </row>
    <row r="120" spans="1:31">
      <c r="A120" s="1" t="s">
        <v>318</v>
      </c>
      <c r="B120" s="1"/>
      <c r="C120" s="1"/>
      <c r="D120" s="1"/>
      <c r="E120" s="21"/>
      <c r="F120" s="21"/>
      <c r="G120" s="1"/>
      <c r="H120" s="1"/>
      <c r="I120" s="21"/>
      <c r="J120" s="1"/>
      <c r="K120" s="1"/>
      <c r="M120" s="20"/>
      <c r="N120" s="20"/>
      <c r="O120" s="71"/>
      <c r="P120" s="71"/>
      <c r="Q120" s="20"/>
      <c r="R120" s="20"/>
      <c r="S120" s="20"/>
      <c r="T120" s="20"/>
      <c r="U120" s="20"/>
      <c r="V120" s="20"/>
      <c r="W120" s="20"/>
      <c r="X120" s="20"/>
      <c r="Y120" s="20"/>
      <c r="Z120" s="20"/>
      <c r="AA120" s="20"/>
      <c r="AB120" s="20"/>
      <c r="AC120" s="20"/>
      <c r="AE120" s="81"/>
    </row>
    <row r="121" spans="1:31">
      <c r="A121" s="181"/>
      <c r="B121" s="1"/>
      <c r="C121" s="1"/>
      <c r="D121" s="1"/>
      <c r="E121" s="21"/>
      <c r="F121" s="21"/>
      <c r="G121" s="1"/>
      <c r="H121" s="1"/>
      <c r="I121" s="21"/>
      <c r="J121" s="1"/>
      <c r="K121" s="1"/>
      <c r="M121" s="20"/>
      <c r="N121" s="20"/>
      <c r="O121" s="71"/>
      <c r="P121" s="71"/>
      <c r="Q121" s="20"/>
      <c r="R121" s="20"/>
      <c r="S121" s="20"/>
      <c r="T121" s="20"/>
      <c r="U121" s="20"/>
      <c r="V121" s="20"/>
      <c r="W121" s="20"/>
      <c r="X121" s="20"/>
      <c r="Y121" s="20"/>
      <c r="Z121" s="20"/>
      <c r="AA121" s="20"/>
      <c r="AB121" s="20"/>
      <c r="AC121" s="20"/>
      <c r="AE121" s="81"/>
    </row>
    <row r="122" spans="1:31">
      <c r="A122" s="1" t="s">
        <v>358</v>
      </c>
      <c r="B122" s="1"/>
      <c r="C122" s="21">
        <v>1189</v>
      </c>
      <c r="D122" s="21">
        <v>1155</v>
      </c>
      <c r="E122" s="182">
        <f>$E$83</f>
        <v>6</v>
      </c>
      <c r="F122" s="1"/>
      <c r="G122" s="2">
        <f>ROUND(E122*$C122,0)</f>
        <v>7134</v>
      </c>
      <c r="H122" s="2">
        <f>ROUND(E122*$D122,0)</f>
        <v>6930</v>
      </c>
      <c r="I122" s="182">
        <f>$I$83</f>
        <v>6.75</v>
      </c>
      <c r="J122" s="1"/>
      <c r="K122" s="2">
        <f>ROUND(I122*$C122,0)</f>
        <v>8026</v>
      </c>
      <c r="M122" s="20"/>
      <c r="N122" s="20"/>
      <c r="O122" s="71"/>
      <c r="P122" s="71"/>
      <c r="Q122" s="20"/>
      <c r="R122" s="20"/>
      <c r="S122" s="20"/>
      <c r="T122" s="20"/>
      <c r="U122" s="20"/>
      <c r="V122" s="20"/>
      <c r="W122" s="20"/>
      <c r="X122" s="20"/>
      <c r="Y122" s="20"/>
      <c r="Z122" s="20"/>
      <c r="AA122" s="20"/>
      <c r="AB122" s="20"/>
      <c r="AC122" s="20"/>
      <c r="AE122" s="81"/>
    </row>
    <row r="123" spans="1:31">
      <c r="A123" s="1" t="s">
        <v>361</v>
      </c>
      <c r="B123" s="1"/>
      <c r="C123" s="21" t="e">
        <f>651938+#REF!*1000</f>
        <v>#REF!</v>
      </c>
      <c r="D123" s="21">
        <v>640984.27568677999</v>
      </c>
      <c r="E123" s="183">
        <f>$E$84</f>
        <v>4.9139999999999997</v>
      </c>
      <c r="F123" s="1" t="s">
        <v>362</v>
      </c>
      <c r="G123" s="2" t="e">
        <f>ROUND(E123*$C123/100,0)</f>
        <v>#REF!</v>
      </c>
      <c r="H123" s="2">
        <f>ROUND(E123*$D123/100,0)</f>
        <v>31498</v>
      </c>
      <c r="I123" s="183">
        <f>$I$84</f>
        <v>5.4039999999999999</v>
      </c>
      <c r="J123" s="1" t="s">
        <v>362</v>
      </c>
      <c r="K123" s="2" t="e">
        <f>ROUND(I123*$C123/100,0)</f>
        <v>#REF!</v>
      </c>
      <c r="M123" s="20"/>
      <c r="N123" s="20"/>
      <c r="O123" s="71"/>
      <c r="P123" s="71"/>
      <c r="Q123" s="20"/>
      <c r="R123" s="20"/>
      <c r="S123" s="20"/>
      <c r="T123" s="20"/>
      <c r="U123" s="20"/>
      <c r="V123" s="20"/>
      <c r="W123" s="20"/>
      <c r="X123" s="20"/>
      <c r="Y123" s="20"/>
      <c r="Z123" s="20"/>
      <c r="AA123" s="20"/>
      <c r="AB123" s="20"/>
      <c r="AC123" s="20"/>
      <c r="AE123" s="81"/>
    </row>
    <row r="124" spans="1:31">
      <c r="A124" s="1" t="s">
        <v>363</v>
      </c>
      <c r="B124" s="1"/>
      <c r="C124" s="21" t="e">
        <f>2681515-C123+#REF!*1000+#REF!*1000</f>
        <v>#REF!</v>
      </c>
      <c r="D124" s="21">
        <v>2201637.146921176</v>
      </c>
      <c r="E124" s="183">
        <f>$E$85</f>
        <v>7.7510000000000003</v>
      </c>
      <c r="F124" s="1" t="s">
        <v>362</v>
      </c>
      <c r="G124" s="2" t="e">
        <f>ROUND(E124*$C124/100,0)</f>
        <v>#REF!</v>
      </c>
      <c r="H124" s="2">
        <f>ROUND(E124*$D124/100,0)</f>
        <v>170649</v>
      </c>
      <c r="I124" s="183">
        <f>$I$85</f>
        <v>8.520999999999999</v>
      </c>
      <c r="J124" s="1" t="s">
        <v>362</v>
      </c>
      <c r="K124" s="2" t="e">
        <f>ROUND(I124*$C124/100,0)</f>
        <v>#REF!</v>
      </c>
      <c r="M124" s="20"/>
      <c r="N124" s="20"/>
      <c r="O124" s="71"/>
      <c r="P124" s="71"/>
      <c r="Q124" s="20"/>
      <c r="R124" s="20"/>
      <c r="S124" s="20"/>
      <c r="T124" s="20"/>
      <c r="U124" s="20"/>
      <c r="V124" s="20"/>
      <c r="W124" s="20"/>
      <c r="X124" s="20"/>
      <c r="Y124" s="20"/>
      <c r="Z124" s="20"/>
      <c r="AA124" s="20"/>
      <c r="AB124" s="20"/>
      <c r="AC124" s="20"/>
      <c r="AE124" s="81"/>
    </row>
    <row r="125" spans="1:31">
      <c r="A125" s="1" t="s">
        <v>365</v>
      </c>
      <c r="B125" s="1"/>
      <c r="C125" s="21">
        <v>4907</v>
      </c>
      <c r="D125" s="21">
        <v>5762.7171576037508</v>
      </c>
      <c r="E125" s="185">
        <f>$E$86</f>
        <v>1.55</v>
      </c>
      <c r="F125" s="1"/>
      <c r="G125" s="2">
        <f>ROUND(E125*$C125,0)</f>
        <v>7606</v>
      </c>
      <c r="H125" s="2">
        <f>ROUND(E125*$D125,0)</f>
        <v>8932</v>
      </c>
      <c r="I125" s="185">
        <f>$I$86</f>
        <v>1.65</v>
      </c>
      <c r="J125" s="1"/>
      <c r="K125" s="2">
        <f>ROUND(I125*$C125,0)</f>
        <v>8097</v>
      </c>
      <c r="M125" s="20"/>
      <c r="N125" s="20"/>
      <c r="O125" s="71"/>
      <c r="P125" s="71"/>
      <c r="Q125" s="20"/>
      <c r="R125" s="20"/>
      <c r="S125" s="20"/>
      <c r="T125" s="20"/>
      <c r="U125" s="20"/>
      <c r="V125" s="20"/>
      <c r="W125" s="20"/>
      <c r="X125" s="20"/>
      <c r="Y125" s="20"/>
      <c r="Z125" s="20"/>
      <c r="AA125" s="20"/>
      <c r="AB125" s="20"/>
      <c r="AC125" s="20"/>
      <c r="AE125" s="81"/>
    </row>
    <row r="126" spans="1:31">
      <c r="A126" s="187" t="s">
        <v>367</v>
      </c>
      <c r="B126" s="187"/>
      <c r="C126" s="21">
        <v>822</v>
      </c>
      <c r="D126" s="21">
        <v>965.3461388934752</v>
      </c>
      <c r="E126" s="185">
        <f>$E$87</f>
        <v>3</v>
      </c>
      <c r="F126" s="187"/>
      <c r="G126" s="2">
        <f>ROUND(E126*$C126,0)</f>
        <v>2466</v>
      </c>
      <c r="H126" s="2">
        <f>ROUND(E126*$D126,0)</f>
        <v>2896</v>
      </c>
      <c r="I126" s="185">
        <f>$I$87</f>
        <v>3.1999999999999997</v>
      </c>
      <c r="J126" s="187"/>
      <c r="K126" s="2">
        <f>ROUND(I126*$C126,0)</f>
        <v>2630</v>
      </c>
      <c r="M126" s="20"/>
      <c r="N126" s="20"/>
      <c r="O126" s="71"/>
      <c r="P126" s="71"/>
      <c r="Q126" s="20"/>
      <c r="R126" s="20"/>
      <c r="S126" s="20"/>
      <c r="T126" s="20"/>
      <c r="U126" s="20"/>
      <c r="V126" s="20"/>
      <c r="W126" s="20"/>
      <c r="X126" s="20"/>
      <c r="Y126" s="20"/>
      <c r="Z126" s="20"/>
      <c r="AA126" s="20"/>
      <c r="AB126" s="20"/>
      <c r="AC126" s="20"/>
      <c r="AE126" s="81"/>
    </row>
    <row r="127" spans="1:31">
      <c r="A127" s="187" t="s">
        <v>368</v>
      </c>
      <c r="B127" s="187"/>
      <c r="C127" s="21">
        <v>48</v>
      </c>
      <c r="D127" s="21">
        <v>56.370577453633587</v>
      </c>
      <c r="E127" s="188">
        <f>-E125</f>
        <v>-1.55</v>
      </c>
      <c r="F127" s="187"/>
      <c r="G127" s="2">
        <f>ROUND(E127*$C127,0)</f>
        <v>-74</v>
      </c>
      <c r="H127" s="2">
        <f>ROUND(E127*$D127,0)</f>
        <v>-87</v>
      </c>
      <c r="I127" s="188">
        <f>-I125</f>
        <v>-1.65</v>
      </c>
      <c r="J127" s="187"/>
      <c r="K127" s="2">
        <f>ROUND(I127*$C127,0)</f>
        <v>-79</v>
      </c>
      <c r="M127" s="20"/>
      <c r="N127" s="20"/>
      <c r="O127" s="71"/>
      <c r="P127" s="71"/>
      <c r="Q127" s="20"/>
      <c r="R127" s="20"/>
      <c r="S127" s="20"/>
      <c r="T127" s="20"/>
      <c r="U127" s="20"/>
      <c r="V127" s="20"/>
      <c r="W127" s="20"/>
      <c r="X127" s="20"/>
      <c r="Y127" s="20"/>
      <c r="Z127" s="20"/>
      <c r="AA127" s="20"/>
      <c r="AB127" s="20"/>
      <c r="AC127" s="20"/>
      <c r="AE127" s="81"/>
    </row>
    <row r="128" spans="1:31">
      <c r="A128" s="1" t="s">
        <v>369</v>
      </c>
      <c r="B128" s="189"/>
      <c r="C128" s="21" t="e">
        <f>SUM(C123:C124)</f>
        <v>#REF!</v>
      </c>
      <c r="D128" s="21">
        <v>2842621.4226079565</v>
      </c>
      <c r="E128" s="190"/>
      <c r="F128" s="2"/>
      <c r="G128" s="2" t="e">
        <f>SUM(G122:G127)</f>
        <v>#REF!</v>
      </c>
      <c r="H128" s="2">
        <f>SUM(H122:H127)</f>
        <v>220818</v>
      </c>
      <c r="I128" s="2"/>
      <c r="J128" s="2"/>
      <c r="K128" s="2" t="e">
        <f>SUM(K122:K127)</f>
        <v>#REF!</v>
      </c>
      <c r="M128" s="20"/>
      <c r="N128" s="20"/>
      <c r="O128" s="71"/>
      <c r="P128" s="71"/>
      <c r="Q128" s="20"/>
      <c r="R128" s="20"/>
      <c r="S128" s="20"/>
      <c r="T128" s="20"/>
      <c r="U128" s="20"/>
      <c r="V128" s="20"/>
      <c r="W128" s="20"/>
      <c r="X128" s="20"/>
      <c r="Y128" s="20"/>
      <c r="Z128" s="20"/>
      <c r="AA128" s="20"/>
      <c r="AB128" s="20"/>
      <c r="AC128" s="20"/>
      <c r="AE128" s="81"/>
    </row>
    <row r="129" spans="1:31">
      <c r="A129" s="1" t="s">
        <v>351</v>
      </c>
      <c r="B129" s="24"/>
      <c r="C129" s="201" t="e">
        <f>#REF!</f>
        <v>#REF!</v>
      </c>
      <c r="D129" s="192">
        <v>0</v>
      </c>
      <c r="E129" s="193"/>
      <c r="F129" s="193"/>
      <c r="G129" s="194" t="e">
        <f>#REF!</f>
        <v>#REF!</v>
      </c>
      <c r="H129" s="194">
        <v>0</v>
      </c>
      <c r="I129" s="193"/>
      <c r="J129" s="193"/>
      <c r="K129" s="194" t="e">
        <f>G129</f>
        <v>#REF!</v>
      </c>
      <c r="M129" s="328"/>
      <c r="N129" s="328"/>
      <c r="O129" s="171"/>
      <c r="P129" s="71"/>
      <c r="Q129" s="20"/>
      <c r="R129" s="20"/>
      <c r="S129" s="20"/>
      <c r="T129" s="20"/>
      <c r="U129" s="20"/>
      <c r="V129" s="20"/>
      <c r="W129" s="20"/>
      <c r="X129" s="20"/>
      <c r="Y129" s="20"/>
      <c r="Z129" s="20"/>
      <c r="AA129" s="20"/>
      <c r="AB129" s="20"/>
      <c r="AC129" s="20"/>
      <c r="AE129" s="81"/>
    </row>
    <row r="130" spans="1:31" ht="16.5" thickBot="1">
      <c r="A130" s="1" t="s">
        <v>370</v>
      </c>
      <c r="B130" s="1"/>
      <c r="C130" s="195" t="e">
        <f>C128+C129</f>
        <v>#REF!</v>
      </c>
      <c r="D130" s="195">
        <f>SUM(D128:D129)</f>
        <v>2842621.4226079565</v>
      </c>
      <c r="E130" s="196"/>
      <c r="F130" s="196"/>
      <c r="G130" s="196" t="e">
        <f>G128+G129</f>
        <v>#REF!</v>
      </c>
      <c r="H130" s="196">
        <f>H128+H129</f>
        <v>220818</v>
      </c>
      <c r="I130" s="196"/>
      <c r="J130" s="196"/>
      <c r="K130" s="196" t="e">
        <f>K128+K129</f>
        <v>#REF!</v>
      </c>
      <c r="M130" s="295"/>
      <c r="N130" s="295"/>
      <c r="O130" s="354"/>
      <c r="P130" s="71"/>
      <c r="Q130" s="20"/>
      <c r="R130" s="20"/>
      <c r="S130" s="20"/>
      <c r="T130" s="20"/>
      <c r="U130" s="20"/>
      <c r="V130" s="20"/>
      <c r="W130" s="20"/>
      <c r="X130" s="20"/>
      <c r="Y130" s="20"/>
      <c r="Z130" s="20"/>
      <c r="AA130" s="20"/>
      <c r="AB130" s="20"/>
      <c r="AC130" s="20"/>
      <c r="AE130" s="81"/>
    </row>
    <row r="131" spans="1:31" ht="16.5" thickTop="1">
      <c r="A131" s="1"/>
      <c r="B131" s="197"/>
      <c r="C131" s="21"/>
      <c r="D131" s="21"/>
      <c r="E131" s="21"/>
      <c r="F131" s="21"/>
      <c r="I131" s="1" t="s">
        <v>31</v>
      </c>
      <c r="J131" s="1"/>
      <c r="K131" s="2" t="s">
        <v>31</v>
      </c>
      <c r="M131" s="20"/>
      <c r="N131" s="20"/>
      <c r="O131" s="71"/>
      <c r="P131" s="71"/>
      <c r="Q131" s="20"/>
      <c r="R131" s="20"/>
      <c r="S131" s="20"/>
      <c r="T131" s="20"/>
      <c r="U131" s="20"/>
      <c r="V131" s="20"/>
      <c r="W131" s="20"/>
      <c r="X131" s="20"/>
      <c r="Y131" s="20"/>
      <c r="Z131" s="20"/>
      <c r="AA131" s="20"/>
      <c r="AB131" s="20"/>
      <c r="AC131" s="20"/>
      <c r="AE131" s="81"/>
    </row>
    <row r="132" spans="1:31">
      <c r="A132" s="177" t="s">
        <v>374</v>
      </c>
      <c r="B132" s="1"/>
      <c r="C132" s="1"/>
      <c r="D132" s="1"/>
      <c r="E132" s="21"/>
      <c r="F132" s="21"/>
      <c r="G132" s="1"/>
      <c r="H132" s="1"/>
      <c r="I132" s="21"/>
      <c r="J132" s="1"/>
      <c r="K132" s="1"/>
      <c r="M132" s="20"/>
      <c r="N132" s="20"/>
      <c r="O132" s="71"/>
      <c r="P132" s="71"/>
      <c r="Q132" s="20"/>
      <c r="R132" s="20"/>
      <c r="S132" s="20"/>
      <c r="T132" s="20"/>
      <c r="U132" s="20"/>
      <c r="V132" s="20"/>
      <c r="W132" s="20"/>
      <c r="X132" s="20"/>
      <c r="Y132" s="20"/>
      <c r="Z132" s="20"/>
      <c r="AA132" s="20"/>
      <c r="AB132" s="20"/>
      <c r="AC132" s="20"/>
      <c r="AE132" s="81"/>
    </row>
    <row r="133" spans="1:31">
      <c r="A133" s="1" t="s">
        <v>318</v>
      </c>
      <c r="B133" s="1"/>
      <c r="C133" s="1"/>
      <c r="D133" s="21"/>
      <c r="E133" s="21"/>
      <c r="F133" s="21"/>
      <c r="G133" s="1"/>
      <c r="H133" s="1"/>
      <c r="I133" s="21"/>
      <c r="J133" s="1"/>
      <c r="K133" s="1"/>
      <c r="M133" s="20"/>
      <c r="N133" s="20"/>
      <c r="O133" s="71"/>
      <c r="P133" s="71"/>
      <c r="Q133" s="20"/>
      <c r="R133" s="20"/>
      <c r="S133" s="20"/>
      <c r="T133" s="20"/>
      <c r="U133" s="20"/>
      <c r="V133" s="20"/>
      <c r="W133" s="20"/>
      <c r="X133" s="20"/>
      <c r="Y133" s="20"/>
      <c r="Z133" s="20"/>
      <c r="AA133" s="20"/>
      <c r="AB133" s="20"/>
      <c r="AC133" s="20"/>
      <c r="AE133" s="81"/>
    </row>
    <row r="134" spans="1:31">
      <c r="A134" s="181"/>
      <c r="B134" s="1"/>
      <c r="C134" s="1"/>
      <c r="D134" s="1"/>
      <c r="E134" s="21"/>
      <c r="F134" s="21"/>
      <c r="G134" s="1"/>
      <c r="H134" s="1"/>
      <c r="I134" s="21"/>
      <c r="J134" s="1"/>
      <c r="K134" s="1"/>
      <c r="M134" s="20"/>
      <c r="N134" s="20"/>
      <c r="O134" s="71"/>
      <c r="P134" s="71"/>
      <c r="Q134" s="20"/>
      <c r="R134" s="20"/>
      <c r="S134" s="20"/>
      <c r="T134" s="20"/>
      <c r="U134" s="20"/>
      <c r="V134" s="20"/>
      <c r="W134" s="20"/>
      <c r="X134" s="20"/>
      <c r="Y134" s="20"/>
      <c r="Z134" s="20"/>
      <c r="AA134" s="20"/>
      <c r="AB134" s="20"/>
      <c r="AC134" s="20"/>
      <c r="AE134" s="81"/>
    </row>
    <row r="135" spans="1:31">
      <c r="A135" s="1" t="s">
        <v>358</v>
      </c>
      <c r="B135" s="1"/>
      <c r="C135" s="21">
        <v>302</v>
      </c>
      <c r="D135" s="21">
        <v>315</v>
      </c>
      <c r="E135" s="182">
        <f>$E$83</f>
        <v>6</v>
      </c>
      <c r="F135" s="1"/>
      <c r="G135" s="2">
        <f>ROUND(E135*$C135,0)</f>
        <v>1812</v>
      </c>
      <c r="H135" s="2">
        <f>ROUND(E135*$D135,0)</f>
        <v>1890</v>
      </c>
      <c r="I135" s="182">
        <f>$I$83</f>
        <v>6.75</v>
      </c>
      <c r="J135" s="1"/>
      <c r="K135" s="2">
        <f>ROUND(I135*$C135,0)</f>
        <v>2039</v>
      </c>
      <c r="M135" s="20"/>
      <c r="N135" s="20"/>
      <c r="O135" s="71"/>
      <c r="P135" s="71"/>
      <c r="Q135" s="20"/>
      <c r="R135" s="20"/>
      <c r="S135" s="20"/>
      <c r="T135" s="20"/>
      <c r="U135" s="20"/>
      <c r="V135" s="20"/>
      <c r="W135" s="20"/>
      <c r="X135" s="20"/>
      <c r="Y135" s="20"/>
      <c r="Z135" s="20"/>
      <c r="AA135" s="20"/>
      <c r="AB135" s="20"/>
      <c r="AC135" s="20"/>
      <c r="AE135" s="81"/>
    </row>
    <row r="136" spans="1:31">
      <c r="A136" s="1" t="s">
        <v>361</v>
      </c>
      <c r="B136" s="1"/>
      <c r="C136" s="21">
        <v>176584</v>
      </c>
      <c r="D136" s="21">
        <v>210143.84162810302</v>
      </c>
      <c r="E136" s="183">
        <f>$E$84</f>
        <v>4.9139999999999997</v>
      </c>
      <c r="F136" s="1" t="s">
        <v>362</v>
      </c>
      <c r="G136" s="2">
        <f>ROUND(E136*$C136/100,0)</f>
        <v>8677</v>
      </c>
      <c r="H136" s="2">
        <f>ROUND(E136*$D136/100,0)</f>
        <v>10326</v>
      </c>
      <c r="I136" s="183">
        <f>$I$84</f>
        <v>5.4039999999999999</v>
      </c>
      <c r="J136" s="1" t="s">
        <v>362</v>
      </c>
      <c r="K136" s="2">
        <f>ROUND(I136*$C136/100,0)</f>
        <v>9543</v>
      </c>
      <c r="M136" s="20"/>
      <c r="N136" s="20"/>
      <c r="O136" s="71"/>
      <c r="P136" s="71"/>
      <c r="Q136" s="20"/>
      <c r="R136" s="20"/>
      <c r="S136" s="20"/>
      <c r="T136" s="20"/>
      <c r="U136" s="20"/>
      <c r="V136" s="20"/>
      <c r="W136" s="20"/>
      <c r="X136" s="20"/>
      <c r="Y136" s="20"/>
      <c r="Z136" s="20"/>
      <c r="AA136" s="20"/>
      <c r="AB136" s="20"/>
      <c r="AC136" s="20"/>
      <c r="AE136" s="81"/>
    </row>
    <row r="137" spans="1:31">
      <c r="A137" s="1" t="s">
        <v>363</v>
      </c>
      <c r="B137" s="1"/>
      <c r="C137" s="21">
        <f>637329-C136</f>
        <v>460745</v>
      </c>
      <c r="D137" s="21">
        <v>548309.72404600831</v>
      </c>
      <c r="E137" s="183">
        <f>$E$85</f>
        <v>7.7510000000000003</v>
      </c>
      <c r="F137" s="1" t="s">
        <v>362</v>
      </c>
      <c r="G137" s="2">
        <f>ROUND(E137*$C137/100,0)</f>
        <v>35712</v>
      </c>
      <c r="H137" s="2">
        <f>ROUND(E137*$D137/100,0)</f>
        <v>42499</v>
      </c>
      <c r="I137" s="183">
        <f>$I$85</f>
        <v>8.520999999999999</v>
      </c>
      <c r="J137" s="1" t="s">
        <v>362</v>
      </c>
      <c r="K137" s="2">
        <f>ROUND(I137*$C137/100,0)</f>
        <v>39260</v>
      </c>
      <c r="M137" s="20"/>
      <c r="N137" s="20"/>
      <c r="O137" s="71"/>
      <c r="P137" s="71"/>
      <c r="Q137" s="20"/>
      <c r="R137" s="20"/>
      <c r="S137" s="20"/>
      <c r="T137" s="20"/>
      <c r="U137" s="20"/>
      <c r="V137" s="20"/>
      <c r="W137" s="20"/>
      <c r="X137" s="20"/>
      <c r="Y137" s="20"/>
      <c r="Z137" s="20"/>
      <c r="AA137" s="20"/>
      <c r="AB137" s="20"/>
      <c r="AC137" s="20"/>
      <c r="AE137" s="81"/>
    </row>
    <row r="138" spans="1:31">
      <c r="A138" s="1" t="s">
        <v>365</v>
      </c>
      <c r="B138" s="1"/>
      <c r="C138" s="21">
        <v>1016</v>
      </c>
      <c r="D138" s="21">
        <v>1209.0911016522034</v>
      </c>
      <c r="E138" s="185">
        <f>$E$86</f>
        <v>1.55</v>
      </c>
      <c r="F138" s="1"/>
      <c r="G138" s="2">
        <f>ROUND(E138*$C138,0)</f>
        <v>1575</v>
      </c>
      <c r="H138" s="2">
        <f>ROUND(E138*$D138,0)</f>
        <v>1874</v>
      </c>
      <c r="I138" s="185">
        <f>$I$86</f>
        <v>1.65</v>
      </c>
      <c r="J138" s="1"/>
      <c r="K138" s="2">
        <f>ROUND(I138*$C138,0)</f>
        <v>1676</v>
      </c>
      <c r="M138" s="20"/>
      <c r="N138" s="20"/>
      <c r="O138" s="71"/>
      <c r="P138" s="71"/>
      <c r="Q138" s="20"/>
      <c r="R138" s="20"/>
      <c r="S138" s="20"/>
      <c r="T138" s="20"/>
      <c r="U138" s="20"/>
      <c r="V138" s="20"/>
      <c r="W138" s="20"/>
      <c r="X138" s="20"/>
      <c r="Y138" s="20"/>
      <c r="Z138" s="20"/>
      <c r="AA138" s="20"/>
      <c r="AB138" s="20"/>
      <c r="AC138" s="20"/>
      <c r="AE138" s="81"/>
    </row>
    <row r="139" spans="1:31">
      <c r="A139" s="187" t="s">
        <v>367</v>
      </c>
      <c r="B139" s="187"/>
      <c r="C139" s="21">
        <v>157</v>
      </c>
      <c r="D139" s="21">
        <v>186.83789661357866</v>
      </c>
      <c r="E139" s="185">
        <f>$E$87</f>
        <v>3</v>
      </c>
      <c r="F139" s="187"/>
      <c r="G139" s="2">
        <f>ROUND(E139*$C139,0)</f>
        <v>471</v>
      </c>
      <c r="H139" s="2">
        <f>ROUND(E139*$D139,0)</f>
        <v>561</v>
      </c>
      <c r="I139" s="185">
        <f>$I$87</f>
        <v>3.1999999999999997</v>
      </c>
      <c r="J139" s="187"/>
      <c r="K139" s="2">
        <f>ROUND(I139*$C139,0)</f>
        <v>502</v>
      </c>
      <c r="M139" s="20"/>
      <c r="N139" s="20"/>
      <c r="O139" s="71"/>
      <c r="P139" s="71"/>
      <c r="Q139" s="20"/>
      <c r="R139" s="20"/>
      <c r="S139" s="20"/>
      <c r="T139" s="20"/>
      <c r="U139" s="20"/>
      <c r="V139" s="20"/>
      <c r="W139" s="20"/>
      <c r="X139" s="20"/>
      <c r="Y139" s="20"/>
      <c r="Z139" s="20"/>
      <c r="AA139" s="20"/>
      <c r="AB139" s="20"/>
      <c r="AC139" s="20"/>
      <c r="AE139" s="81"/>
    </row>
    <row r="140" spans="1:31">
      <c r="A140" s="187" t="s">
        <v>368</v>
      </c>
      <c r="B140" s="187"/>
      <c r="C140" s="21">
        <v>22</v>
      </c>
      <c r="D140" s="21">
        <v>26.181106531839049</v>
      </c>
      <c r="E140" s="188">
        <f>-E138</f>
        <v>-1.55</v>
      </c>
      <c r="F140" s="187"/>
      <c r="G140" s="2">
        <f>ROUND(E140*$C140,0)</f>
        <v>-34</v>
      </c>
      <c r="H140" s="2">
        <f>ROUND(E140*$D140,0)</f>
        <v>-41</v>
      </c>
      <c r="I140" s="188">
        <f>-I138</f>
        <v>-1.65</v>
      </c>
      <c r="J140" s="187"/>
      <c r="K140" s="2">
        <f>ROUND(I140*$C140,0)</f>
        <v>-36</v>
      </c>
      <c r="M140" s="20"/>
      <c r="N140" s="20"/>
      <c r="O140" s="71"/>
      <c r="P140" s="71"/>
      <c r="Q140" s="20"/>
      <c r="R140" s="20"/>
      <c r="S140" s="20"/>
      <c r="T140" s="20"/>
      <c r="U140" s="20"/>
      <c r="V140" s="20"/>
      <c r="W140" s="20"/>
      <c r="X140" s="20"/>
      <c r="Y140" s="20"/>
      <c r="Z140" s="20"/>
      <c r="AA140" s="20"/>
      <c r="AB140" s="20"/>
      <c r="AC140" s="20"/>
      <c r="AE140" s="81"/>
    </row>
    <row r="141" spans="1:31">
      <c r="A141" s="1" t="s">
        <v>369</v>
      </c>
      <c r="B141" s="1"/>
      <c r="C141" s="21">
        <f>SUM(C136:C137)</f>
        <v>637329</v>
      </c>
      <c r="D141" s="21">
        <v>758453.56567411136</v>
      </c>
      <c r="E141" s="190"/>
      <c r="F141" s="2"/>
      <c r="G141" s="2">
        <f>SUM(G135:G140)</f>
        <v>48213</v>
      </c>
      <c r="H141" s="2">
        <f>SUM(H135:H140)</f>
        <v>57109</v>
      </c>
      <c r="I141" s="2"/>
      <c r="J141" s="2"/>
      <c r="K141" s="2">
        <f>SUM(K135:K140)</f>
        <v>52984</v>
      </c>
      <c r="M141" s="20"/>
      <c r="N141" s="20"/>
      <c r="O141" s="71"/>
      <c r="P141" s="71"/>
      <c r="Q141" s="20"/>
      <c r="R141" s="20"/>
      <c r="S141" s="20"/>
      <c r="T141" s="20"/>
      <c r="U141" s="20"/>
      <c r="V141" s="20"/>
      <c r="W141" s="20"/>
      <c r="X141" s="20"/>
      <c r="Y141" s="20"/>
      <c r="Z141" s="20"/>
      <c r="AA141" s="20"/>
      <c r="AB141" s="20"/>
      <c r="AC141" s="20"/>
      <c r="AE141" s="81"/>
    </row>
    <row r="142" spans="1:31">
      <c r="A142" s="1" t="s">
        <v>351</v>
      </c>
      <c r="B142" s="1"/>
      <c r="C142" s="201" t="e">
        <f>#REF!</f>
        <v>#REF!</v>
      </c>
      <c r="D142" s="192">
        <v>0</v>
      </c>
      <c r="E142" s="193"/>
      <c r="F142" s="193"/>
      <c r="G142" s="194" t="e">
        <f>#REF!</f>
        <v>#REF!</v>
      </c>
      <c r="H142" s="194">
        <v>0</v>
      </c>
      <c r="I142" s="193"/>
      <c r="J142" s="193"/>
      <c r="K142" s="194" t="e">
        <f>G142</f>
        <v>#REF!</v>
      </c>
      <c r="M142" s="328"/>
      <c r="N142" s="328"/>
      <c r="O142" s="171"/>
      <c r="P142" s="71"/>
      <c r="Q142" s="20"/>
      <c r="R142" s="20"/>
      <c r="S142" s="20"/>
      <c r="T142" s="20"/>
      <c r="U142" s="20"/>
      <c r="V142" s="20"/>
      <c r="W142" s="20"/>
      <c r="X142" s="20"/>
      <c r="Y142" s="20"/>
      <c r="Z142" s="20"/>
      <c r="AA142" s="20"/>
      <c r="AB142" s="20"/>
      <c r="AC142" s="20"/>
      <c r="AE142" s="81"/>
    </row>
    <row r="143" spans="1:31" ht="16.5" thickBot="1">
      <c r="A143" s="1" t="s">
        <v>370</v>
      </c>
      <c r="B143" s="1"/>
      <c r="C143" s="195" t="e">
        <f>C141+C142</f>
        <v>#REF!</v>
      </c>
      <c r="D143" s="195">
        <f>SUM(D141:D142)</f>
        <v>758453.56567411136</v>
      </c>
      <c r="E143" s="196"/>
      <c r="F143" s="196"/>
      <c r="G143" s="196" t="e">
        <f>G141+G142</f>
        <v>#REF!</v>
      </c>
      <c r="H143" s="196">
        <f>H141+H142</f>
        <v>57109</v>
      </c>
      <c r="I143" s="196"/>
      <c r="J143" s="196"/>
      <c r="K143" s="196" t="e">
        <f>K141+K142</f>
        <v>#REF!</v>
      </c>
      <c r="M143" s="295"/>
      <c r="N143" s="295"/>
      <c r="O143" s="354"/>
      <c r="P143" s="71"/>
      <c r="Q143" s="20"/>
      <c r="R143" s="20"/>
      <c r="S143" s="20"/>
      <c r="T143" s="20"/>
      <c r="U143" s="20"/>
      <c r="V143" s="20"/>
      <c r="W143" s="20"/>
      <c r="X143" s="20"/>
      <c r="Y143" s="20"/>
      <c r="Z143" s="20"/>
      <c r="AA143" s="20"/>
      <c r="AB143" s="20"/>
      <c r="AC143" s="20"/>
      <c r="AE143" s="81"/>
    </row>
    <row r="144" spans="1:31" ht="16.5" thickTop="1">
      <c r="A144" s="1"/>
      <c r="B144" s="197"/>
      <c r="C144" s="21"/>
      <c r="D144" s="21"/>
      <c r="E144" s="21"/>
      <c r="F144" s="21"/>
      <c r="I144" s="1" t="s">
        <v>31</v>
      </c>
      <c r="J144" s="1"/>
      <c r="K144" s="2" t="s">
        <v>31</v>
      </c>
      <c r="M144" s="20"/>
      <c r="N144" s="20"/>
      <c r="O144" s="71"/>
      <c r="P144" s="71"/>
      <c r="Q144" s="20"/>
      <c r="R144" s="20"/>
      <c r="S144" s="20"/>
      <c r="T144" s="20"/>
      <c r="U144" s="20"/>
      <c r="V144" s="20"/>
      <c r="W144" s="20"/>
      <c r="X144" s="20"/>
      <c r="Y144" s="20"/>
      <c r="Z144" s="20"/>
      <c r="AA144" s="20"/>
      <c r="AB144" s="20"/>
      <c r="AC144" s="20"/>
      <c r="AE144" s="81"/>
    </row>
    <row r="145" spans="1:31">
      <c r="A145" s="177" t="s">
        <v>375</v>
      </c>
      <c r="B145" s="1"/>
      <c r="C145" s="1"/>
      <c r="D145" s="1"/>
      <c r="E145" s="2"/>
      <c r="F145" s="2"/>
      <c r="G145" s="1" t="s">
        <v>31</v>
      </c>
      <c r="H145" s="1"/>
      <c r="I145" s="2"/>
      <c r="J145" s="1"/>
      <c r="K145" s="1"/>
      <c r="M145" s="20"/>
      <c r="N145" s="20"/>
      <c r="O145" s="71"/>
      <c r="P145" s="71"/>
      <c r="Q145" s="20"/>
      <c r="R145" s="20"/>
      <c r="S145" s="20"/>
      <c r="T145" s="20"/>
      <c r="U145" s="20"/>
      <c r="V145" s="20"/>
      <c r="W145" s="20"/>
      <c r="X145" s="20"/>
      <c r="Y145" s="20"/>
      <c r="Z145" s="20"/>
      <c r="AA145" s="20"/>
      <c r="AB145" s="20"/>
      <c r="AC145" s="20"/>
      <c r="AE145" s="81"/>
    </row>
    <row r="146" spans="1:31">
      <c r="A146" s="1" t="s">
        <v>376</v>
      </c>
      <c r="B146" s="1"/>
      <c r="C146" s="1"/>
      <c r="D146" s="1"/>
      <c r="E146" s="2"/>
      <c r="F146" s="2"/>
      <c r="G146" s="1"/>
      <c r="H146" s="1"/>
      <c r="I146" s="2"/>
      <c r="J146" s="1"/>
      <c r="K146" s="1"/>
      <c r="M146" s="20"/>
      <c r="N146" s="20"/>
      <c r="O146" s="71"/>
      <c r="P146" s="71"/>
      <c r="Q146" s="20"/>
      <c r="R146" s="20"/>
      <c r="S146" s="20"/>
      <c r="T146" s="20"/>
      <c r="U146" s="20"/>
      <c r="V146" s="20"/>
      <c r="W146" s="20"/>
      <c r="X146" s="20"/>
      <c r="Y146" s="20"/>
      <c r="Z146" s="20"/>
      <c r="AA146" s="20"/>
      <c r="AB146" s="20"/>
      <c r="AC146" s="20"/>
      <c r="AE146" s="81"/>
    </row>
    <row r="147" spans="1:31">
      <c r="A147" s="1"/>
      <c r="B147" s="1"/>
      <c r="C147" s="1"/>
      <c r="D147" s="1"/>
      <c r="E147" s="2"/>
      <c r="F147" s="2"/>
      <c r="G147" s="1"/>
      <c r="H147" s="1"/>
      <c r="I147" s="2"/>
      <c r="J147" s="1"/>
      <c r="K147" s="1"/>
      <c r="M147" s="20"/>
      <c r="N147" s="20"/>
      <c r="P147" s="71"/>
      <c r="Q147" s="20"/>
      <c r="R147" s="20"/>
      <c r="S147" s="20"/>
      <c r="T147" s="20"/>
      <c r="U147" s="20"/>
      <c r="V147" s="20"/>
      <c r="W147" s="20"/>
      <c r="X147" s="20"/>
      <c r="Y147" s="20"/>
      <c r="Z147" s="20"/>
      <c r="AA147" s="20"/>
      <c r="AB147" s="20"/>
      <c r="AC147" s="20"/>
      <c r="AE147" s="81"/>
    </row>
    <row r="148" spans="1:31">
      <c r="A148" s="1" t="s">
        <v>377</v>
      </c>
      <c r="B148" s="1"/>
      <c r="C148" s="1"/>
      <c r="D148" s="1"/>
      <c r="E148" s="2"/>
      <c r="F148" s="2"/>
      <c r="G148" s="1"/>
      <c r="H148" s="1"/>
      <c r="I148" s="2"/>
      <c r="J148" s="1"/>
      <c r="K148" s="1"/>
      <c r="M148" s="20"/>
      <c r="N148" s="20"/>
      <c r="O148" s="71"/>
      <c r="P148" s="71"/>
      <c r="Q148" s="20"/>
      <c r="R148" s="20"/>
      <c r="S148" s="20"/>
      <c r="T148" s="20"/>
      <c r="U148" s="20"/>
      <c r="V148" s="20"/>
      <c r="W148" s="20"/>
      <c r="X148" s="20"/>
      <c r="Y148" s="20"/>
      <c r="Z148" s="20"/>
      <c r="AA148" s="20"/>
      <c r="AB148" s="20"/>
      <c r="AC148" s="20"/>
      <c r="AE148" s="81"/>
    </row>
    <row r="149" spans="1:31">
      <c r="A149" s="1" t="s">
        <v>378</v>
      </c>
      <c r="B149" s="1"/>
      <c r="C149" s="21">
        <f>C384</f>
        <v>1</v>
      </c>
      <c r="D149" s="21">
        <f>D384</f>
        <v>1</v>
      </c>
      <c r="E149" s="182">
        <v>90.36</v>
      </c>
      <c r="F149" s="2"/>
      <c r="G149" s="2">
        <f t="shared" ref="G149:H151" si="8">G355</f>
        <v>90</v>
      </c>
      <c r="H149" s="2">
        <f t="shared" si="8"/>
        <v>90</v>
      </c>
      <c r="I149" s="182">
        <f>I153*12</f>
        <v>96</v>
      </c>
      <c r="J149" s="1"/>
      <c r="K149" s="2">
        <f>K355</f>
        <v>96</v>
      </c>
      <c r="M149" s="81">
        <f>I149*D149</f>
        <v>96</v>
      </c>
      <c r="O149" s="14">
        <f>(I149-E149)/E149</f>
        <v>6.2416998671978759E-2</v>
      </c>
      <c r="T149" s="3" t="s">
        <v>359</v>
      </c>
      <c r="U149" s="3" t="s">
        <v>295</v>
      </c>
      <c r="V149" s="3" t="s">
        <v>360</v>
      </c>
      <c r="W149" s="3" t="s">
        <v>304</v>
      </c>
      <c r="X149" s="20"/>
      <c r="Y149" s="20"/>
      <c r="Z149" s="20"/>
      <c r="AA149" s="20"/>
      <c r="AB149" s="20"/>
      <c r="AC149" s="20"/>
      <c r="AE149" s="81"/>
    </row>
    <row r="150" spans="1:31">
      <c r="A150" s="1" t="s">
        <v>379</v>
      </c>
      <c r="B150" s="1"/>
      <c r="C150" s="21">
        <f>C356</f>
        <v>107</v>
      </c>
      <c r="D150" s="21">
        <f>D356</f>
        <v>109.09090909090909</v>
      </c>
      <c r="E150" s="182">
        <v>134.16</v>
      </c>
      <c r="F150" s="2"/>
      <c r="G150" s="2">
        <f t="shared" si="8"/>
        <v>14355</v>
      </c>
      <c r="H150" s="2">
        <f t="shared" si="8"/>
        <v>14635</v>
      </c>
      <c r="I150" s="182">
        <f>I154*12</f>
        <v>142.53386454183266</v>
      </c>
      <c r="J150" s="1"/>
      <c r="K150" s="2">
        <f>K356</f>
        <v>15252</v>
      </c>
      <c r="M150" s="81">
        <f>I150*D150</f>
        <v>15549.148859109018</v>
      </c>
      <c r="N150" s="81"/>
      <c r="O150" s="14">
        <f>(I150-E150)/E150</f>
        <v>6.2416998671978682E-2</v>
      </c>
      <c r="S150" s="3" t="s">
        <v>20</v>
      </c>
      <c r="T150" s="81">
        <f>H149+H150+H153+H154</f>
        <v>1828725</v>
      </c>
      <c r="U150" s="81">
        <f>K149+K150+K153+K154</f>
        <v>1959163</v>
      </c>
      <c r="V150" s="103">
        <v>1916638.7857408486</v>
      </c>
      <c r="W150" s="128">
        <f>U150/V150</f>
        <v>1.0221868693128393</v>
      </c>
      <c r="X150" s="20"/>
      <c r="Y150" s="20"/>
      <c r="Z150" s="20"/>
      <c r="AA150" s="20"/>
      <c r="AB150" s="20"/>
      <c r="AC150" s="20"/>
      <c r="AE150" s="81"/>
    </row>
    <row r="151" spans="1:31">
      <c r="A151" s="1" t="s">
        <v>380</v>
      </c>
      <c r="B151" s="1"/>
      <c r="C151" s="21">
        <f>C357</f>
        <v>4321</v>
      </c>
      <c r="D151" s="21">
        <f>D357</f>
        <v>1974</v>
      </c>
      <c r="E151" s="182">
        <v>9.36</v>
      </c>
      <c r="F151" s="2"/>
      <c r="G151" s="2">
        <f t="shared" si="8"/>
        <v>40445</v>
      </c>
      <c r="H151" s="2">
        <f t="shared" si="8"/>
        <v>18476</v>
      </c>
      <c r="I151" s="182">
        <v>9.94</v>
      </c>
      <c r="J151" s="1"/>
      <c r="K151" s="2">
        <f>K357</f>
        <v>42951</v>
      </c>
      <c r="M151" s="81">
        <f>I151*D151</f>
        <v>19621.559999999998</v>
      </c>
      <c r="O151" s="14">
        <f>(I151-E151)/E151</f>
        <v>6.1965811965811975E-2</v>
      </c>
      <c r="R151" s="3" t="s">
        <v>31</v>
      </c>
      <c r="S151" s="3" t="s">
        <v>392</v>
      </c>
      <c r="T151" s="81" t="e">
        <f>H155</f>
        <v>#REF!</v>
      </c>
      <c r="U151" s="81">
        <f>K155</f>
        <v>1061210</v>
      </c>
      <c r="V151" s="103">
        <v>5367292.197431691</v>
      </c>
      <c r="W151" s="128">
        <f>U151/V151</f>
        <v>0.19771794807590329</v>
      </c>
      <c r="X151" s="20"/>
      <c r="Y151" s="20"/>
      <c r="Z151" s="20"/>
      <c r="AA151" s="20"/>
      <c r="AB151" s="20"/>
      <c r="AC151" s="20"/>
      <c r="AE151" s="81"/>
    </row>
    <row r="152" spans="1:31">
      <c r="A152" s="1" t="s">
        <v>381</v>
      </c>
      <c r="B152" s="1"/>
      <c r="C152" s="203"/>
      <c r="D152" s="203"/>
      <c r="E152" s="2"/>
      <c r="F152" s="2"/>
      <c r="G152" s="1"/>
      <c r="H152" s="1"/>
      <c r="I152" s="2"/>
      <c r="J152" s="1"/>
      <c r="K152" s="1"/>
      <c r="O152" s="204"/>
      <c r="S152" s="3" t="s">
        <v>364</v>
      </c>
      <c r="T152" s="81" t="e">
        <f>SUM(H159:H161)-Q159</f>
        <v>#REF!</v>
      </c>
      <c r="U152" s="81" t="e">
        <f>SUM(K159:K161)-R159</f>
        <v>#REF!</v>
      </c>
      <c r="V152" s="103">
        <v>26743743.576655678</v>
      </c>
      <c r="W152" s="128" t="e">
        <f>U152/V152</f>
        <v>#REF!</v>
      </c>
      <c r="X152" s="20"/>
      <c r="Y152" s="20"/>
      <c r="Z152" s="20"/>
      <c r="AA152" s="20"/>
      <c r="AB152" s="20"/>
      <c r="AC152" s="20"/>
      <c r="AE152" s="81"/>
    </row>
    <row r="153" spans="1:31">
      <c r="A153" s="1" t="s">
        <v>378</v>
      </c>
      <c r="B153" s="1"/>
      <c r="C153" s="203">
        <f t="shared" ref="C153:D155" si="9">C183+C267</f>
        <v>153375</v>
      </c>
      <c r="D153" s="203">
        <f t="shared" si="9"/>
        <v>152066</v>
      </c>
      <c r="E153" s="182">
        <v>7.53</v>
      </c>
      <c r="F153" s="205"/>
      <c r="G153" s="206">
        <f t="shared" ref="G153:H155" si="10">G183+G267</f>
        <v>1154913</v>
      </c>
      <c r="H153" s="206">
        <f t="shared" si="10"/>
        <v>1145056</v>
      </c>
      <c r="I153" s="182">
        <v>8</v>
      </c>
      <c r="J153" s="207"/>
      <c r="K153" s="206">
        <f>K183+K267</f>
        <v>1227000</v>
      </c>
      <c r="M153" s="81">
        <f>I153*D153</f>
        <v>1216528</v>
      </c>
      <c r="O153" s="14">
        <f>(I153-E153)/E153</f>
        <v>6.2416998671978717E-2</v>
      </c>
      <c r="S153" s="3" t="s">
        <v>394</v>
      </c>
      <c r="T153" s="81" t="e">
        <f>H158+Q159</f>
        <v>#REF!</v>
      </c>
      <c r="U153" s="81" t="e">
        <f>K158+R159</f>
        <v>#REF!</v>
      </c>
      <c r="V153" s="103">
        <v>4454867.4522770187</v>
      </c>
      <c r="W153" s="128" t="e">
        <f>U153/V153</f>
        <v>#REF!</v>
      </c>
      <c r="X153" s="20"/>
      <c r="Y153" s="20"/>
      <c r="Z153" s="20"/>
      <c r="AA153" s="20"/>
      <c r="AB153" s="20"/>
      <c r="AC153" s="20"/>
      <c r="AE153" s="81"/>
    </row>
    <row r="154" spans="1:31">
      <c r="A154" s="1" t="s">
        <v>379</v>
      </c>
      <c r="B154" s="1"/>
      <c r="C154" s="203">
        <f t="shared" si="9"/>
        <v>60349</v>
      </c>
      <c r="D154" s="203">
        <f t="shared" si="9"/>
        <v>59834</v>
      </c>
      <c r="E154" s="182">
        <v>11.18</v>
      </c>
      <c r="F154" s="208"/>
      <c r="G154" s="206">
        <f t="shared" si="10"/>
        <v>674702</v>
      </c>
      <c r="H154" s="206">
        <f t="shared" si="10"/>
        <v>668944</v>
      </c>
      <c r="I154" s="182">
        <f>I153/E153*E154</f>
        <v>11.877822045152721</v>
      </c>
      <c r="J154" s="209"/>
      <c r="K154" s="206">
        <f>K184+K268</f>
        <v>716815</v>
      </c>
      <c r="M154" s="81">
        <f>I154*D154</f>
        <v>710697.60424966784</v>
      </c>
      <c r="O154" s="14">
        <f>(I154-E154)/E154</f>
        <v>6.2416998671978627E-2</v>
      </c>
      <c r="Q154" s="81"/>
      <c r="V154" s="20"/>
      <c r="W154" s="20"/>
      <c r="X154" s="20"/>
      <c r="Y154" s="20"/>
      <c r="Z154" s="20"/>
      <c r="AA154" s="20"/>
      <c r="AB154" s="20"/>
      <c r="AC154" s="20"/>
      <c r="AE154" s="81"/>
    </row>
    <row r="155" spans="1:31">
      <c r="A155" s="1" t="s">
        <v>380</v>
      </c>
      <c r="B155" s="1"/>
      <c r="C155" s="203">
        <f t="shared" si="9"/>
        <v>1278566</v>
      </c>
      <c r="D155" s="203" t="e">
        <f t="shared" si="9"/>
        <v>#REF!</v>
      </c>
      <c r="E155" s="182">
        <v>0.78</v>
      </c>
      <c r="F155" s="208"/>
      <c r="G155" s="206">
        <f t="shared" si="10"/>
        <v>997281</v>
      </c>
      <c r="H155" s="206" t="e">
        <f t="shared" si="10"/>
        <v>#REF!</v>
      </c>
      <c r="I155" s="182">
        <v>0.83</v>
      </c>
      <c r="J155" s="209"/>
      <c r="K155" s="206">
        <f>K185+K269</f>
        <v>1061210</v>
      </c>
      <c r="M155" s="81" t="e">
        <f>I155*D155</f>
        <v>#REF!</v>
      </c>
      <c r="O155" s="14">
        <f>(I155-E155)/E155</f>
        <v>6.4102564102564014E-2</v>
      </c>
      <c r="R155" s="15"/>
      <c r="S155" s="15"/>
      <c r="V155" s="20"/>
      <c r="W155" s="20"/>
      <c r="X155" s="20"/>
      <c r="Y155" s="20"/>
      <c r="Z155" s="20"/>
      <c r="AA155" s="20"/>
      <c r="AB155" s="20"/>
      <c r="AC155" s="20"/>
      <c r="AE155" s="81"/>
    </row>
    <row r="156" spans="1:31">
      <c r="A156" s="1" t="s">
        <v>382</v>
      </c>
      <c r="B156" s="1"/>
      <c r="C156" s="203">
        <f>SUM(C153:C154)</f>
        <v>213724</v>
      </c>
      <c r="D156" s="203">
        <f>SUM(D153:D154)</f>
        <v>211900</v>
      </c>
      <c r="E156" s="182"/>
      <c r="F156" s="205"/>
      <c r="G156" s="206"/>
      <c r="H156" s="206"/>
      <c r="I156" s="182"/>
      <c r="J156" s="207"/>
      <c r="K156" s="206"/>
      <c r="O156" s="204"/>
      <c r="V156" s="20"/>
      <c r="W156" s="20"/>
      <c r="X156" s="20"/>
      <c r="Y156" s="20"/>
      <c r="Z156" s="20"/>
      <c r="AA156" s="20"/>
      <c r="AB156" s="20"/>
      <c r="AC156" s="20"/>
      <c r="AE156" s="81"/>
    </row>
    <row r="157" spans="1:31">
      <c r="A157" s="1" t="s">
        <v>350</v>
      </c>
      <c r="B157" s="1"/>
      <c r="C157" s="203">
        <f t="shared" ref="C157:C162" si="11">C186+C271+C359</f>
        <v>211679</v>
      </c>
      <c r="D157" s="203">
        <f>D186+D271+D358</f>
        <v>208713.84090909091</v>
      </c>
      <c r="E157" s="182"/>
      <c r="F157" s="205"/>
      <c r="G157" s="206"/>
      <c r="H157" s="206"/>
      <c r="I157" s="182"/>
      <c r="J157" s="207"/>
      <c r="K157" s="206"/>
      <c r="O157" s="204"/>
      <c r="V157" s="20"/>
      <c r="W157" s="20"/>
      <c r="X157" s="20"/>
      <c r="Y157" s="20"/>
      <c r="Z157" s="20"/>
      <c r="AA157" s="20"/>
      <c r="AB157" s="20"/>
      <c r="AC157" s="20"/>
      <c r="AE157" s="81"/>
    </row>
    <row r="158" spans="1:31">
      <c r="A158" s="1" t="s">
        <v>383</v>
      </c>
      <c r="B158" s="1"/>
      <c r="C158" s="203">
        <f t="shared" si="11"/>
        <v>834211</v>
      </c>
      <c r="D158" s="203" t="e">
        <f>D187+D272+D360</f>
        <v>#REF!</v>
      </c>
      <c r="E158" s="182">
        <v>2.88</v>
      </c>
      <c r="F158" s="207"/>
      <c r="G158" s="206">
        <f t="shared" ref="G158:H162" si="12">G187+G272+G360</f>
        <v>2402528</v>
      </c>
      <c r="H158" s="206" t="e">
        <f t="shared" si="12"/>
        <v>#REF!</v>
      </c>
      <c r="I158" s="182">
        <v>2.97</v>
      </c>
      <c r="J158" s="207"/>
      <c r="K158" s="206">
        <f>K187+K272+K360</f>
        <v>2477606</v>
      </c>
      <c r="M158" s="81" t="e">
        <f>I158*D158</f>
        <v>#REF!</v>
      </c>
      <c r="O158" s="14">
        <f>(I158-E158)/E158</f>
        <v>3.1250000000000104E-2</v>
      </c>
      <c r="Q158" s="3" t="s">
        <v>384</v>
      </c>
      <c r="V158" s="20"/>
      <c r="W158" s="20"/>
      <c r="X158" s="20"/>
      <c r="Y158" s="20"/>
      <c r="Z158" s="20"/>
      <c r="AA158" s="20"/>
      <c r="AB158" s="20"/>
      <c r="AC158" s="20"/>
      <c r="AE158" s="81"/>
    </row>
    <row r="159" spans="1:31">
      <c r="A159" s="1" t="s">
        <v>385</v>
      </c>
      <c r="B159" s="1"/>
      <c r="C159" s="203" t="e">
        <f t="shared" si="11"/>
        <v>#REF!</v>
      </c>
      <c r="D159" s="203" t="e">
        <f>D188+D273+D361</f>
        <v>#REF!</v>
      </c>
      <c r="E159" s="183">
        <v>8.0890000000000004</v>
      </c>
      <c r="F159" s="207" t="s">
        <v>362</v>
      </c>
      <c r="G159" s="206" t="e">
        <f t="shared" si="12"/>
        <v>#REF!</v>
      </c>
      <c r="H159" s="206" t="e">
        <f t="shared" si="12"/>
        <v>#REF!</v>
      </c>
      <c r="I159" s="183">
        <v>8.8109999999999999</v>
      </c>
      <c r="J159" s="207" t="s">
        <v>362</v>
      </c>
      <c r="K159" s="206" t="e">
        <f>K188+K273+K361</f>
        <v>#REF!</v>
      </c>
      <c r="M159" s="81" t="e">
        <f>(I159/100)*D159</f>
        <v>#REF!</v>
      </c>
      <c r="O159" s="14">
        <f>(I159-E159)/E159</f>
        <v>8.9257015700333731E-2</v>
      </c>
      <c r="Q159" s="127" t="e">
        <f>H159+H160-(D159+D160)*E161/100</f>
        <v>#REF!</v>
      </c>
      <c r="R159" s="127" t="e">
        <f>K159+K160-(D159+D160)*I161/100</f>
        <v>#REF!</v>
      </c>
      <c r="V159" s="20"/>
      <c r="W159" s="20"/>
      <c r="X159" s="20"/>
      <c r="Y159" s="20"/>
      <c r="Z159" s="20"/>
      <c r="AA159" s="20"/>
      <c r="AB159" s="20"/>
      <c r="AC159" s="20"/>
      <c r="AE159" s="81"/>
    </row>
    <row r="160" spans="1:31">
      <c r="A160" s="1" t="s">
        <v>386</v>
      </c>
      <c r="B160" s="1"/>
      <c r="C160" s="203" t="e">
        <f t="shared" si="11"/>
        <v>#REF!</v>
      </c>
      <c r="D160" s="203" t="e">
        <f>D189+D274+D362</f>
        <v>#REF!</v>
      </c>
      <c r="E160" s="183">
        <v>5.5839999999999996</v>
      </c>
      <c r="F160" s="207" t="s">
        <v>362</v>
      </c>
      <c r="G160" s="206" t="e">
        <f t="shared" si="12"/>
        <v>#REF!</v>
      </c>
      <c r="H160" s="206" t="e">
        <f t="shared" si="12"/>
        <v>#REF!</v>
      </c>
      <c r="I160" s="183">
        <f>ROUND(I159/E159*E160,3)</f>
        <v>6.0819999999999999</v>
      </c>
      <c r="J160" s="207" t="s">
        <v>362</v>
      </c>
      <c r="K160" s="206" t="e">
        <f>K189+K274+K362</f>
        <v>#REF!</v>
      </c>
      <c r="M160" s="81" t="e">
        <f>(I160/100)*D160</f>
        <v>#REF!</v>
      </c>
      <c r="N160" s="213"/>
      <c r="O160" s="14">
        <f>(I160-E160)/E160</f>
        <v>8.9183381088825259E-2</v>
      </c>
      <c r="V160" s="20"/>
      <c r="W160" s="20"/>
      <c r="X160" s="20"/>
      <c r="Y160" s="20"/>
      <c r="Z160" s="20"/>
      <c r="AA160" s="20"/>
      <c r="AB160" s="20"/>
      <c r="AC160" s="20"/>
      <c r="AE160" s="81"/>
    </row>
    <row r="161" spans="1:31">
      <c r="A161" s="1" t="s">
        <v>387</v>
      </c>
      <c r="B161" s="1"/>
      <c r="C161" s="203" t="e">
        <f t="shared" si="11"/>
        <v>#REF!</v>
      </c>
      <c r="D161" s="203" t="e">
        <f>D190+D275+D363</f>
        <v>#REF!</v>
      </c>
      <c r="E161" s="183">
        <v>4.8099999999999996</v>
      </c>
      <c r="F161" s="207" t="s">
        <v>362</v>
      </c>
      <c r="G161" s="206" t="e">
        <f t="shared" si="12"/>
        <v>#REF!</v>
      </c>
      <c r="H161" s="206" t="e">
        <f t="shared" si="12"/>
        <v>#REF!</v>
      </c>
      <c r="I161" s="183">
        <f>ROUND(I159/E159*E161,3)+0.001</f>
        <v>5.24</v>
      </c>
      <c r="J161" s="207" t="s">
        <v>362</v>
      </c>
      <c r="K161" s="206" t="e">
        <f>K190+K275+K363</f>
        <v>#REF!</v>
      </c>
      <c r="M161" s="81" t="e">
        <f>(I161/100)*D161</f>
        <v>#REF!</v>
      </c>
      <c r="N161" s="184"/>
      <c r="O161" s="14">
        <f>(I161-E161)/E161</f>
        <v>8.9397089397089527E-2</v>
      </c>
      <c r="Q161" s="81" t="e">
        <f>K159+K160+K161-R159</f>
        <v>#REF!</v>
      </c>
      <c r="V161" s="20"/>
      <c r="W161" s="20"/>
      <c r="X161" s="20"/>
      <c r="Y161" s="20"/>
      <c r="Z161" s="20"/>
      <c r="AA161" s="20"/>
      <c r="AB161" s="20"/>
      <c r="AC161" s="20"/>
      <c r="AE161" s="81"/>
    </row>
    <row r="162" spans="1:31">
      <c r="A162" s="1" t="s">
        <v>388</v>
      </c>
      <c r="B162" s="1"/>
      <c r="C162" s="203">
        <f t="shared" si="11"/>
        <v>93898</v>
      </c>
      <c r="D162" s="203" t="e">
        <f>D191+D276+D364</f>
        <v>#REF!</v>
      </c>
      <c r="E162" s="214">
        <v>45</v>
      </c>
      <c r="F162" s="205" t="s">
        <v>362</v>
      </c>
      <c r="G162" s="206">
        <f t="shared" si="12"/>
        <v>42254</v>
      </c>
      <c r="H162" s="206" t="e">
        <f t="shared" si="12"/>
        <v>#REF!</v>
      </c>
      <c r="I162" s="214">
        <v>50</v>
      </c>
      <c r="J162" s="207" t="s">
        <v>362</v>
      </c>
      <c r="K162" s="206">
        <f>K191+K276+K364</f>
        <v>46950</v>
      </c>
      <c r="M162" s="81" t="e">
        <f>(I162/100)*D162</f>
        <v>#REF!</v>
      </c>
      <c r="O162" s="14">
        <f>(I162-E162)/E162</f>
        <v>0.1111111111111111</v>
      </c>
      <c r="V162" s="20"/>
      <c r="W162" s="20"/>
      <c r="X162" s="20"/>
      <c r="Y162" s="20"/>
      <c r="Z162" s="20"/>
      <c r="AA162" s="20"/>
      <c r="AB162" s="20"/>
      <c r="AC162" s="20"/>
      <c r="AE162" s="81"/>
    </row>
    <row r="163" spans="1:31">
      <c r="A163" s="215" t="s">
        <v>389</v>
      </c>
      <c r="B163" s="1"/>
      <c r="C163" s="203"/>
      <c r="D163" s="203"/>
      <c r="E163" s="216">
        <v>-0.01</v>
      </c>
      <c r="F163" s="205"/>
      <c r="G163" s="206"/>
      <c r="H163" s="206"/>
      <c r="I163" s="216">
        <v>-0.01</v>
      </c>
      <c r="J163" s="207"/>
      <c r="K163" s="206"/>
      <c r="O163" s="217"/>
      <c r="V163" s="20"/>
      <c r="W163" s="20"/>
      <c r="X163" s="20"/>
      <c r="Y163" s="20"/>
      <c r="Z163" s="20"/>
      <c r="AA163" s="20"/>
      <c r="AB163" s="20"/>
      <c r="AC163" s="20"/>
      <c r="AE163" s="81"/>
    </row>
    <row r="164" spans="1:31">
      <c r="A164" s="1" t="s">
        <v>378</v>
      </c>
      <c r="B164" s="1"/>
      <c r="C164" s="203">
        <f t="shared" ref="C164:D175" si="13">C193+C278+C366</f>
        <v>48</v>
      </c>
      <c r="D164" s="203">
        <f t="shared" si="13"/>
        <v>48</v>
      </c>
      <c r="E164" s="218">
        <f>E153</f>
        <v>7.53</v>
      </c>
      <c r="F164" s="205"/>
      <c r="G164" s="206">
        <f t="shared" ref="G164:H175" si="14">G193+G278+G366</f>
        <v>-4</v>
      </c>
      <c r="H164" s="206">
        <f t="shared" si="14"/>
        <v>-4</v>
      </c>
      <c r="I164" s="218">
        <f>I153</f>
        <v>8</v>
      </c>
      <c r="J164" s="205"/>
      <c r="K164" s="206">
        <f t="shared" ref="K164:K174" si="15">K193+K278+K366</f>
        <v>-4</v>
      </c>
      <c r="M164" s="81">
        <f>-(I164/100)*D164</f>
        <v>-3.84</v>
      </c>
      <c r="V164" s="20"/>
      <c r="W164" s="20"/>
      <c r="X164" s="20"/>
      <c r="Y164" s="20"/>
      <c r="Z164" s="20"/>
      <c r="AA164" s="20"/>
      <c r="AB164" s="20"/>
      <c r="AC164" s="20"/>
      <c r="AE164" s="81"/>
    </row>
    <row r="165" spans="1:31">
      <c r="A165" s="1" t="s">
        <v>379</v>
      </c>
      <c r="B165" s="1"/>
      <c r="C165" s="203">
        <f t="shared" si="13"/>
        <v>93</v>
      </c>
      <c r="D165" s="203">
        <f t="shared" si="13"/>
        <v>92</v>
      </c>
      <c r="E165" s="218">
        <f>E154</f>
        <v>11.18</v>
      </c>
      <c r="F165" s="205"/>
      <c r="G165" s="206">
        <f t="shared" si="14"/>
        <v>-10</v>
      </c>
      <c r="H165" s="206">
        <f t="shared" si="14"/>
        <v>-10</v>
      </c>
      <c r="I165" s="218">
        <f>I154</f>
        <v>11.877822045152721</v>
      </c>
      <c r="J165" s="205"/>
      <c r="K165" s="206">
        <f t="shared" si="15"/>
        <v>-11</v>
      </c>
      <c r="M165" s="81">
        <f>-(I165/100)*D165</f>
        <v>-10.927596281540502</v>
      </c>
      <c r="X165" s="20"/>
      <c r="Y165" s="20"/>
      <c r="Z165" s="20"/>
      <c r="AA165" s="20"/>
      <c r="AB165" s="20"/>
      <c r="AC165" s="20"/>
      <c r="AE165" s="81"/>
    </row>
    <row r="166" spans="1:31">
      <c r="A166" s="1" t="s">
        <v>390</v>
      </c>
      <c r="B166" s="1"/>
      <c r="C166" s="203">
        <f t="shared" si="13"/>
        <v>3543</v>
      </c>
      <c r="D166" s="203" t="e">
        <f t="shared" si="13"/>
        <v>#REF!</v>
      </c>
      <c r="E166" s="218">
        <f>E155</f>
        <v>0.78</v>
      </c>
      <c r="F166" s="205"/>
      <c r="G166" s="206">
        <f t="shared" si="14"/>
        <v>-28</v>
      </c>
      <c r="H166" s="206" t="e">
        <f t="shared" si="14"/>
        <v>#REF!</v>
      </c>
      <c r="I166" s="218">
        <f>I155</f>
        <v>0.83</v>
      </c>
      <c r="J166" s="205"/>
      <c r="K166" s="206">
        <f t="shared" si="15"/>
        <v>-29</v>
      </c>
      <c r="M166" s="81" t="e">
        <f>-(I166/100)*D166</f>
        <v>#REF!</v>
      </c>
      <c r="X166" s="20"/>
      <c r="Y166" s="20"/>
      <c r="Z166" s="20"/>
      <c r="AA166" s="20"/>
      <c r="AB166" s="20"/>
      <c r="AC166" s="20"/>
      <c r="AE166" s="81"/>
    </row>
    <row r="167" spans="1:31">
      <c r="A167" s="1" t="s">
        <v>391</v>
      </c>
      <c r="B167" s="1"/>
      <c r="C167" s="203">
        <f t="shared" si="13"/>
        <v>1576</v>
      </c>
      <c r="D167" s="203" t="e">
        <f t="shared" si="13"/>
        <v>#REF!</v>
      </c>
      <c r="E167" s="218">
        <f>E158</f>
        <v>2.88</v>
      </c>
      <c r="F167" s="207"/>
      <c r="G167" s="206">
        <f t="shared" si="14"/>
        <v>-45</v>
      </c>
      <c r="H167" s="206" t="e">
        <f t="shared" si="14"/>
        <v>#REF!</v>
      </c>
      <c r="I167" s="218">
        <f>I158</f>
        <v>2.97</v>
      </c>
      <c r="J167" s="207"/>
      <c r="K167" s="206">
        <f t="shared" si="15"/>
        <v>-47</v>
      </c>
      <c r="M167" s="81" t="e">
        <f>-(I167/100)*D167</f>
        <v>#REF!</v>
      </c>
      <c r="X167" s="20"/>
      <c r="Y167" s="20"/>
      <c r="Z167" s="20"/>
      <c r="AA167" s="20"/>
      <c r="AB167" s="20"/>
      <c r="AC167" s="20"/>
      <c r="AE167" s="81"/>
    </row>
    <row r="168" spans="1:31">
      <c r="A168" s="1" t="s">
        <v>393</v>
      </c>
      <c r="B168" s="1"/>
      <c r="C168" s="203">
        <f t="shared" si="13"/>
        <v>84935</v>
      </c>
      <c r="D168" s="203" t="e">
        <f t="shared" si="13"/>
        <v>#REF!</v>
      </c>
      <c r="E168" s="219">
        <f>E159</f>
        <v>8.0890000000000004</v>
      </c>
      <c r="F168" s="207" t="s">
        <v>362</v>
      </c>
      <c r="G168" s="206">
        <f t="shared" si="14"/>
        <v>-69</v>
      </c>
      <c r="H168" s="206" t="e">
        <f t="shared" si="14"/>
        <v>#REF!</v>
      </c>
      <c r="I168" s="219">
        <f>I159</f>
        <v>8.8109999999999999</v>
      </c>
      <c r="J168" s="207" t="s">
        <v>362</v>
      </c>
      <c r="K168" s="206">
        <f t="shared" si="15"/>
        <v>-75</v>
      </c>
      <c r="M168" s="81" t="e">
        <f>-((I168/100)*D168)/100</f>
        <v>#REF!</v>
      </c>
      <c r="X168" s="20"/>
      <c r="Y168" s="20"/>
      <c r="Z168" s="20"/>
      <c r="AA168" s="20"/>
      <c r="AB168" s="20"/>
      <c r="AC168" s="20"/>
      <c r="AE168" s="81"/>
    </row>
    <row r="169" spans="1:31">
      <c r="A169" s="1" t="s">
        <v>386</v>
      </c>
      <c r="B169" s="1"/>
      <c r="C169" s="203">
        <f t="shared" si="13"/>
        <v>270692</v>
      </c>
      <c r="D169" s="203" t="e">
        <f t="shared" si="13"/>
        <v>#REF!</v>
      </c>
      <c r="E169" s="219">
        <f>E160</f>
        <v>5.5839999999999996</v>
      </c>
      <c r="F169" s="207" t="s">
        <v>362</v>
      </c>
      <c r="G169" s="206">
        <f t="shared" si="14"/>
        <v>-151</v>
      </c>
      <c r="H169" s="206" t="e">
        <f t="shared" si="14"/>
        <v>#REF!</v>
      </c>
      <c r="I169" s="219">
        <f>I160</f>
        <v>6.0819999999999999</v>
      </c>
      <c r="J169" s="207" t="s">
        <v>362</v>
      </c>
      <c r="K169" s="206">
        <f t="shared" si="15"/>
        <v>-165</v>
      </c>
      <c r="M169" s="81" t="e">
        <f>-((I169/100)*D169)/100</f>
        <v>#REF!</v>
      </c>
      <c r="X169" s="20"/>
      <c r="Y169" s="20"/>
      <c r="Z169" s="20"/>
      <c r="AA169" s="20"/>
      <c r="AB169" s="20"/>
      <c r="AC169" s="20"/>
      <c r="AE169" s="81"/>
    </row>
    <row r="170" spans="1:31">
      <c r="A170" s="1" t="s">
        <v>387</v>
      </c>
      <c r="B170" s="1"/>
      <c r="C170" s="203">
        <f t="shared" si="13"/>
        <v>65960</v>
      </c>
      <c r="D170" s="203" t="e">
        <f t="shared" si="13"/>
        <v>#REF!</v>
      </c>
      <c r="E170" s="219">
        <f>E161</f>
        <v>4.8099999999999996</v>
      </c>
      <c r="F170" s="207" t="s">
        <v>362</v>
      </c>
      <c r="G170" s="206">
        <f t="shared" si="14"/>
        <v>-32</v>
      </c>
      <c r="H170" s="206" t="e">
        <f t="shared" si="14"/>
        <v>#REF!</v>
      </c>
      <c r="I170" s="219">
        <f>I161</f>
        <v>5.24</v>
      </c>
      <c r="J170" s="207" t="s">
        <v>362</v>
      </c>
      <c r="K170" s="206">
        <f t="shared" si="15"/>
        <v>-35</v>
      </c>
      <c r="M170" s="81" t="e">
        <f>-((I170/100)*D170)/100</f>
        <v>#REF!</v>
      </c>
      <c r="V170" s="20"/>
      <c r="W170" s="20"/>
      <c r="X170" s="20"/>
      <c r="Y170" s="20"/>
      <c r="Z170" s="20"/>
      <c r="AA170" s="20"/>
      <c r="AB170" s="20"/>
      <c r="AC170" s="20"/>
      <c r="AE170" s="81"/>
    </row>
    <row r="171" spans="1:31">
      <c r="A171" s="1" t="s">
        <v>388</v>
      </c>
      <c r="B171" s="1"/>
      <c r="C171" s="203">
        <f t="shared" si="13"/>
        <v>2996</v>
      </c>
      <c r="D171" s="203" t="e">
        <f t="shared" si="13"/>
        <v>#REF!</v>
      </c>
      <c r="E171" s="220">
        <f>E162</f>
        <v>45</v>
      </c>
      <c r="F171" s="207" t="s">
        <v>362</v>
      </c>
      <c r="G171" s="206">
        <f t="shared" si="14"/>
        <v>-13</v>
      </c>
      <c r="H171" s="206" t="e">
        <f t="shared" si="14"/>
        <v>#REF!</v>
      </c>
      <c r="I171" s="220">
        <f>I162</f>
        <v>50</v>
      </c>
      <c r="J171" s="207" t="s">
        <v>362</v>
      </c>
      <c r="K171" s="206">
        <f t="shared" si="15"/>
        <v>-15</v>
      </c>
      <c r="M171" s="81" t="e">
        <f>-((I171/100)*D171)/100</f>
        <v>#REF!</v>
      </c>
      <c r="V171" s="20"/>
      <c r="W171" s="20"/>
      <c r="X171" s="20"/>
      <c r="Y171" s="20"/>
      <c r="Z171" s="20"/>
      <c r="AA171" s="20"/>
      <c r="AB171" s="20"/>
      <c r="AC171" s="20"/>
      <c r="AE171" s="81"/>
    </row>
    <row r="172" spans="1:31">
      <c r="A172" s="1" t="s">
        <v>395</v>
      </c>
      <c r="B172" s="1"/>
      <c r="C172" s="203">
        <f t="shared" si="13"/>
        <v>108</v>
      </c>
      <c r="D172" s="203" t="e">
        <f t="shared" si="13"/>
        <v>#REF!</v>
      </c>
      <c r="E172" s="221">
        <f>'Blocking - detail'!E172</f>
        <v>60</v>
      </c>
      <c r="F172" s="205"/>
      <c r="G172" s="206">
        <f t="shared" si="14"/>
        <v>6480</v>
      </c>
      <c r="H172" s="206" t="e">
        <f t="shared" si="14"/>
        <v>#REF!</v>
      </c>
      <c r="I172" s="221">
        <f>'Blocking - detail'!$I$172</f>
        <v>60</v>
      </c>
      <c r="J172" s="207"/>
      <c r="K172" s="206">
        <f t="shared" si="15"/>
        <v>6480</v>
      </c>
      <c r="M172" s="81" t="e">
        <f>I172*D172</f>
        <v>#REF!</v>
      </c>
      <c r="V172" s="20"/>
      <c r="W172" s="20"/>
      <c r="X172" s="20"/>
      <c r="Y172" s="20"/>
      <c r="Z172" s="20"/>
      <c r="AA172" s="20"/>
      <c r="AB172" s="20"/>
      <c r="AC172" s="20"/>
      <c r="AE172" s="81"/>
    </row>
    <row r="173" spans="1:31">
      <c r="A173" s="1" t="s">
        <v>396</v>
      </c>
      <c r="B173" s="1"/>
      <c r="C173" s="203">
        <f t="shared" si="13"/>
        <v>3624</v>
      </c>
      <c r="D173" s="203" t="e">
        <f t="shared" si="13"/>
        <v>#REF!</v>
      </c>
      <c r="E173" s="223">
        <f>'Blocking - detail'!E173</f>
        <v>-30</v>
      </c>
      <c r="F173" s="205" t="s">
        <v>362</v>
      </c>
      <c r="G173" s="206">
        <f t="shared" si="14"/>
        <v>-1087</v>
      </c>
      <c r="H173" s="206" t="e">
        <f t="shared" si="14"/>
        <v>#REF!</v>
      </c>
      <c r="I173" s="223">
        <f>'Blocking - detail'!$I$173</f>
        <v>-30</v>
      </c>
      <c r="J173" s="207" t="s">
        <v>362</v>
      </c>
      <c r="K173" s="206">
        <f t="shared" si="15"/>
        <v>-1087</v>
      </c>
      <c r="M173" s="81" t="e">
        <f>(I173/100)*D173</f>
        <v>#REF!</v>
      </c>
      <c r="Q173" s="178"/>
      <c r="V173" s="20"/>
      <c r="W173" s="20"/>
      <c r="X173" s="20"/>
      <c r="Y173" s="20"/>
      <c r="Z173" s="20"/>
      <c r="AA173" s="20"/>
      <c r="AB173" s="20"/>
      <c r="AC173" s="20"/>
      <c r="AE173" s="81"/>
    </row>
    <row r="174" spans="1:31">
      <c r="A174" s="1" t="s">
        <v>369</v>
      </c>
      <c r="B174" s="148"/>
      <c r="C174" s="203" t="e">
        <f t="shared" si="13"/>
        <v>#REF!</v>
      </c>
      <c r="D174" s="203">
        <f t="shared" si="13"/>
        <v>529663208.81107259</v>
      </c>
      <c r="E174" s="214"/>
      <c r="F174" s="2"/>
      <c r="G174" s="206" t="e">
        <f t="shared" si="14"/>
        <v>#REF!</v>
      </c>
      <c r="H174" s="206" t="e">
        <f t="shared" si="14"/>
        <v>#REF!</v>
      </c>
      <c r="I174" s="214"/>
      <c r="J174" s="207"/>
      <c r="K174" s="206" t="e">
        <f t="shared" si="15"/>
        <v>#REF!</v>
      </c>
      <c r="M174" s="81" t="e">
        <f>SUM(M149:M173)</f>
        <v>#REF!</v>
      </c>
      <c r="V174" s="20"/>
      <c r="W174" s="20"/>
      <c r="X174" s="20"/>
      <c r="Y174" s="20"/>
      <c r="Z174" s="20"/>
      <c r="AA174" s="20"/>
      <c r="AB174" s="20"/>
      <c r="AC174" s="20"/>
      <c r="AE174" s="81"/>
    </row>
    <row r="175" spans="1:31">
      <c r="A175" s="1" t="s">
        <v>351</v>
      </c>
      <c r="B175" s="24"/>
      <c r="C175" s="224" t="e">
        <f t="shared" si="13"/>
        <v>#REF!</v>
      </c>
      <c r="D175" s="224">
        <f t="shared" si="13"/>
        <v>0</v>
      </c>
      <c r="E175" s="193"/>
      <c r="F175" s="193"/>
      <c r="G175" s="225" t="e">
        <f t="shared" si="14"/>
        <v>#REF!</v>
      </c>
      <c r="H175" s="225">
        <f t="shared" si="14"/>
        <v>0</v>
      </c>
      <c r="I175" s="193"/>
      <c r="J175" s="193"/>
      <c r="K175" s="225" t="e">
        <f>G175</f>
        <v>#REF!</v>
      </c>
      <c r="M175" s="173"/>
      <c r="V175" s="20"/>
      <c r="W175" s="20"/>
      <c r="X175" s="20"/>
      <c r="Y175" s="20"/>
      <c r="Z175" s="20"/>
      <c r="AA175" s="20"/>
      <c r="AB175" s="20"/>
      <c r="AC175" s="20"/>
      <c r="AE175" s="81"/>
    </row>
    <row r="176" spans="1:31" ht="16.5" thickBot="1">
      <c r="A176" s="1" t="s">
        <v>370</v>
      </c>
      <c r="B176" s="1"/>
      <c r="C176" s="195" t="e">
        <f>SUM(C174:C175)</f>
        <v>#REF!</v>
      </c>
      <c r="D176" s="195">
        <f>SUM(D174:D175)</f>
        <v>529663208.81107259</v>
      </c>
      <c r="E176" s="226"/>
      <c r="F176" s="227"/>
      <c r="G176" s="228" t="e">
        <f>G174+G175</f>
        <v>#REF!</v>
      </c>
      <c r="H176" s="228" t="e">
        <f>H174+H175</f>
        <v>#REF!</v>
      </c>
      <c r="I176" s="356"/>
      <c r="J176" s="229"/>
      <c r="K176" s="228" t="e">
        <f>K174+K175</f>
        <v>#REF!</v>
      </c>
      <c r="M176" s="175"/>
      <c r="N176" s="3" t="s">
        <v>397</v>
      </c>
      <c r="O176" s="81" t="e">
        <f>#REF!*1000</f>
        <v>#REF!</v>
      </c>
      <c r="P176" s="14"/>
      <c r="V176" s="20"/>
      <c r="W176" s="20"/>
      <c r="X176" s="20"/>
      <c r="Y176" s="20"/>
      <c r="Z176" s="20"/>
      <c r="AA176" s="20"/>
      <c r="AB176" s="20"/>
      <c r="AC176" s="20"/>
      <c r="AE176" s="81"/>
    </row>
    <row r="177" spans="1:31" ht="16.5" thickTop="1">
      <c r="A177" s="1"/>
      <c r="B177" s="1"/>
      <c r="C177" s="21"/>
      <c r="D177" s="21"/>
      <c r="E177" s="221"/>
      <c r="F177" s="2"/>
      <c r="G177" s="2"/>
      <c r="H177" s="2"/>
      <c r="I177" s="221"/>
      <c r="J177" s="1"/>
      <c r="K177" s="2" t="s">
        <v>31</v>
      </c>
      <c r="N177" s="3" t="s">
        <v>256</v>
      </c>
      <c r="O177" s="81" t="e">
        <f>O176-K176</f>
        <v>#REF!</v>
      </c>
      <c r="P177" s="160" t="e">
        <f>(O176-K176)/K176</f>
        <v>#REF!</v>
      </c>
      <c r="V177" s="20"/>
      <c r="W177" s="20"/>
      <c r="X177" s="20"/>
      <c r="Y177" s="20"/>
      <c r="Z177" s="20"/>
      <c r="AA177" s="20"/>
      <c r="AB177" s="20"/>
      <c r="AC177" s="20"/>
      <c r="AE177" s="81"/>
    </row>
    <row r="178" spans="1:31">
      <c r="A178" s="1"/>
      <c r="B178" s="1"/>
      <c r="C178" s="21"/>
      <c r="D178" s="21"/>
      <c r="E178" s="221"/>
      <c r="F178" s="2"/>
      <c r="G178" s="2"/>
      <c r="H178" s="2"/>
      <c r="I178" s="221"/>
      <c r="J178" s="1"/>
      <c r="V178" s="20"/>
      <c r="W178" s="20"/>
      <c r="X178" s="20"/>
      <c r="Y178" s="20"/>
      <c r="Z178" s="20"/>
      <c r="AA178" s="20"/>
      <c r="AB178" s="20"/>
      <c r="AC178" s="20"/>
      <c r="AE178" s="81"/>
    </row>
    <row r="179" spans="1:31">
      <c r="A179" s="177" t="s">
        <v>375</v>
      </c>
      <c r="B179" s="1"/>
      <c r="C179" s="1"/>
      <c r="D179" s="1"/>
      <c r="E179" s="2"/>
      <c r="F179" s="2"/>
      <c r="G179" s="1" t="s">
        <v>31</v>
      </c>
      <c r="H179" s="1"/>
      <c r="I179" s="2"/>
      <c r="J179" s="1"/>
      <c r="K179" s="1"/>
      <c r="O179" s="230" t="s">
        <v>31</v>
      </c>
      <c r="P179" s="14"/>
      <c r="V179" s="20"/>
      <c r="W179" s="20"/>
      <c r="X179" s="20"/>
      <c r="Y179" s="20"/>
      <c r="Z179" s="20"/>
      <c r="AA179" s="20"/>
      <c r="AB179" s="20"/>
      <c r="AC179" s="20"/>
      <c r="AE179" s="81"/>
    </row>
    <row r="180" spans="1:31">
      <c r="A180" s="1" t="s">
        <v>398</v>
      </c>
      <c r="B180" s="1"/>
      <c r="C180" s="1"/>
      <c r="D180" s="1"/>
      <c r="E180" s="2"/>
      <c r="F180" s="2"/>
      <c r="G180" s="1"/>
      <c r="H180" s="1"/>
      <c r="I180" s="2"/>
      <c r="J180" s="1"/>
      <c r="K180" s="1"/>
      <c r="M180" s="300"/>
      <c r="N180" s="300"/>
      <c r="O180" s="71"/>
      <c r="P180" s="71"/>
      <c r="Q180" s="20"/>
      <c r="R180" s="20"/>
      <c r="S180" s="20"/>
      <c r="T180" s="20"/>
      <c r="U180" s="20"/>
      <c r="V180" s="20"/>
      <c r="W180" s="20"/>
      <c r="X180" s="20"/>
      <c r="Y180" s="20"/>
      <c r="Z180" s="20"/>
      <c r="AA180" s="20"/>
      <c r="AB180" s="20"/>
      <c r="AC180" s="20"/>
      <c r="AE180" s="81"/>
    </row>
    <row r="181" spans="1:31">
      <c r="A181" s="1"/>
      <c r="B181" s="1"/>
      <c r="C181" s="1"/>
      <c r="D181" s="1"/>
      <c r="E181" s="2"/>
      <c r="F181" s="2"/>
      <c r="G181" s="1"/>
      <c r="H181" s="1"/>
      <c r="I181" s="2"/>
      <c r="J181" s="1"/>
      <c r="K181" s="1"/>
      <c r="M181" s="300"/>
      <c r="N181" s="300"/>
      <c r="O181" s="71"/>
      <c r="P181" s="71"/>
      <c r="Q181" s="20"/>
      <c r="R181" s="20"/>
      <c r="S181" s="20"/>
      <c r="T181" s="20"/>
      <c r="U181" s="20"/>
      <c r="V181" s="20"/>
      <c r="W181" s="20"/>
      <c r="X181" s="20"/>
      <c r="Y181" s="20"/>
      <c r="Z181" s="20"/>
      <c r="AA181" s="20"/>
      <c r="AB181" s="20"/>
      <c r="AC181" s="20"/>
      <c r="AE181" s="81"/>
    </row>
    <row r="182" spans="1:31">
      <c r="A182" s="1" t="s">
        <v>381</v>
      </c>
      <c r="B182" s="1"/>
      <c r="C182" s="203"/>
      <c r="D182" s="203"/>
      <c r="E182" s="2"/>
      <c r="F182" s="2"/>
      <c r="G182" s="1"/>
      <c r="H182" s="1"/>
      <c r="I182" s="2"/>
      <c r="J182" s="1"/>
      <c r="K182" s="1"/>
      <c r="M182" s="20"/>
      <c r="N182" s="20"/>
      <c r="O182" s="71"/>
      <c r="P182" s="71"/>
      <c r="Q182" s="20"/>
      <c r="R182" s="20"/>
      <c r="S182" s="20"/>
      <c r="T182" s="20"/>
      <c r="U182" s="20"/>
      <c r="V182" s="20"/>
      <c r="W182" s="20"/>
      <c r="X182" s="20"/>
      <c r="Y182" s="20"/>
      <c r="Z182" s="20"/>
      <c r="AA182" s="20"/>
      <c r="AB182" s="20"/>
      <c r="AC182" s="20"/>
      <c r="AE182" s="81"/>
    </row>
    <row r="183" spans="1:31">
      <c r="A183" s="1" t="s">
        <v>378</v>
      </c>
      <c r="B183" s="1"/>
      <c r="C183" s="203">
        <f t="shared" ref="C183:D185" si="16">C211+C239</f>
        <v>148451</v>
      </c>
      <c r="D183" s="203">
        <f t="shared" si="16"/>
        <v>147153</v>
      </c>
      <c r="E183" s="182">
        <f>$E$153</f>
        <v>7.53</v>
      </c>
      <c r="F183" s="205"/>
      <c r="G183" s="2">
        <f t="shared" ref="G183:H185" si="17">G211+G239</f>
        <v>1117836</v>
      </c>
      <c r="H183" s="2">
        <f t="shared" si="17"/>
        <v>1108062</v>
      </c>
      <c r="I183" s="182">
        <f>$I$153</f>
        <v>8</v>
      </c>
      <c r="J183" s="207"/>
      <c r="K183" s="2">
        <f>K211+K239</f>
        <v>1187608</v>
      </c>
      <c r="M183" s="20"/>
      <c r="N183" s="20"/>
      <c r="O183" s="71"/>
      <c r="P183" s="71"/>
      <c r="Q183" s="20"/>
      <c r="R183" s="20"/>
      <c r="S183" s="20"/>
      <c r="T183" s="20"/>
      <c r="U183" s="20"/>
      <c r="V183" s="20"/>
      <c r="W183" s="20"/>
      <c r="X183" s="20"/>
      <c r="Y183" s="20"/>
      <c r="Z183" s="20"/>
      <c r="AA183" s="20"/>
      <c r="AB183" s="20"/>
      <c r="AC183" s="20"/>
      <c r="AE183" s="81"/>
    </row>
    <row r="184" spans="1:31">
      <c r="A184" s="1" t="s">
        <v>379</v>
      </c>
      <c r="B184" s="1"/>
      <c r="C184" s="203">
        <f t="shared" si="16"/>
        <v>60349</v>
      </c>
      <c r="D184" s="203">
        <f t="shared" si="16"/>
        <v>59834</v>
      </c>
      <c r="E184" s="182">
        <f>$E$154</f>
        <v>11.18</v>
      </c>
      <c r="F184" s="208"/>
      <c r="G184" s="2">
        <f t="shared" si="17"/>
        <v>674702</v>
      </c>
      <c r="H184" s="2">
        <f t="shared" si="17"/>
        <v>668944</v>
      </c>
      <c r="I184" s="182">
        <f>$I$154</f>
        <v>11.877822045152721</v>
      </c>
      <c r="J184" s="209"/>
      <c r="K184" s="2">
        <f>K212+K240</f>
        <v>716815</v>
      </c>
      <c r="M184" s="20"/>
      <c r="N184" s="20"/>
      <c r="O184" s="71"/>
      <c r="P184" s="71"/>
      <c r="Q184" s="20"/>
      <c r="R184" s="20"/>
      <c r="S184" s="20"/>
      <c r="T184" s="20"/>
      <c r="U184" s="20"/>
      <c r="V184" s="20"/>
      <c r="W184" s="20"/>
      <c r="X184" s="20"/>
      <c r="Y184" s="20"/>
      <c r="Z184" s="20"/>
      <c r="AA184" s="20"/>
      <c r="AB184" s="20"/>
      <c r="AC184" s="20"/>
      <c r="AE184" s="81"/>
    </row>
    <row r="185" spans="1:31">
      <c r="A185" s="1" t="s">
        <v>380</v>
      </c>
      <c r="B185" s="1"/>
      <c r="C185" s="203">
        <f t="shared" si="16"/>
        <v>1278566</v>
      </c>
      <c r="D185" s="203" t="e">
        <f t="shared" si="16"/>
        <v>#REF!</v>
      </c>
      <c r="E185" s="182">
        <f>$E$155</f>
        <v>0.78</v>
      </c>
      <c r="F185" s="208"/>
      <c r="G185" s="2">
        <f t="shared" si="17"/>
        <v>997281</v>
      </c>
      <c r="H185" s="2" t="e">
        <f t="shared" si="17"/>
        <v>#REF!</v>
      </c>
      <c r="I185" s="182">
        <f>$I$155</f>
        <v>0.83</v>
      </c>
      <c r="J185" s="209"/>
      <c r="K185" s="2">
        <f>K213+K241</f>
        <v>1061210</v>
      </c>
      <c r="M185" s="20"/>
      <c r="N185" s="20"/>
      <c r="O185" s="71"/>
      <c r="P185" s="71"/>
      <c r="Q185" s="20"/>
      <c r="R185" s="20"/>
      <c r="S185" s="20"/>
      <c r="T185" s="20"/>
      <c r="U185" s="20"/>
      <c r="V185" s="20"/>
      <c r="W185" s="20"/>
      <c r="X185" s="20"/>
      <c r="Y185" s="20"/>
      <c r="Z185" s="20"/>
      <c r="AA185" s="20"/>
      <c r="AB185" s="20"/>
      <c r="AC185" s="20"/>
      <c r="AE185" s="81"/>
    </row>
    <row r="186" spans="1:31">
      <c r="A186" s="1" t="s">
        <v>382</v>
      </c>
      <c r="B186" s="1"/>
      <c r="C186" s="203">
        <f>SUM(C183:C184)</f>
        <v>208800</v>
      </c>
      <c r="D186" s="203">
        <f>SUM(D183:D184)</f>
        <v>206987</v>
      </c>
      <c r="E186" s="182"/>
      <c r="F186" s="205"/>
      <c r="G186" s="2"/>
      <c r="H186" s="2"/>
      <c r="I186" s="182"/>
      <c r="J186" s="207"/>
      <c r="K186" s="2"/>
      <c r="M186" s="20"/>
      <c r="N186" s="20"/>
      <c r="O186" s="71"/>
      <c r="P186" s="71"/>
      <c r="Q186" s="20"/>
      <c r="R186" s="20"/>
      <c r="S186" s="20"/>
      <c r="T186" s="20"/>
      <c r="U186" s="20"/>
      <c r="V186" s="20"/>
      <c r="W186" s="20"/>
      <c r="X186" s="20"/>
      <c r="Y186" s="20"/>
      <c r="Z186" s="20"/>
      <c r="AA186" s="20"/>
      <c r="AB186" s="20"/>
      <c r="AC186" s="20"/>
      <c r="AE186" s="81"/>
    </row>
    <row r="187" spans="1:31">
      <c r="A187" s="1" t="s">
        <v>383</v>
      </c>
      <c r="B187" s="1"/>
      <c r="C187" s="203">
        <f t="shared" ref="C187:D191" si="18">C215+C243</f>
        <v>822251</v>
      </c>
      <c r="D187" s="203" t="e">
        <f t="shared" si="18"/>
        <v>#REF!</v>
      </c>
      <c r="E187" s="210">
        <f>$E$158</f>
        <v>2.88</v>
      </c>
      <c r="F187" s="207"/>
      <c r="G187" s="2">
        <f t="shared" ref="G187:H191" si="19">G215+G243</f>
        <v>2368083</v>
      </c>
      <c r="H187" s="2" t="e">
        <f t="shared" si="19"/>
        <v>#REF!</v>
      </c>
      <c r="I187" s="210">
        <f>$I$158</f>
        <v>2.97</v>
      </c>
      <c r="J187" s="207"/>
      <c r="K187" s="2">
        <f>K215+K243</f>
        <v>2442085</v>
      </c>
      <c r="M187" s="20"/>
      <c r="N187" s="20"/>
      <c r="O187" s="71"/>
      <c r="P187" s="71"/>
      <c r="Q187" s="20"/>
      <c r="R187" s="20"/>
      <c r="S187" s="20"/>
      <c r="T187" s="20"/>
      <c r="U187" s="20"/>
      <c r="V187" s="20"/>
      <c r="W187" s="20"/>
      <c r="X187" s="20"/>
      <c r="Y187" s="20"/>
      <c r="Z187" s="20"/>
      <c r="AA187" s="20"/>
      <c r="AB187" s="20"/>
      <c r="AC187" s="20"/>
      <c r="AE187" s="81"/>
    </row>
    <row r="188" spans="1:31">
      <c r="A188" s="1" t="s">
        <v>385</v>
      </c>
      <c r="B188" s="1"/>
      <c r="C188" s="203" t="e">
        <f t="shared" si="18"/>
        <v>#REF!</v>
      </c>
      <c r="D188" s="203" t="e">
        <f t="shared" si="18"/>
        <v>#REF!</v>
      </c>
      <c r="E188" s="183">
        <f>$E$159</f>
        <v>8.0890000000000004</v>
      </c>
      <c r="F188" s="207" t="s">
        <v>362</v>
      </c>
      <c r="G188" s="2" t="e">
        <f t="shared" si="19"/>
        <v>#REF!</v>
      </c>
      <c r="H188" s="2" t="e">
        <f t="shared" si="19"/>
        <v>#REF!</v>
      </c>
      <c r="I188" s="183">
        <f>$I$159</f>
        <v>8.8109999999999999</v>
      </c>
      <c r="J188" s="207" t="s">
        <v>362</v>
      </c>
      <c r="K188" s="2" t="e">
        <f>K216+K244</f>
        <v>#REF!</v>
      </c>
      <c r="M188" s="20"/>
      <c r="N188" s="20"/>
      <c r="O188" s="71"/>
      <c r="P188" s="71"/>
      <c r="Q188" s="20"/>
      <c r="R188" s="20"/>
      <c r="S188" s="20"/>
      <c r="T188" s="20"/>
      <c r="U188" s="20"/>
      <c r="V188" s="20"/>
      <c r="W188" s="20"/>
      <c r="X188" s="20"/>
      <c r="Y188" s="20"/>
      <c r="Z188" s="20"/>
      <c r="AA188" s="20"/>
      <c r="AB188" s="20"/>
      <c r="AC188" s="20"/>
      <c r="AE188" s="81"/>
    </row>
    <row r="189" spans="1:31">
      <c r="A189" s="1" t="s">
        <v>386</v>
      </c>
      <c r="B189" s="1"/>
      <c r="C189" s="203" t="e">
        <f t="shared" si="18"/>
        <v>#REF!</v>
      </c>
      <c r="D189" s="203" t="e">
        <f t="shared" si="18"/>
        <v>#REF!</v>
      </c>
      <c r="E189" s="183">
        <f>$E$160</f>
        <v>5.5839999999999996</v>
      </c>
      <c r="F189" s="207" t="s">
        <v>362</v>
      </c>
      <c r="G189" s="2" t="e">
        <f t="shared" si="19"/>
        <v>#REF!</v>
      </c>
      <c r="H189" s="2" t="e">
        <f t="shared" si="19"/>
        <v>#REF!</v>
      </c>
      <c r="I189" s="183">
        <f>$I$160</f>
        <v>6.0819999999999999</v>
      </c>
      <c r="J189" s="207" t="s">
        <v>362</v>
      </c>
      <c r="K189" s="2" t="e">
        <f>K217+K245</f>
        <v>#REF!</v>
      </c>
      <c r="M189" s="20"/>
      <c r="N189" s="20"/>
      <c r="O189" s="71"/>
      <c r="P189" s="71"/>
      <c r="Q189" s="20"/>
      <c r="R189" s="20"/>
      <c r="S189" s="20"/>
      <c r="T189" s="20"/>
      <c r="U189" s="20"/>
      <c r="V189" s="20"/>
      <c r="W189" s="20"/>
      <c r="X189" s="20"/>
      <c r="Y189" s="20"/>
      <c r="Z189" s="20"/>
      <c r="AA189" s="20"/>
      <c r="AB189" s="20"/>
      <c r="AC189" s="20"/>
      <c r="AE189" s="81"/>
    </row>
    <row r="190" spans="1:31">
      <c r="A190" s="1" t="s">
        <v>387</v>
      </c>
      <c r="B190" s="1"/>
      <c r="C190" s="203" t="e">
        <f t="shared" si="18"/>
        <v>#REF!</v>
      </c>
      <c r="D190" s="203" t="e">
        <f t="shared" si="18"/>
        <v>#REF!</v>
      </c>
      <c r="E190" s="183">
        <f>$E$161</f>
        <v>4.8099999999999996</v>
      </c>
      <c r="F190" s="207" t="s">
        <v>362</v>
      </c>
      <c r="G190" s="2" t="e">
        <f t="shared" si="19"/>
        <v>#REF!</v>
      </c>
      <c r="H190" s="2" t="e">
        <f t="shared" si="19"/>
        <v>#REF!</v>
      </c>
      <c r="I190" s="183">
        <f>$I$161</f>
        <v>5.24</v>
      </c>
      <c r="J190" s="207" t="s">
        <v>362</v>
      </c>
      <c r="K190" s="2" t="e">
        <f>K218+K246</f>
        <v>#REF!</v>
      </c>
      <c r="M190" s="20"/>
      <c r="N190" s="20"/>
      <c r="O190" s="71"/>
      <c r="P190" s="71"/>
      <c r="Q190" s="20"/>
      <c r="R190" s="20"/>
      <c r="S190" s="20"/>
      <c r="T190" s="20"/>
      <c r="U190" s="20"/>
      <c r="V190" s="20"/>
      <c r="W190" s="20"/>
      <c r="X190" s="20"/>
      <c r="Y190" s="20"/>
      <c r="Z190" s="20"/>
      <c r="AA190" s="20"/>
      <c r="AB190" s="20"/>
      <c r="AC190" s="20"/>
      <c r="AE190" s="81"/>
    </row>
    <row r="191" spans="1:31">
      <c r="A191" s="1" t="s">
        <v>388</v>
      </c>
      <c r="B191" s="1"/>
      <c r="C191" s="203">
        <f t="shared" si="18"/>
        <v>92358</v>
      </c>
      <c r="D191" s="203" t="e">
        <f t="shared" si="18"/>
        <v>#REF!</v>
      </c>
      <c r="E191" s="214">
        <f>$E$162</f>
        <v>45</v>
      </c>
      <c r="F191" s="205" t="s">
        <v>362</v>
      </c>
      <c r="G191" s="2">
        <f t="shared" si="19"/>
        <v>41561</v>
      </c>
      <c r="H191" s="2" t="e">
        <f t="shared" si="19"/>
        <v>#REF!</v>
      </c>
      <c r="I191" s="214">
        <f>$I$162</f>
        <v>50</v>
      </c>
      <c r="J191" s="207" t="s">
        <v>362</v>
      </c>
      <c r="K191" s="2">
        <f>K219+K247</f>
        <v>46180</v>
      </c>
      <c r="M191" s="20"/>
      <c r="N191" s="20"/>
      <c r="O191" s="71"/>
      <c r="P191" s="71"/>
      <c r="Q191" s="20"/>
      <c r="R191" s="20"/>
      <c r="S191" s="20"/>
      <c r="T191" s="20"/>
      <c r="U191" s="20"/>
      <c r="V191" s="20"/>
      <c r="W191" s="20"/>
      <c r="X191" s="20"/>
      <c r="Y191" s="20"/>
      <c r="Z191" s="20"/>
      <c r="AA191" s="20"/>
      <c r="AB191" s="20"/>
      <c r="AC191" s="20"/>
      <c r="AE191" s="81"/>
    </row>
    <row r="192" spans="1:31">
      <c r="A192" s="215" t="s">
        <v>389</v>
      </c>
      <c r="B192" s="1"/>
      <c r="C192" s="203"/>
      <c r="D192" s="203"/>
      <c r="E192" s="216">
        <v>-0.01</v>
      </c>
      <c r="F192" s="205"/>
      <c r="G192" s="2"/>
      <c r="H192" s="2"/>
      <c r="I192" s="216">
        <v>-0.01</v>
      </c>
      <c r="J192" s="207"/>
      <c r="K192" s="2"/>
      <c r="M192" s="20"/>
      <c r="N192" s="20"/>
      <c r="O192" s="71"/>
      <c r="P192" s="71"/>
      <c r="Q192" s="20"/>
      <c r="R192" s="20"/>
      <c r="S192" s="20"/>
      <c r="T192" s="20"/>
      <c r="U192" s="20"/>
      <c r="V192" s="20"/>
      <c r="W192" s="20"/>
      <c r="X192" s="20"/>
      <c r="Y192" s="20"/>
      <c r="Z192" s="20"/>
      <c r="AA192" s="20"/>
      <c r="AB192" s="20"/>
      <c r="AC192" s="20"/>
      <c r="AE192" s="81"/>
    </row>
    <row r="193" spans="1:31">
      <c r="A193" s="1" t="s">
        <v>378</v>
      </c>
      <c r="B193" s="1"/>
      <c r="C193" s="203">
        <f t="shared" ref="C193:D204" si="20">C221+C249</f>
        <v>48</v>
      </c>
      <c r="D193" s="203">
        <f t="shared" si="20"/>
        <v>48</v>
      </c>
      <c r="E193" s="218">
        <f>E183</f>
        <v>7.53</v>
      </c>
      <c r="F193" s="205"/>
      <c r="G193" s="2">
        <f t="shared" ref="G193:H204" si="21">G221+G249</f>
        <v>-4</v>
      </c>
      <c r="H193" s="2">
        <f t="shared" si="21"/>
        <v>-4</v>
      </c>
      <c r="I193" s="218">
        <f>I183</f>
        <v>8</v>
      </c>
      <c r="J193" s="205"/>
      <c r="K193" s="2">
        <f t="shared" ref="K193:K203" si="22">K221+K249</f>
        <v>-4</v>
      </c>
      <c r="M193" s="20"/>
      <c r="N193" s="20"/>
      <c r="O193" s="71"/>
      <c r="P193" s="71"/>
      <c r="Q193" s="20"/>
      <c r="R193" s="20"/>
      <c r="S193" s="20"/>
      <c r="T193" s="20"/>
      <c r="U193" s="20"/>
      <c r="V193" s="20"/>
      <c r="W193" s="20"/>
      <c r="X193" s="20"/>
      <c r="Y193" s="20"/>
      <c r="Z193" s="20"/>
      <c r="AA193" s="20"/>
      <c r="AB193" s="20"/>
      <c r="AC193" s="20"/>
      <c r="AE193" s="81"/>
    </row>
    <row r="194" spans="1:31">
      <c r="A194" s="1" t="s">
        <v>379</v>
      </c>
      <c r="B194" s="1"/>
      <c r="C194" s="203">
        <f t="shared" si="20"/>
        <v>93</v>
      </c>
      <c r="D194" s="203">
        <f t="shared" si="20"/>
        <v>92</v>
      </c>
      <c r="E194" s="218">
        <f>E184</f>
        <v>11.18</v>
      </c>
      <c r="F194" s="205"/>
      <c r="G194" s="2">
        <f t="shared" si="21"/>
        <v>-10</v>
      </c>
      <c r="H194" s="2">
        <f t="shared" si="21"/>
        <v>-10</v>
      </c>
      <c r="I194" s="218">
        <f>I184</f>
        <v>11.877822045152721</v>
      </c>
      <c r="J194" s="205"/>
      <c r="K194" s="2">
        <f t="shared" si="22"/>
        <v>-11</v>
      </c>
      <c r="M194" s="20"/>
      <c r="N194" s="20"/>
      <c r="O194" s="71"/>
      <c r="P194" s="71"/>
      <c r="Q194" s="20"/>
      <c r="R194" s="20"/>
      <c r="S194" s="20"/>
      <c r="T194" s="20"/>
      <c r="U194" s="20"/>
      <c r="V194" s="20"/>
      <c r="W194" s="20"/>
      <c r="X194" s="20"/>
      <c r="Y194" s="20"/>
      <c r="Z194" s="20"/>
      <c r="AA194" s="20"/>
      <c r="AB194" s="20"/>
      <c r="AC194" s="20"/>
      <c r="AE194" s="81"/>
    </row>
    <row r="195" spans="1:31">
      <c r="A195" s="1" t="s">
        <v>390</v>
      </c>
      <c r="B195" s="1"/>
      <c r="C195" s="203">
        <f t="shared" si="20"/>
        <v>3543</v>
      </c>
      <c r="D195" s="203" t="e">
        <f t="shared" si="20"/>
        <v>#REF!</v>
      </c>
      <c r="E195" s="218">
        <f>E185</f>
        <v>0.78</v>
      </c>
      <c r="F195" s="205"/>
      <c r="G195" s="2">
        <f t="shared" si="21"/>
        <v>-28</v>
      </c>
      <c r="H195" s="2" t="e">
        <f t="shared" si="21"/>
        <v>#REF!</v>
      </c>
      <c r="I195" s="218">
        <f>I185</f>
        <v>0.83</v>
      </c>
      <c r="J195" s="205"/>
      <c r="K195" s="2">
        <f t="shared" si="22"/>
        <v>-29</v>
      </c>
      <c r="M195" s="20"/>
      <c r="N195" s="20"/>
      <c r="O195" s="71"/>
      <c r="P195" s="71"/>
      <c r="Q195" s="20"/>
      <c r="R195" s="20"/>
      <c r="S195" s="20"/>
      <c r="T195" s="20"/>
      <c r="U195" s="20"/>
      <c r="V195" s="20"/>
      <c r="W195" s="20"/>
      <c r="X195" s="20"/>
      <c r="Y195" s="20"/>
      <c r="Z195" s="20"/>
      <c r="AA195" s="20"/>
      <c r="AB195" s="20"/>
      <c r="AC195" s="20"/>
      <c r="AE195" s="81"/>
    </row>
    <row r="196" spans="1:31">
      <c r="A196" s="1" t="s">
        <v>391</v>
      </c>
      <c r="B196" s="1"/>
      <c r="C196" s="203">
        <f t="shared" si="20"/>
        <v>1576</v>
      </c>
      <c r="D196" s="203" t="e">
        <f t="shared" si="20"/>
        <v>#REF!</v>
      </c>
      <c r="E196" s="218">
        <f>E187</f>
        <v>2.88</v>
      </c>
      <c r="F196" s="207"/>
      <c r="G196" s="2">
        <f t="shared" si="21"/>
        <v>-45</v>
      </c>
      <c r="H196" s="2" t="e">
        <f t="shared" si="21"/>
        <v>#REF!</v>
      </c>
      <c r="I196" s="218">
        <f>I187</f>
        <v>2.97</v>
      </c>
      <c r="J196" s="207"/>
      <c r="K196" s="2">
        <f t="shared" si="22"/>
        <v>-47</v>
      </c>
      <c r="M196" s="20"/>
      <c r="N196" s="20"/>
      <c r="O196" s="71"/>
      <c r="P196" s="71"/>
      <c r="Q196" s="20"/>
      <c r="R196" s="20"/>
      <c r="S196" s="20"/>
      <c r="T196" s="20"/>
      <c r="U196" s="20"/>
      <c r="V196" s="20"/>
      <c r="W196" s="20"/>
      <c r="X196" s="20"/>
      <c r="Y196" s="20"/>
      <c r="Z196" s="20"/>
      <c r="AA196" s="20"/>
      <c r="AB196" s="20"/>
      <c r="AC196" s="20"/>
      <c r="AE196" s="81"/>
    </row>
    <row r="197" spans="1:31">
      <c r="A197" s="1" t="s">
        <v>393</v>
      </c>
      <c r="B197" s="1"/>
      <c r="C197" s="203">
        <f t="shared" si="20"/>
        <v>84935</v>
      </c>
      <c r="D197" s="203" t="e">
        <f t="shared" si="20"/>
        <v>#REF!</v>
      </c>
      <c r="E197" s="219">
        <f>E188</f>
        <v>8.0890000000000004</v>
      </c>
      <c r="F197" s="207" t="s">
        <v>362</v>
      </c>
      <c r="G197" s="2">
        <f t="shared" si="21"/>
        <v>-69</v>
      </c>
      <c r="H197" s="2" t="e">
        <f t="shared" si="21"/>
        <v>#REF!</v>
      </c>
      <c r="I197" s="219">
        <f>I188</f>
        <v>8.8109999999999999</v>
      </c>
      <c r="J197" s="207" t="s">
        <v>362</v>
      </c>
      <c r="K197" s="2">
        <f t="shared" si="22"/>
        <v>-75</v>
      </c>
      <c r="M197" s="20"/>
      <c r="N197" s="20"/>
      <c r="O197" s="71"/>
      <c r="P197" s="71"/>
      <c r="Q197" s="20"/>
      <c r="R197" s="20"/>
      <c r="S197" s="20"/>
      <c r="T197" s="20"/>
      <c r="U197" s="20"/>
      <c r="V197" s="20"/>
      <c r="W197" s="20"/>
      <c r="X197" s="20"/>
      <c r="Y197" s="20"/>
      <c r="Z197" s="20"/>
      <c r="AA197" s="20"/>
      <c r="AB197" s="20"/>
      <c r="AC197" s="20"/>
      <c r="AE197" s="81"/>
    </row>
    <row r="198" spans="1:31">
      <c r="A198" s="1" t="s">
        <v>386</v>
      </c>
      <c r="B198" s="1"/>
      <c r="C198" s="203">
        <f t="shared" si="20"/>
        <v>270692</v>
      </c>
      <c r="D198" s="203" t="e">
        <f t="shared" si="20"/>
        <v>#REF!</v>
      </c>
      <c r="E198" s="219">
        <f>E189</f>
        <v>5.5839999999999996</v>
      </c>
      <c r="F198" s="207" t="s">
        <v>362</v>
      </c>
      <c r="G198" s="2">
        <f t="shared" si="21"/>
        <v>-151</v>
      </c>
      <c r="H198" s="2" t="e">
        <f t="shared" si="21"/>
        <v>#REF!</v>
      </c>
      <c r="I198" s="219">
        <f>I189</f>
        <v>6.0819999999999999</v>
      </c>
      <c r="J198" s="207" t="s">
        <v>362</v>
      </c>
      <c r="K198" s="2">
        <f t="shared" si="22"/>
        <v>-165</v>
      </c>
      <c r="M198" s="20"/>
      <c r="N198" s="20"/>
      <c r="O198" s="71"/>
      <c r="P198" s="71"/>
      <c r="Q198" s="20"/>
      <c r="R198" s="20"/>
      <c r="S198" s="20"/>
      <c r="T198" s="20"/>
      <c r="U198" s="20"/>
      <c r="V198" s="20"/>
      <c r="W198" s="20"/>
      <c r="X198" s="20"/>
      <c r="Y198" s="20"/>
      <c r="Z198" s="20"/>
      <c r="AA198" s="20"/>
      <c r="AB198" s="20"/>
      <c r="AC198" s="20"/>
      <c r="AE198" s="81"/>
    </row>
    <row r="199" spans="1:31">
      <c r="A199" s="1" t="s">
        <v>387</v>
      </c>
      <c r="B199" s="1"/>
      <c r="C199" s="203">
        <f t="shared" si="20"/>
        <v>65960</v>
      </c>
      <c r="D199" s="203" t="e">
        <f t="shared" si="20"/>
        <v>#REF!</v>
      </c>
      <c r="E199" s="219">
        <f>E190</f>
        <v>4.8099999999999996</v>
      </c>
      <c r="F199" s="207" t="s">
        <v>362</v>
      </c>
      <c r="G199" s="2">
        <f t="shared" si="21"/>
        <v>-32</v>
      </c>
      <c r="H199" s="2" t="e">
        <f t="shared" si="21"/>
        <v>#REF!</v>
      </c>
      <c r="I199" s="219">
        <f>I190</f>
        <v>5.24</v>
      </c>
      <c r="J199" s="207" t="s">
        <v>362</v>
      </c>
      <c r="K199" s="2">
        <f t="shared" si="22"/>
        <v>-35</v>
      </c>
      <c r="M199" s="20"/>
      <c r="N199" s="20"/>
      <c r="O199" s="71"/>
      <c r="P199" s="71"/>
      <c r="Q199" s="20"/>
      <c r="R199" s="20"/>
      <c r="S199" s="20"/>
      <c r="T199" s="20"/>
      <c r="U199" s="20"/>
      <c r="V199" s="20"/>
      <c r="W199" s="20"/>
      <c r="X199" s="20"/>
      <c r="Y199" s="20"/>
      <c r="Z199" s="20"/>
      <c r="AA199" s="20"/>
      <c r="AB199" s="20"/>
      <c r="AC199" s="20"/>
      <c r="AE199" s="81"/>
    </row>
    <row r="200" spans="1:31">
      <c r="A200" s="1" t="s">
        <v>388</v>
      </c>
      <c r="B200" s="1"/>
      <c r="C200" s="203">
        <f t="shared" si="20"/>
        <v>2996</v>
      </c>
      <c r="D200" s="203" t="e">
        <f t="shared" si="20"/>
        <v>#REF!</v>
      </c>
      <c r="E200" s="220">
        <f>E191</f>
        <v>45</v>
      </c>
      <c r="F200" s="207" t="s">
        <v>362</v>
      </c>
      <c r="G200" s="2">
        <f t="shared" si="21"/>
        <v>-13</v>
      </c>
      <c r="H200" s="2" t="e">
        <f t="shared" si="21"/>
        <v>#REF!</v>
      </c>
      <c r="I200" s="220">
        <f>I191</f>
        <v>50</v>
      </c>
      <c r="J200" s="207" t="s">
        <v>362</v>
      </c>
      <c r="K200" s="2">
        <f t="shared" si="22"/>
        <v>-15</v>
      </c>
      <c r="M200" s="20"/>
      <c r="N200" s="20"/>
      <c r="O200" s="71"/>
      <c r="P200" s="71"/>
      <c r="Q200" s="20"/>
      <c r="R200" s="20"/>
      <c r="S200" s="20"/>
      <c r="T200" s="20"/>
      <c r="U200" s="20"/>
      <c r="V200" s="20"/>
      <c r="W200" s="20"/>
      <c r="X200" s="20"/>
      <c r="Y200" s="20"/>
      <c r="Z200" s="20"/>
      <c r="AA200" s="20"/>
      <c r="AB200" s="20"/>
      <c r="AC200" s="20"/>
      <c r="AE200" s="81"/>
    </row>
    <row r="201" spans="1:31">
      <c r="A201" s="1" t="s">
        <v>395</v>
      </c>
      <c r="B201" s="1"/>
      <c r="C201" s="203">
        <f t="shared" si="20"/>
        <v>108</v>
      </c>
      <c r="D201" s="203" t="e">
        <f t="shared" si="20"/>
        <v>#REF!</v>
      </c>
      <c r="E201" s="221">
        <f>$E$172</f>
        <v>60</v>
      </c>
      <c r="F201" s="205"/>
      <c r="G201" s="2">
        <f t="shared" si="21"/>
        <v>6480</v>
      </c>
      <c r="H201" s="2" t="e">
        <f t="shared" si="21"/>
        <v>#REF!</v>
      </c>
      <c r="I201" s="221">
        <f>$I$172</f>
        <v>60</v>
      </c>
      <c r="J201" s="207"/>
      <c r="K201" s="2">
        <f t="shared" si="22"/>
        <v>6480</v>
      </c>
      <c r="M201" s="20"/>
      <c r="N201" s="20"/>
      <c r="O201" s="71"/>
      <c r="P201" s="71"/>
      <c r="Q201" s="20"/>
      <c r="R201" s="20"/>
      <c r="S201" s="20"/>
      <c r="T201" s="20"/>
      <c r="U201" s="20"/>
      <c r="V201" s="20"/>
      <c r="W201" s="20"/>
      <c r="X201" s="20"/>
      <c r="Y201" s="20"/>
      <c r="Z201" s="20"/>
      <c r="AA201" s="20"/>
      <c r="AB201" s="20"/>
      <c r="AC201" s="20"/>
      <c r="AE201" s="81"/>
    </row>
    <row r="202" spans="1:31">
      <c r="A202" s="1" t="s">
        <v>396</v>
      </c>
      <c r="B202" s="1"/>
      <c r="C202" s="203">
        <f t="shared" si="20"/>
        <v>3624</v>
      </c>
      <c r="D202" s="203" t="e">
        <f t="shared" si="20"/>
        <v>#REF!</v>
      </c>
      <c r="E202" s="223">
        <f>$E$173</f>
        <v>-30</v>
      </c>
      <c r="F202" s="205" t="s">
        <v>362</v>
      </c>
      <c r="G202" s="2">
        <f t="shared" si="21"/>
        <v>-1087</v>
      </c>
      <c r="H202" s="2" t="e">
        <f t="shared" si="21"/>
        <v>#REF!</v>
      </c>
      <c r="I202" s="223">
        <f>$I$173</f>
        <v>-30</v>
      </c>
      <c r="J202" s="207" t="s">
        <v>362</v>
      </c>
      <c r="K202" s="2">
        <f t="shared" si="22"/>
        <v>-1087</v>
      </c>
      <c r="M202" s="20"/>
      <c r="N202" s="20"/>
      <c r="O202" s="71"/>
      <c r="P202" s="71"/>
      <c r="Q202" s="20"/>
      <c r="R202" s="20"/>
      <c r="S202" s="20"/>
      <c r="T202" s="20"/>
      <c r="U202" s="20"/>
      <c r="V202" s="20"/>
      <c r="W202" s="20"/>
      <c r="X202" s="20"/>
      <c r="Y202" s="20"/>
      <c r="Z202" s="20"/>
      <c r="AA202" s="20"/>
      <c r="AB202" s="20"/>
      <c r="AC202" s="20"/>
      <c r="AE202" s="81"/>
    </row>
    <row r="203" spans="1:31">
      <c r="A203" s="1" t="s">
        <v>369</v>
      </c>
      <c r="B203" s="148"/>
      <c r="C203" s="203" t="e">
        <f t="shared" si="20"/>
        <v>#REF!</v>
      </c>
      <c r="D203" s="203">
        <f t="shared" si="20"/>
        <v>527850595.24192303</v>
      </c>
      <c r="E203" s="214"/>
      <c r="F203" s="2"/>
      <c r="G203" s="2" t="e">
        <f t="shared" si="21"/>
        <v>#REF!</v>
      </c>
      <c r="H203" s="2" t="e">
        <f t="shared" si="21"/>
        <v>#REF!</v>
      </c>
      <c r="I203" s="214"/>
      <c r="J203" s="207"/>
      <c r="K203" s="2" t="e">
        <f t="shared" si="22"/>
        <v>#REF!</v>
      </c>
      <c r="M203" s="20"/>
      <c r="N203" s="20"/>
      <c r="O203" s="71"/>
      <c r="P203" s="71"/>
      <c r="Q203" s="20"/>
      <c r="R203" s="20"/>
      <c r="S203" s="20"/>
      <c r="T203" s="20"/>
      <c r="U203" s="20"/>
      <c r="V203" s="20"/>
      <c r="W203" s="20"/>
      <c r="X203" s="20"/>
      <c r="Y203" s="20"/>
      <c r="Z203" s="20"/>
      <c r="AA203" s="20"/>
      <c r="AB203" s="20"/>
      <c r="AC203" s="20"/>
      <c r="AE203" s="81"/>
    </row>
    <row r="204" spans="1:31">
      <c r="A204" s="1" t="s">
        <v>351</v>
      </c>
      <c r="B204" s="231"/>
      <c r="C204" s="224" t="e">
        <f t="shared" si="20"/>
        <v>#REF!</v>
      </c>
      <c r="D204" s="224">
        <f t="shared" si="20"/>
        <v>0</v>
      </c>
      <c r="E204" s="193"/>
      <c r="F204" s="193"/>
      <c r="G204" s="225" t="e">
        <f t="shared" si="21"/>
        <v>#REF!</v>
      </c>
      <c r="H204" s="225">
        <f t="shared" si="21"/>
        <v>0</v>
      </c>
      <c r="I204" s="193"/>
      <c r="J204" s="193"/>
      <c r="K204" s="225" t="e">
        <f>G204</f>
        <v>#REF!</v>
      </c>
      <c r="M204" s="328"/>
      <c r="N204" s="328"/>
      <c r="O204" s="171"/>
      <c r="P204" s="71"/>
      <c r="Q204" s="20"/>
      <c r="R204" s="20"/>
      <c r="S204" s="20"/>
      <c r="T204" s="20"/>
      <c r="U204" s="20"/>
      <c r="V204" s="20"/>
      <c r="W204" s="20"/>
      <c r="X204" s="20"/>
      <c r="Y204" s="20"/>
      <c r="Z204" s="20"/>
      <c r="AA204" s="20"/>
      <c r="AB204" s="20"/>
      <c r="AC204" s="20"/>
      <c r="AE204" s="81"/>
    </row>
    <row r="205" spans="1:31" ht="16.5" thickBot="1">
      <c r="A205" s="1" t="s">
        <v>370</v>
      </c>
      <c r="B205" s="1"/>
      <c r="C205" s="195" t="e">
        <f>SUM(C203:C204)</f>
        <v>#REF!</v>
      </c>
      <c r="D205" s="195">
        <f>SUM(D203:D204)</f>
        <v>527850595.24192303</v>
      </c>
      <c r="E205" s="226"/>
      <c r="F205" s="227"/>
      <c r="G205" s="228" t="e">
        <f>G203+G204</f>
        <v>#REF!</v>
      </c>
      <c r="H205" s="228" t="e">
        <f>H203+H204</f>
        <v>#REF!</v>
      </c>
      <c r="I205" s="226"/>
      <c r="J205" s="229"/>
      <c r="K205" s="228" t="e">
        <f>K203+K204</f>
        <v>#REF!</v>
      </c>
      <c r="M205" s="295"/>
      <c r="N205" s="295"/>
      <c r="O205" s="354"/>
      <c r="P205" s="71"/>
      <c r="Q205" s="20"/>
      <c r="R205" s="20"/>
      <c r="S205" s="20"/>
      <c r="T205" s="20"/>
      <c r="U205" s="20"/>
      <c r="V205" s="20"/>
      <c r="W205" s="20"/>
      <c r="X205" s="20"/>
      <c r="Y205" s="20"/>
      <c r="Z205" s="20"/>
      <c r="AA205" s="20"/>
      <c r="AB205" s="20"/>
      <c r="AC205" s="20"/>
      <c r="AE205" s="81"/>
    </row>
    <row r="206" spans="1:31" ht="16.5" thickTop="1">
      <c r="A206" s="1"/>
      <c r="B206" s="1"/>
      <c r="C206" s="21"/>
      <c r="D206" s="21"/>
      <c r="E206" s="221"/>
      <c r="F206" s="2"/>
      <c r="G206" s="2"/>
      <c r="H206" s="2"/>
      <c r="I206" s="221"/>
      <c r="J206" s="1"/>
      <c r="K206" s="2" t="s">
        <v>31</v>
      </c>
      <c r="M206" s="20"/>
      <c r="N206" s="20"/>
      <c r="O206" s="71"/>
      <c r="P206" s="71"/>
      <c r="Q206" s="20"/>
      <c r="R206" s="20"/>
      <c r="S206" s="20"/>
      <c r="T206" s="20"/>
      <c r="U206" s="20"/>
      <c r="V206" s="20"/>
      <c r="W206" s="20"/>
      <c r="X206" s="20"/>
      <c r="Y206" s="20"/>
      <c r="Z206" s="20"/>
      <c r="AA206" s="20"/>
      <c r="AB206" s="20"/>
      <c r="AC206" s="20"/>
      <c r="AE206" s="81"/>
    </row>
    <row r="207" spans="1:31">
      <c r="A207" s="177" t="s">
        <v>375</v>
      </c>
      <c r="B207" s="1"/>
      <c r="C207" s="1"/>
      <c r="D207" s="1"/>
      <c r="E207" s="2"/>
      <c r="F207" s="2"/>
      <c r="G207" s="1" t="s">
        <v>31</v>
      </c>
      <c r="H207" s="1"/>
      <c r="I207" s="2"/>
      <c r="J207" s="1"/>
      <c r="K207" s="1"/>
      <c r="M207" s="20"/>
      <c r="N207" s="20"/>
      <c r="O207" s="71"/>
      <c r="P207" s="71"/>
      <c r="Q207" s="20"/>
      <c r="R207" s="20"/>
      <c r="S207" s="20"/>
      <c r="T207" s="20"/>
      <c r="U207" s="20"/>
      <c r="V207" s="20"/>
      <c r="W207" s="20"/>
      <c r="X207" s="20"/>
      <c r="Y207" s="20"/>
      <c r="Z207" s="20"/>
      <c r="AA207" s="20"/>
      <c r="AB207" s="20"/>
      <c r="AC207" s="20"/>
      <c r="AE207" s="81"/>
    </row>
    <row r="208" spans="1:31">
      <c r="A208" s="1" t="s">
        <v>399</v>
      </c>
      <c r="B208" s="1"/>
      <c r="C208" s="1"/>
      <c r="D208" s="21"/>
      <c r="E208" s="2"/>
      <c r="F208" s="2"/>
      <c r="G208" s="1"/>
      <c r="H208" s="1"/>
      <c r="I208" s="2"/>
      <c r="J208" s="1"/>
      <c r="K208" s="1"/>
      <c r="M208" s="20"/>
      <c r="N208" s="20"/>
      <c r="O208" s="71"/>
      <c r="P208" s="71"/>
      <c r="Q208" s="20"/>
      <c r="R208" s="20"/>
      <c r="S208" s="20"/>
      <c r="T208" s="20"/>
      <c r="U208" s="20"/>
      <c r="V208" s="20"/>
      <c r="W208" s="20"/>
      <c r="X208" s="20"/>
      <c r="Y208" s="20"/>
      <c r="Z208" s="20"/>
      <c r="AA208" s="20"/>
      <c r="AB208" s="20"/>
      <c r="AC208" s="20"/>
      <c r="AE208" s="81"/>
    </row>
    <row r="209" spans="1:31">
      <c r="A209" s="232" t="s">
        <v>400</v>
      </c>
      <c r="B209" s="1"/>
      <c r="C209" s="21"/>
      <c r="D209" s="21"/>
      <c r="E209" s="2"/>
      <c r="F209" s="2"/>
      <c r="G209" s="1"/>
      <c r="H209" s="1"/>
      <c r="I209" s="2"/>
      <c r="J209" s="1"/>
      <c r="K209" s="1"/>
      <c r="M209" s="20"/>
      <c r="N209" s="20"/>
      <c r="O209" s="71"/>
      <c r="P209" s="71"/>
      <c r="Q209" s="20"/>
      <c r="R209" s="20"/>
      <c r="S209" s="20"/>
      <c r="T209" s="20"/>
      <c r="U209" s="20"/>
      <c r="V209" s="20"/>
      <c r="W209" s="20"/>
      <c r="X209" s="20"/>
      <c r="Y209" s="20"/>
      <c r="Z209" s="20"/>
      <c r="AA209" s="20"/>
      <c r="AB209" s="20"/>
      <c r="AC209" s="20"/>
      <c r="AE209" s="81"/>
    </row>
    <row r="210" spans="1:31">
      <c r="A210" s="1" t="s">
        <v>381</v>
      </c>
      <c r="B210" s="1"/>
      <c r="C210" s="203"/>
      <c r="D210" s="203"/>
      <c r="E210" s="2"/>
      <c r="F210" s="2"/>
      <c r="G210" s="1"/>
      <c r="H210" s="1"/>
      <c r="I210" s="2"/>
      <c r="J210" s="1"/>
      <c r="K210" s="1"/>
      <c r="M210" s="20"/>
      <c r="N210" s="20"/>
      <c r="O210" s="71"/>
      <c r="P210" s="71"/>
      <c r="Q210" s="20"/>
      <c r="R210" s="20"/>
      <c r="S210" s="20"/>
      <c r="T210" s="20"/>
      <c r="U210" s="20"/>
      <c r="V210" s="20"/>
      <c r="W210" s="20"/>
      <c r="X210" s="20"/>
      <c r="Y210" s="20"/>
      <c r="Z210" s="20"/>
      <c r="AA210" s="20"/>
      <c r="AB210" s="20"/>
      <c r="AC210" s="20"/>
      <c r="AE210" s="81"/>
    </row>
    <row r="211" spans="1:31">
      <c r="A211" s="1" t="s">
        <v>378</v>
      </c>
      <c r="B211" s="1"/>
      <c r="C211" s="203">
        <f>31559+48+114515+12+1+4</f>
        <v>146139</v>
      </c>
      <c r="D211" s="203">
        <v>144846</v>
      </c>
      <c r="E211" s="182">
        <f>$E$153</f>
        <v>7.53</v>
      </c>
      <c r="F211" s="205"/>
      <c r="G211" s="2">
        <f>ROUND(E211*$C211,0)</f>
        <v>1100427</v>
      </c>
      <c r="H211" s="2">
        <f>ROUND(E211*$D211,0)</f>
        <v>1090690</v>
      </c>
      <c r="I211" s="182">
        <f>$I$153</f>
        <v>8</v>
      </c>
      <c r="J211" s="207"/>
      <c r="K211" s="2">
        <f>ROUND(I211*$C211,0)</f>
        <v>1169112</v>
      </c>
      <c r="M211" s="20"/>
      <c r="N211" s="20"/>
      <c r="O211" s="71"/>
      <c r="P211" s="71"/>
      <c r="Q211" s="20"/>
      <c r="R211" s="20"/>
      <c r="S211" s="20"/>
      <c r="T211" s="20"/>
      <c r="U211" s="20"/>
      <c r="V211" s="20"/>
      <c r="W211" s="20"/>
      <c r="X211" s="20"/>
      <c r="Y211" s="20"/>
      <c r="Z211" s="20"/>
      <c r="AA211" s="20"/>
      <c r="AB211" s="20"/>
      <c r="AC211" s="20"/>
      <c r="AE211" s="81"/>
    </row>
    <row r="212" spans="1:31">
      <c r="A212" s="1" t="s">
        <v>379</v>
      </c>
      <c r="B212" s="1"/>
      <c r="C212" s="203">
        <f>11+7148+42+33+60+49632</f>
        <v>56926</v>
      </c>
      <c r="D212" s="203">
        <v>56418</v>
      </c>
      <c r="E212" s="182">
        <f>$E$154</f>
        <v>11.18</v>
      </c>
      <c r="F212" s="208"/>
      <c r="G212" s="2">
        <f>ROUND(E212*$C212,0)</f>
        <v>636433</v>
      </c>
      <c r="H212" s="2">
        <f>ROUND(E212*$D212,0)</f>
        <v>630753</v>
      </c>
      <c r="I212" s="182">
        <f>$I$154</f>
        <v>11.877822045152721</v>
      </c>
      <c r="J212" s="209"/>
      <c r="K212" s="2">
        <f>ROUND(I212*$C212,0)</f>
        <v>676157</v>
      </c>
      <c r="M212" s="20"/>
      <c r="N212" s="20"/>
      <c r="O212" s="71"/>
      <c r="P212" s="71"/>
      <c r="Q212" s="20"/>
      <c r="R212" s="20"/>
      <c r="S212" s="20"/>
      <c r="T212" s="20"/>
      <c r="U212" s="20"/>
      <c r="V212" s="20"/>
      <c r="W212" s="20"/>
      <c r="X212" s="20"/>
      <c r="Y212" s="20"/>
      <c r="Z212" s="20"/>
      <c r="AA212" s="20"/>
      <c r="AB212" s="20"/>
      <c r="AC212" s="20"/>
      <c r="AE212" s="81"/>
    </row>
    <row r="213" spans="1:31">
      <c r="A213" s="1" t="s">
        <v>380</v>
      </c>
      <c r="B213" s="1"/>
      <c r="C213" s="203">
        <f>19363+72181+143+261091+506+425+2975+845224</f>
        <v>1201908</v>
      </c>
      <c r="D213" s="203" t="e">
        <f>ROUND(($D$231/'Billing Determinants (2)'!$C$231)*C213,0)</f>
        <v>#REF!</v>
      </c>
      <c r="E213" s="182">
        <f>$E$155</f>
        <v>0.78</v>
      </c>
      <c r="F213" s="208"/>
      <c r="G213" s="2">
        <f>ROUND(E213*$C213,0)</f>
        <v>937488</v>
      </c>
      <c r="H213" s="2" t="e">
        <f>ROUND(E213*$D213,0)</f>
        <v>#REF!</v>
      </c>
      <c r="I213" s="182">
        <f>$I$155</f>
        <v>0.83</v>
      </c>
      <c r="J213" s="209"/>
      <c r="K213" s="2">
        <f>ROUND(I213*$C213,0)</f>
        <v>997584</v>
      </c>
      <c r="M213" s="20"/>
      <c r="N213" s="20"/>
      <c r="O213" s="71"/>
      <c r="P213" s="71"/>
      <c r="Q213" s="20"/>
      <c r="R213" s="20"/>
      <c r="S213" s="20"/>
      <c r="T213" s="20"/>
      <c r="U213" s="20"/>
      <c r="V213" s="20"/>
      <c r="W213" s="20"/>
      <c r="X213" s="20"/>
      <c r="Y213" s="20"/>
      <c r="Z213" s="20"/>
      <c r="AA213" s="20"/>
      <c r="AB213" s="20"/>
      <c r="AC213" s="20"/>
      <c r="AE213" s="81"/>
    </row>
    <row r="214" spans="1:31">
      <c r="A214" s="1" t="s">
        <v>382</v>
      </c>
      <c r="B214" s="1"/>
      <c r="C214" s="203">
        <f>SUM(C211:C212)</f>
        <v>203065</v>
      </c>
      <c r="D214" s="203">
        <f>SUM(D211:D212)</f>
        <v>201264</v>
      </c>
      <c r="E214" s="182"/>
      <c r="F214" s="205"/>
      <c r="G214" s="2"/>
      <c r="H214" s="2"/>
      <c r="I214" s="182"/>
      <c r="J214" s="207"/>
      <c r="K214" s="2"/>
      <c r="M214" s="20"/>
      <c r="N214" s="20"/>
      <c r="O214" s="71"/>
      <c r="P214" s="71"/>
      <c r="Q214" s="20"/>
      <c r="R214" s="20"/>
      <c r="S214" s="20"/>
      <c r="T214" s="20"/>
      <c r="U214" s="20"/>
      <c r="V214" s="20"/>
      <c r="W214" s="20"/>
      <c r="X214" s="20"/>
      <c r="Y214" s="20"/>
      <c r="Z214" s="20"/>
      <c r="AA214" s="20"/>
      <c r="AB214" s="20"/>
      <c r="AC214" s="20"/>
      <c r="AE214" s="81"/>
    </row>
    <row r="215" spans="1:31">
      <c r="A215" s="1" t="s">
        <v>383</v>
      </c>
      <c r="B215" s="1"/>
      <c r="C215" s="203">
        <f>12010+42566+76+150357+258+319+1181+570824</f>
        <v>777591</v>
      </c>
      <c r="D215" s="203" t="e">
        <f>ROUND(($D$231/'Billing Determinants (2)'!$C$231)*C215,0)</f>
        <v>#REF!</v>
      </c>
      <c r="E215" s="210">
        <f>$E$158</f>
        <v>2.88</v>
      </c>
      <c r="F215" s="207"/>
      <c r="G215" s="2">
        <f>ROUND(E215*$C215,0)</f>
        <v>2239462</v>
      </c>
      <c r="H215" s="2" t="e">
        <f>ROUND(E215*$D215,0)</f>
        <v>#REF!</v>
      </c>
      <c r="I215" s="210">
        <f>$I$158</f>
        <v>2.97</v>
      </c>
      <c r="J215" s="207"/>
      <c r="K215" s="2">
        <f>ROUND(I215*$C215,0)</f>
        <v>2309445</v>
      </c>
      <c r="M215" s="20"/>
      <c r="N215" s="20"/>
      <c r="O215" s="71"/>
      <c r="P215" s="71"/>
      <c r="Q215" s="20"/>
      <c r="R215" s="20"/>
      <c r="S215" s="20"/>
      <c r="T215" s="20"/>
      <c r="U215" s="20"/>
      <c r="V215" s="20"/>
      <c r="W215" s="20"/>
      <c r="X215" s="20"/>
      <c r="Y215" s="20"/>
      <c r="Z215" s="20"/>
      <c r="AA215" s="20"/>
      <c r="AB215" s="20"/>
      <c r="AC215" s="20"/>
      <c r="AE215" s="81"/>
    </row>
    <row r="216" spans="1:31">
      <c r="A216" s="1" t="s">
        <v>385</v>
      </c>
      <c r="B216" s="203"/>
      <c r="C216" s="203" t="e">
        <f>10637140+2511+3968456+48093+68224697+41262+14709+22133+40160890+910+1497+3016+#REF!*1000</f>
        <v>#REF!</v>
      </c>
      <c r="D216" s="203" t="e">
        <f>ROUND(($D$231/$C$231)*C216,0)</f>
        <v>#REF!</v>
      </c>
      <c r="E216" s="183">
        <f>$E$159</f>
        <v>8.0890000000000004</v>
      </c>
      <c r="F216" s="207" t="s">
        <v>362</v>
      </c>
      <c r="G216" s="2" t="e">
        <f>ROUND(E216*$C216/100,0)</f>
        <v>#REF!</v>
      </c>
      <c r="H216" s="2" t="e">
        <f>ROUND(E216*$D216/100,0)</f>
        <v>#REF!</v>
      </c>
      <c r="I216" s="183">
        <f>$I$159</f>
        <v>8.8109999999999999</v>
      </c>
      <c r="J216" s="207" t="s">
        <v>362</v>
      </c>
      <c r="K216" s="2" t="e">
        <f>ROUND(I216*$C216/100,0)</f>
        <v>#REF!</v>
      </c>
      <c r="M216" s="357"/>
      <c r="N216" s="357"/>
      <c r="O216" s="71"/>
      <c r="P216" s="71"/>
      <c r="Q216" s="20"/>
      <c r="R216" s="20"/>
      <c r="S216" s="20"/>
      <c r="T216" s="20"/>
      <c r="U216" s="20"/>
      <c r="V216" s="20"/>
      <c r="W216" s="20"/>
      <c r="X216" s="20"/>
      <c r="Y216" s="20"/>
      <c r="Z216" s="20"/>
      <c r="AA216" s="20"/>
      <c r="AB216" s="20"/>
      <c r="AC216" s="20"/>
      <c r="AE216" s="81"/>
    </row>
    <row r="217" spans="1:31">
      <c r="A217" s="1" t="s">
        <v>386</v>
      </c>
      <c r="B217" s="203"/>
      <c r="C217" s="203" t="e">
        <f>6716987+667+10550295+89698+100459984+191610+96267+84727+156443365+471+#REF!*1000</f>
        <v>#REF!</v>
      </c>
      <c r="D217" s="203" t="e">
        <f>ROUND(($D$231/'Billing Determinants (2)'!$C$231)*C217,0)</f>
        <v>#REF!</v>
      </c>
      <c r="E217" s="183">
        <f>$E$160</f>
        <v>5.5839999999999996</v>
      </c>
      <c r="F217" s="207" t="s">
        <v>362</v>
      </c>
      <c r="G217" s="2" t="e">
        <f>ROUND(E217*$C217/100,0)</f>
        <v>#REF!</v>
      </c>
      <c r="H217" s="2" t="e">
        <f>ROUND(E217*$D217/100,0)</f>
        <v>#REF!</v>
      </c>
      <c r="I217" s="183">
        <f>$I$160</f>
        <v>6.0819999999999999</v>
      </c>
      <c r="J217" s="207" t="s">
        <v>362</v>
      </c>
      <c r="K217" s="2" t="e">
        <f>ROUND(I217*$C217/100,0)</f>
        <v>#REF!</v>
      </c>
      <c r="M217" s="357"/>
      <c r="N217" s="357"/>
      <c r="O217" s="71"/>
      <c r="P217" s="71"/>
      <c r="Q217" s="20"/>
      <c r="R217" s="20"/>
      <c r="S217" s="20"/>
      <c r="T217" s="20"/>
      <c r="U217" s="20"/>
      <c r="V217" s="20"/>
      <c r="W217" s="20"/>
      <c r="X217" s="20"/>
      <c r="Y217" s="20"/>
      <c r="Z217" s="20"/>
      <c r="AA217" s="20"/>
      <c r="AB217" s="20"/>
      <c r="AC217" s="20"/>
      <c r="AE217" s="81"/>
    </row>
    <row r="218" spans="1:31">
      <c r="A218" s="1" t="s">
        <v>387</v>
      </c>
      <c r="B218" s="203"/>
      <c r="C218" s="203" t="e">
        <f>974972+8370324+11474735+34390+61460+4500+93253467+#REF!*1000</f>
        <v>#REF!</v>
      </c>
      <c r="D218" s="203" t="e">
        <f>ROUND(($D$231/'Billing Determinants (2)'!$C$231)*C218,0)</f>
        <v>#REF!</v>
      </c>
      <c r="E218" s="183">
        <f>$E$161</f>
        <v>4.8099999999999996</v>
      </c>
      <c r="F218" s="207" t="s">
        <v>362</v>
      </c>
      <c r="G218" s="2" t="e">
        <f>ROUND(E218*$C218/100,0)</f>
        <v>#REF!</v>
      </c>
      <c r="H218" s="2" t="e">
        <f>ROUND(E218*$D218/100,0)</f>
        <v>#REF!</v>
      </c>
      <c r="I218" s="183">
        <f>$I$161</f>
        <v>5.24</v>
      </c>
      <c r="J218" s="207" t="s">
        <v>362</v>
      </c>
      <c r="K218" s="2" t="e">
        <f>ROUND(I218*$C218/100,0)</f>
        <v>#REF!</v>
      </c>
      <c r="M218" s="357"/>
      <c r="N218" s="357"/>
      <c r="O218" s="71"/>
      <c r="P218" s="71"/>
      <c r="Q218" s="20"/>
      <c r="R218" s="20"/>
      <c r="S218" s="20"/>
      <c r="T218" s="20"/>
      <c r="U218" s="20"/>
      <c r="V218" s="20"/>
      <c r="W218" s="20"/>
      <c r="X218" s="20"/>
      <c r="Y218" s="20"/>
      <c r="Z218" s="20"/>
      <c r="AA218" s="20"/>
      <c r="AB218" s="20"/>
      <c r="AC218" s="20"/>
      <c r="AE218" s="81"/>
    </row>
    <row r="219" spans="1:31">
      <c r="A219" s="1" t="s">
        <v>388</v>
      </c>
      <c r="B219" s="21"/>
      <c r="C219" s="203">
        <f>1+8222+516+2+2994+65942</f>
        <v>77677</v>
      </c>
      <c r="D219" s="203" t="e">
        <f>ROUND(($D$231/'Billing Determinants (2)'!$C$231)*C219,0)</f>
        <v>#REF!</v>
      </c>
      <c r="E219" s="214">
        <f>$E$162</f>
        <v>45</v>
      </c>
      <c r="F219" s="205" t="s">
        <v>362</v>
      </c>
      <c r="G219" s="2">
        <f>ROUND(E219*$C219/100,0)</f>
        <v>34955</v>
      </c>
      <c r="H219" s="2" t="e">
        <f>ROUND(E219*$D219/100,0)</f>
        <v>#REF!</v>
      </c>
      <c r="I219" s="214">
        <f>$I$162</f>
        <v>50</v>
      </c>
      <c r="J219" s="207" t="s">
        <v>362</v>
      </c>
      <c r="K219" s="2">
        <f>ROUND(I219*$C219/100,0)</f>
        <v>38839</v>
      </c>
      <c r="M219" s="20"/>
      <c r="N219" s="20"/>
      <c r="O219" s="71"/>
      <c r="P219" s="71"/>
      <c r="Q219" s="20"/>
      <c r="R219" s="20"/>
      <c r="S219" s="20"/>
      <c r="T219" s="20"/>
      <c r="U219" s="20"/>
      <c r="V219" s="20"/>
      <c r="W219" s="20"/>
      <c r="X219" s="20"/>
      <c r="Y219" s="20"/>
      <c r="Z219" s="20"/>
      <c r="AA219" s="20"/>
      <c r="AB219" s="20"/>
      <c r="AC219" s="20"/>
      <c r="AE219" s="81"/>
    </row>
    <row r="220" spans="1:31">
      <c r="A220" s="215" t="s">
        <v>389</v>
      </c>
      <c r="B220" s="21"/>
      <c r="C220" s="203"/>
      <c r="D220" s="203"/>
      <c r="E220" s="216">
        <v>-0.01</v>
      </c>
      <c r="F220" s="205"/>
      <c r="G220" s="2"/>
      <c r="H220" s="2"/>
      <c r="I220" s="216">
        <v>-0.01</v>
      </c>
      <c r="J220" s="207"/>
      <c r="K220" s="2"/>
      <c r="M220" s="20"/>
      <c r="N220" s="20"/>
      <c r="O220" s="71"/>
      <c r="P220" s="71"/>
      <c r="Q220" s="20"/>
      <c r="R220" s="20"/>
      <c r="S220" s="20"/>
      <c r="T220" s="20"/>
      <c r="U220" s="20"/>
      <c r="V220" s="20"/>
      <c r="W220" s="20"/>
      <c r="X220" s="20"/>
      <c r="Y220" s="20"/>
      <c r="Z220" s="20"/>
      <c r="AA220" s="20"/>
      <c r="AB220" s="20"/>
      <c r="AC220" s="20"/>
      <c r="AE220" s="81"/>
    </row>
    <row r="221" spans="1:31">
      <c r="A221" s="1" t="s">
        <v>378</v>
      </c>
      <c r="B221" s="1"/>
      <c r="C221" s="203">
        <f>48</f>
        <v>48</v>
      </c>
      <c r="D221" s="203">
        <v>48</v>
      </c>
      <c r="E221" s="218">
        <f>E211</f>
        <v>7.53</v>
      </c>
      <c r="F221" s="205"/>
      <c r="G221" s="2">
        <f>-ROUND(E221*$C221/100,0)</f>
        <v>-4</v>
      </c>
      <c r="H221" s="2">
        <f>-ROUND(E221*$D221/100,0)</f>
        <v>-4</v>
      </c>
      <c r="I221" s="218">
        <f>I211</f>
        <v>8</v>
      </c>
      <c r="J221" s="205"/>
      <c r="K221" s="2">
        <f>-ROUND(I221*$C221/100,0)</f>
        <v>-4</v>
      </c>
      <c r="M221" s="20"/>
      <c r="N221" s="20"/>
      <c r="O221" s="71"/>
      <c r="P221" s="71"/>
      <c r="Q221" s="20"/>
      <c r="R221" s="20"/>
      <c r="S221" s="20"/>
      <c r="T221" s="20"/>
      <c r="U221" s="20"/>
      <c r="V221" s="20"/>
      <c r="W221" s="20"/>
      <c r="X221" s="20"/>
      <c r="Y221" s="20"/>
      <c r="Z221" s="20"/>
      <c r="AA221" s="20"/>
      <c r="AB221" s="20"/>
      <c r="AC221" s="20"/>
      <c r="AE221" s="81"/>
    </row>
    <row r="222" spans="1:31">
      <c r="A222" s="1" t="s">
        <v>379</v>
      </c>
      <c r="B222" s="1"/>
      <c r="C222" s="203">
        <f>33+60</f>
        <v>93</v>
      </c>
      <c r="D222" s="203">
        <v>92</v>
      </c>
      <c r="E222" s="218">
        <f>E212</f>
        <v>11.18</v>
      </c>
      <c r="F222" s="205"/>
      <c r="G222" s="2">
        <f>-ROUND(E222*$C222/100,0)</f>
        <v>-10</v>
      </c>
      <c r="H222" s="2">
        <f>-ROUND(E222*$D222/100,0)</f>
        <v>-10</v>
      </c>
      <c r="I222" s="218">
        <f>I212</f>
        <v>11.877822045152721</v>
      </c>
      <c r="J222" s="205"/>
      <c r="K222" s="2">
        <f>-ROUND(I222*$C222/100,0)</f>
        <v>-11</v>
      </c>
      <c r="M222" s="20"/>
      <c r="N222" s="20"/>
      <c r="O222" s="71"/>
      <c r="P222" s="71"/>
      <c r="Q222" s="20"/>
      <c r="R222" s="20"/>
      <c r="S222" s="20"/>
      <c r="T222" s="20"/>
      <c r="U222" s="20"/>
      <c r="V222" s="20"/>
      <c r="W222" s="20"/>
      <c r="X222" s="20"/>
      <c r="Y222" s="20"/>
      <c r="Z222" s="20"/>
      <c r="AA222" s="20"/>
      <c r="AB222" s="20"/>
      <c r="AC222" s="20"/>
      <c r="AE222" s="81"/>
    </row>
    <row r="223" spans="1:31">
      <c r="A223" s="1" t="s">
        <v>390</v>
      </c>
      <c r="B223" s="1"/>
      <c r="C223" s="203">
        <f>143+425+2975</f>
        <v>3543</v>
      </c>
      <c r="D223" s="203" t="e">
        <f>ROUND(($D$231/'Billing Determinants (2)'!$C$231)*C223,0)</f>
        <v>#REF!</v>
      </c>
      <c r="E223" s="218">
        <f>E213</f>
        <v>0.78</v>
      </c>
      <c r="F223" s="205"/>
      <c r="G223" s="2">
        <f>-ROUND(E223*$C223/100,0)</f>
        <v>-28</v>
      </c>
      <c r="H223" s="2" t="e">
        <f>-ROUND(E223*$D223/100,0)</f>
        <v>#REF!</v>
      </c>
      <c r="I223" s="218">
        <f>I213</f>
        <v>0.83</v>
      </c>
      <c r="J223" s="205"/>
      <c r="K223" s="2">
        <f>-ROUND(I223*$C223/100,0)</f>
        <v>-29</v>
      </c>
      <c r="M223" s="20"/>
      <c r="N223" s="20"/>
      <c r="O223" s="71"/>
      <c r="P223" s="71"/>
      <c r="Q223" s="20"/>
      <c r="R223" s="20"/>
      <c r="S223" s="20"/>
      <c r="T223" s="20"/>
      <c r="U223" s="20"/>
      <c r="V223" s="20"/>
      <c r="W223" s="20"/>
      <c r="X223" s="20"/>
      <c r="Y223" s="20"/>
      <c r="Z223" s="20"/>
      <c r="AA223" s="20"/>
      <c r="AB223" s="20"/>
      <c r="AC223" s="20"/>
      <c r="AE223" s="81"/>
    </row>
    <row r="224" spans="1:31">
      <c r="A224" s="1" t="s">
        <v>401</v>
      </c>
      <c r="B224" s="1"/>
      <c r="C224" s="203">
        <f>76+319+1181</f>
        <v>1576</v>
      </c>
      <c r="D224" s="203" t="e">
        <f>ROUND(($D$231/'Billing Determinants (2)'!$C$231)*C224,0)</f>
        <v>#REF!</v>
      </c>
      <c r="E224" s="218">
        <f>E215</f>
        <v>2.88</v>
      </c>
      <c r="F224" s="207"/>
      <c r="G224" s="2">
        <f>-ROUND(E224*$C224/100,0)</f>
        <v>-45</v>
      </c>
      <c r="H224" s="2" t="e">
        <f>-ROUND(E224*$D224/100,0)</f>
        <v>#REF!</v>
      </c>
      <c r="I224" s="218">
        <f>I215</f>
        <v>2.97</v>
      </c>
      <c r="J224" s="207"/>
      <c r="K224" s="2">
        <f>-ROUND(I224*$C224/100,0)</f>
        <v>-47</v>
      </c>
      <c r="M224" s="20"/>
      <c r="N224" s="20"/>
      <c r="O224" s="71"/>
      <c r="P224" s="71"/>
      <c r="Q224" s="20"/>
      <c r="R224" s="20"/>
      <c r="S224" s="20"/>
      <c r="T224" s="20"/>
      <c r="U224" s="20"/>
      <c r="V224" s="20"/>
      <c r="W224" s="20"/>
      <c r="X224" s="20"/>
      <c r="Y224" s="20"/>
      <c r="Z224" s="20"/>
      <c r="AA224" s="20"/>
      <c r="AB224" s="20"/>
      <c r="AC224" s="20"/>
      <c r="AE224" s="81"/>
    </row>
    <row r="225" spans="1:31">
      <c r="A225" s="1" t="s">
        <v>393</v>
      </c>
      <c r="B225" s="1"/>
      <c r="C225" s="203">
        <f>48093+14709+22133</f>
        <v>84935</v>
      </c>
      <c r="D225" s="203" t="e">
        <f>ROUND(($D$231/'Billing Determinants (2)'!$C$231)*C225,0)</f>
        <v>#REF!</v>
      </c>
      <c r="E225" s="219">
        <f>E216</f>
        <v>8.0890000000000004</v>
      </c>
      <c r="F225" s="207" t="s">
        <v>362</v>
      </c>
      <c r="G225" s="2">
        <f>ROUND(E225*$C225/100*E220,0)</f>
        <v>-69</v>
      </c>
      <c r="H225" s="2" t="e">
        <f>ROUND(E225*$D225/100*E220,0)</f>
        <v>#REF!</v>
      </c>
      <c r="I225" s="219">
        <f>I216</f>
        <v>8.8109999999999999</v>
      </c>
      <c r="J225" s="207" t="s">
        <v>362</v>
      </c>
      <c r="K225" s="2">
        <f>ROUND(I225*$C225/100*I220,0)</f>
        <v>-75</v>
      </c>
      <c r="M225" s="20"/>
      <c r="N225" s="20"/>
      <c r="O225" s="71"/>
      <c r="P225" s="71"/>
      <c r="Q225" s="20"/>
      <c r="R225" s="20"/>
      <c r="S225" s="20"/>
      <c r="T225" s="20"/>
      <c r="U225" s="20"/>
      <c r="V225" s="20"/>
      <c r="W225" s="20"/>
      <c r="X225" s="20"/>
      <c r="Y225" s="20"/>
      <c r="Z225" s="20"/>
      <c r="AA225" s="20"/>
      <c r="AB225" s="20"/>
      <c r="AC225" s="20"/>
      <c r="AE225" s="81"/>
    </row>
    <row r="226" spans="1:31">
      <c r="A226" s="1" t="s">
        <v>386</v>
      </c>
      <c r="B226" s="1"/>
      <c r="C226" s="203">
        <f>89698+96267+84727</f>
        <v>270692</v>
      </c>
      <c r="D226" s="203" t="e">
        <f>ROUND(($D$231/'Billing Determinants (2)'!$C$231)*C226,0)</f>
        <v>#REF!</v>
      </c>
      <c r="E226" s="219">
        <f>E217</f>
        <v>5.5839999999999996</v>
      </c>
      <c r="F226" s="207" t="s">
        <v>362</v>
      </c>
      <c r="G226" s="2">
        <f>ROUND(E226*$C226/100*E220,0)</f>
        <v>-151</v>
      </c>
      <c r="H226" s="2" t="e">
        <f>ROUND(E226*$D226/100*E220,0)</f>
        <v>#REF!</v>
      </c>
      <c r="I226" s="219">
        <f>I217</f>
        <v>6.0819999999999999</v>
      </c>
      <c r="J226" s="207" t="s">
        <v>362</v>
      </c>
      <c r="K226" s="2">
        <f>ROUND(I226*$C226/100*I220,0)</f>
        <v>-165</v>
      </c>
      <c r="M226" s="20"/>
      <c r="N226" s="20"/>
      <c r="O226" s="71"/>
      <c r="P226" s="71"/>
      <c r="Q226" s="20"/>
      <c r="R226" s="20"/>
      <c r="S226" s="20"/>
      <c r="T226" s="20"/>
      <c r="U226" s="20"/>
      <c r="V226" s="20"/>
      <c r="W226" s="20"/>
      <c r="X226" s="20"/>
      <c r="Y226" s="20"/>
      <c r="Z226" s="20"/>
      <c r="AA226" s="20"/>
      <c r="AB226" s="20"/>
      <c r="AC226" s="20"/>
      <c r="AE226" s="81"/>
    </row>
    <row r="227" spans="1:31">
      <c r="A227" s="1" t="s">
        <v>387</v>
      </c>
      <c r="B227" s="1"/>
      <c r="C227" s="203">
        <f>137791+172436+111360-C225-C226</f>
        <v>65960</v>
      </c>
      <c r="D227" s="203" t="e">
        <f>ROUND(($D$231/'Billing Determinants (2)'!$C$231)*C227,0)</f>
        <v>#REF!</v>
      </c>
      <c r="E227" s="219">
        <f>E218</f>
        <v>4.8099999999999996</v>
      </c>
      <c r="F227" s="207" t="s">
        <v>362</v>
      </c>
      <c r="G227" s="2">
        <f>ROUND(E227*$C227/100*E220,0)</f>
        <v>-32</v>
      </c>
      <c r="H227" s="2" t="e">
        <f>ROUND(E227*$D227/100*E220,0)</f>
        <v>#REF!</v>
      </c>
      <c r="I227" s="219">
        <f>I218</f>
        <v>5.24</v>
      </c>
      <c r="J227" s="207" t="s">
        <v>362</v>
      </c>
      <c r="K227" s="2">
        <f>ROUND(I227*$C227/100*I220,0)</f>
        <v>-35</v>
      </c>
      <c r="M227" s="20"/>
      <c r="N227" s="20"/>
      <c r="O227" s="71"/>
      <c r="P227" s="71"/>
      <c r="Q227" s="20"/>
      <c r="R227" s="20"/>
      <c r="S227" s="20"/>
      <c r="T227" s="20"/>
      <c r="U227" s="20"/>
      <c r="V227" s="20"/>
      <c r="W227" s="20"/>
      <c r="X227" s="20"/>
      <c r="Y227" s="20"/>
      <c r="Z227" s="20"/>
      <c r="AA227" s="20"/>
      <c r="AB227" s="20"/>
      <c r="AC227" s="20"/>
      <c r="AE227" s="81"/>
    </row>
    <row r="228" spans="1:31">
      <c r="A228" s="1" t="s">
        <v>388</v>
      </c>
      <c r="B228" s="1"/>
      <c r="C228" s="203">
        <f>2+2994</f>
        <v>2996</v>
      </c>
      <c r="D228" s="203" t="e">
        <f>ROUND(($D$231/'Billing Determinants (2)'!$C$231)*C228,0)</f>
        <v>#REF!</v>
      </c>
      <c r="E228" s="220">
        <f>E219</f>
        <v>45</v>
      </c>
      <c r="F228" s="207" t="s">
        <v>362</v>
      </c>
      <c r="G228" s="2">
        <f>ROUND(E228*$C228/100*E220,0)</f>
        <v>-13</v>
      </c>
      <c r="H228" s="2" t="e">
        <f>ROUND(E228*$D228/100*E220,0)</f>
        <v>#REF!</v>
      </c>
      <c r="I228" s="220">
        <f>I219</f>
        <v>50</v>
      </c>
      <c r="J228" s="207" t="s">
        <v>362</v>
      </c>
      <c r="K228" s="2">
        <f>ROUND(I228*$C228/100*I220,0)</f>
        <v>-15</v>
      </c>
      <c r="M228" s="20"/>
      <c r="N228" s="20"/>
      <c r="O228" s="71"/>
      <c r="P228" s="71"/>
      <c r="Q228" s="20"/>
      <c r="R228" s="20"/>
      <c r="S228" s="20"/>
      <c r="T228" s="20"/>
      <c r="U228" s="20"/>
      <c r="V228" s="20"/>
      <c r="W228" s="20"/>
      <c r="X228" s="20"/>
      <c r="Y228" s="20"/>
      <c r="Z228" s="20"/>
      <c r="AA228" s="20"/>
      <c r="AB228" s="20"/>
      <c r="AC228" s="20"/>
      <c r="AE228" s="81"/>
    </row>
    <row r="229" spans="1:31">
      <c r="A229" s="1" t="s">
        <v>395</v>
      </c>
      <c r="B229" s="1"/>
      <c r="C229" s="203">
        <f>48+60</f>
        <v>108</v>
      </c>
      <c r="D229" s="203" t="e">
        <f>ROUND(($D$231/'Billing Determinants (2)'!$C$231)*C229,0)</f>
        <v>#REF!</v>
      </c>
      <c r="E229" s="221">
        <f>$E$172</f>
        <v>60</v>
      </c>
      <c r="F229" s="205"/>
      <c r="G229" s="2">
        <f>ROUND(E229*$C229,0)</f>
        <v>6480</v>
      </c>
      <c r="H229" s="2" t="e">
        <f>ROUND(E229*$D229,0)</f>
        <v>#REF!</v>
      </c>
      <c r="I229" s="221">
        <f>$I$172</f>
        <v>60</v>
      </c>
      <c r="J229" s="207"/>
      <c r="K229" s="2">
        <f>ROUND(I229*$C229,0)</f>
        <v>6480</v>
      </c>
      <c r="M229" s="20"/>
      <c r="N229" s="20"/>
      <c r="O229" s="71"/>
      <c r="P229" s="71"/>
      <c r="Q229" s="20"/>
      <c r="R229" s="20"/>
      <c r="S229" s="20"/>
      <c r="T229" s="20"/>
      <c r="U229" s="20"/>
      <c r="V229" s="20"/>
      <c r="W229" s="20"/>
      <c r="X229" s="20"/>
      <c r="Y229" s="20"/>
      <c r="Z229" s="20"/>
      <c r="AA229" s="20"/>
      <c r="AB229" s="20"/>
      <c r="AC229" s="20"/>
      <c r="AE229" s="81"/>
    </row>
    <row r="230" spans="1:31">
      <c r="A230" s="1" t="s">
        <v>396</v>
      </c>
      <c r="B230" s="1"/>
      <c r="C230" s="203">
        <f>143+506+2975</f>
        <v>3624</v>
      </c>
      <c r="D230" s="203" t="e">
        <f>ROUND(($D$231/'Billing Determinants (2)'!$C$231)*C230,0)</f>
        <v>#REF!</v>
      </c>
      <c r="E230" s="223">
        <f>$E$173</f>
        <v>-30</v>
      </c>
      <c r="F230" s="205" t="s">
        <v>362</v>
      </c>
      <c r="G230" s="2">
        <f>ROUND(E230*$C230/100,0)</f>
        <v>-1087</v>
      </c>
      <c r="H230" s="2" t="e">
        <f>ROUND(E230*$D230/100,0)</f>
        <v>#REF!</v>
      </c>
      <c r="I230" s="223">
        <f>$I$173</f>
        <v>-30</v>
      </c>
      <c r="J230" s="207" t="s">
        <v>362</v>
      </c>
      <c r="K230" s="2">
        <f>ROUND(I230*$C230/100,0)</f>
        <v>-1087</v>
      </c>
      <c r="M230" s="20"/>
      <c r="N230" s="20"/>
      <c r="O230" s="71"/>
      <c r="P230" s="71"/>
      <c r="Q230" s="20"/>
      <c r="R230" s="20"/>
      <c r="S230" s="20"/>
      <c r="T230" s="20"/>
      <c r="U230" s="20"/>
      <c r="V230" s="20"/>
      <c r="W230" s="20"/>
      <c r="X230" s="20"/>
      <c r="Y230" s="20"/>
      <c r="Z230" s="20"/>
      <c r="AA230" s="20"/>
      <c r="AB230" s="20"/>
      <c r="AC230" s="20"/>
      <c r="AE230" s="81"/>
    </row>
    <row r="231" spans="1:31">
      <c r="A231" s="1" t="s">
        <v>369</v>
      </c>
      <c r="B231" s="191"/>
      <c r="C231" s="203" t="e">
        <f>SUM(C216:C218)</f>
        <v>#REF!</v>
      </c>
      <c r="D231" s="203">
        <v>505220047.82638693</v>
      </c>
      <c r="E231" s="214"/>
      <c r="F231" s="2"/>
      <c r="G231" s="2" t="e">
        <f>SUM(G211:G230)</f>
        <v>#REF!</v>
      </c>
      <c r="H231" s="2" t="e">
        <f>SUM(H211:H230)</f>
        <v>#REF!</v>
      </c>
      <c r="I231" s="214"/>
      <c r="J231" s="207"/>
      <c r="K231" s="2" t="e">
        <f>SUM(K211:K230)</f>
        <v>#REF!</v>
      </c>
      <c r="M231" s="300"/>
      <c r="N231" s="300"/>
      <c r="O231" s="71"/>
      <c r="P231" s="71"/>
      <c r="Q231" s="20"/>
      <c r="R231" s="20"/>
      <c r="S231" s="20"/>
      <c r="T231" s="20"/>
      <c r="U231" s="20"/>
      <c r="V231" s="20"/>
      <c r="W231" s="20"/>
      <c r="X231" s="20"/>
      <c r="Y231" s="20"/>
      <c r="Z231" s="20"/>
      <c r="AA231" s="20"/>
      <c r="AB231" s="20"/>
      <c r="AC231" s="20"/>
      <c r="AE231" s="81"/>
    </row>
    <row r="232" spans="1:31">
      <c r="A232" s="1" t="s">
        <v>351</v>
      </c>
      <c r="B232" s="1"/>
      <c r="C232" s="233" t="e">
        <f>#REF!</f>
        <v>#REF!</v>
      </c>
      <c r="D232" s="224">
        <v>0</v>
      </c>
      <c r="E232" s="193"/>
      <c r="F232" s="193"/>
      <c r="G232" s="225" t="e">
        <f>#REF!</f>
        <v>#REF!</v>
      </c>
      <c r="H232" s="225">
        <v>0</v>
      </c>
      <c r="I232" s="193"/>
      <c r="J232" s="193"/>
      <c r="K232" s="225" t="e">
        <f>G232</f>
        <v>#REF!</v>
      </c>
      <c r="M232" s="328"/>
      <c r="N232" s="328"/>
      <c r="O232" s="171"/>
      <c r="P232" s="71"/>
      <c r="Q232" s="20"/>
      <c r="R232" s="20"/>
      <c r="S232" s="20"/>
      <c r="T232" s="20"/>
      <c r="U232" s="20"/>
      <c r="V232" s="20"/>
      <c r="W232" s="20"/>
      <c r="X232" s="20"/>
      <c r="Y232" s="20"/>
      <c r="Z232" s="20"/>
      <c r="AA232" s="20"/>
      <c r="AB232" s="20"/>
      <c r="AC232" s="20"/>
      <c r="AE232" s="81"/>
    </row>
    <row r="233" spans="1:31" ht="16.5" thickBot="1">
      <c r="A233" s="1" t="s">
        <v>370</v>
      </c>
      <c r="B233" s="1"/>
      <c r="C233" s="195" t="e">
        <f>SUM(C231:C232)</f>
        <v>#REF!</v>
      </c>
      <c r="D233" s="195">
        <f>SUM(D231:D232)</f>
        <v>505220047.82638693</v>
      </c>
      <c r="E233" s="226"/>
      <c r="F233" s="227"/>
      <c r="G233" s="228" t="e">
        <f>G231+G232</f>
        <v>#REF!</v>
      </c>
      <c r="H233" s="228" t="e">
        <f>H231+H232</f>
        <v>#REF!</v>
      </c>
      <c r="I233" s="226"/>
      <c r="J233" s="229"/>
      <c r="K233" s="228" t="e">
        <f>K231+K232</f>
        <v>#REF!</v>
      </c>
      <c r="M233" s="295"/>
      <c r="N233" s="295"/>
      <c r="O233" s="354"/>
      <c r="P233" s="71"/>
      <c r="Q233" s="20"/>
      <c r="R233" s="20"/>
      <c r="S233" s="20"/>
      <c r="T233" s="20"/>
      <c r="U233" s="20"/>
      <c r="V233" s="20"/>
      <c r="W233" s="20"/>
      <c r="X233" s="20"/>
      <c r="Y233" s="20"/>
      <c r="Z233" s="20"/>
      <c r="AA233" s="20"/>
      <c r="AB233" s="20"/>
      <c r="AC233" s="20"/>
      <c r="AE233" s="81"/>
    </row>
    <row r="234" spans="1:31" ht="16.5" thickTop="1">
      <c r="A234" s="1"/>
      <c r="B234" s="1"/>
      <c r="C234" s="21"/>
      <c r="D234" s="21"/>
      <c r="E234" s="221"/>
      <c r="F234" s="2"/>
      <c r="G234" s="2"/>
      <c r="H234" s="2"/>
      <c r="I234" s="221"/>
      <c r="J234" s="1"/>
      <c r="K234" s="2" t="s">
        <v>31</v>
      </c>
      <c r="M234" s="20"/>
      <c r="N234" s="20"/>
      <c r="O234" s="71"/>
      <c r="P234" s="71"/>
      <c r="Q234" s="20"/>
      <c r="R234" s="20"/>
      <c r="S234" s="20"/>
      <c r="T234" s="20"/>
      <c r="U234" s="20"/>
      <c r="V234" s="20"/>
      <c r="W234" s="20"/>
      <c r="X234" s="20"/>
      <c r="Y234" s="20"/>
      <c r="Z234" s="20"/>
      <c r="AA234" s="20"/>
      <c r="AB234" s="20"/>
      <c r="AC234" s="20"/>
      <c r="AE234" s="81"/>
    </row>
    <row r="235" spans="1:31">
      <c r="A235" s="177" t="s">
        <v>375</v>
      </c>
      <c r="B235" s="1"/>
      <c r="C235" s="1"/>
      <c r="D235" s="1"/>
      <c r="E235" s="2"/>
      <c r="F235" s="2"/>
      <c r="G235" s="1" t="s">
        <v>31</v>
      </c>
      <c r="H235" s="1"/>
      <c r="I235" s="2"/>
      <c r="J235" s="1"/>
      <c r="K235" s="1"/>
      <c r="M235" s="20"/>
      <c r="N235" s="20"/>
      <c r="O235" s="71"/>
      <c r="P235" s="71"/>
      <c r="Q235" s="20"/>
      <c r="R235" s="20"/>
      <c r="S235" s="20"/>
      <c r="T235" s="20"/>
      <c r="U235" s="20"/>
      <c r="V235" s="20"/>
      <c r="W235" s="20"/>
      <c r="X235" s="20"/>
      <c r="Y235" s="20"/>
      <c r="Z235" s="20"/>
      <c r="AA235" s="20"/>
      <c r="AB235" s="20"/>
      <c r="AC235" s="20"/>
      <c r="AE235" s="81"/>
    </row>
    <row r="236" spans="1:31">
      <c r="A236" s="1" t="s">
        <v>402</v>
      </c>
      <c r="B236" s="1"/>
      <c r="C236" s="21"/>
      <c r="D236" s="1"/>
      <c r="E236" s="2"/>
      <c r="F236" s="2"/>
      <c r="G236" s="1"/>
      <c r="H236" s="1"/>
      <c r="I236" s="2"/>
      <c r="J236" s="1"/>
      <c r="K236" s="1"/>
      <c r="M236" s="20"/>
      <c r="N236" s="20"/>
      <c r="O236" s="71"/>
      <c r="P236" s="71"/>
      <c r="Q236" s="20"/>
      <c r="R236" s="20"/>
      <c r="S236" s="20"/>
      <c r="T236" s="20"/>
      <c r="U236" s="20"/>
      <c r="V236" s="20"/>
      <c r="W236" s="20"/>
      <c r="X236" s="20"/>
      <c r="Y236" s="20"/>
      <c r="Z236" s="20"/>
      <c r="AA236" s="20"/>
      <c r="AB236" s="20"/>
      <c r="AC236" s="20"/>
      <c r="AE236" s="81"/>
    </row>
    <row r="237" spans="1:31">
      <c r="A237" s="1"/>
      <c r="B237" s="1"/>
      <c r="C237" s="1"/>
      <c r="D237" s="1"/>
      <c r="E237" s="2"/>
      <c r="F237" s="2"/>
      <c r="G237" s="1"/>
      <c r="H237" s="1"/>
      <c r="I237" s="2"/>
      <c r="J237" s="1"/>
      <c r="K237" s="1"/>
      <c r="M237" s="20"/>
      <c r="N237" s="20"/>
      <c r="O237" s="71"/>
      <c r="P237" s="71"/>
      <c r="Q237" s="20"/>
      <c r="R237" s="20"/>
      <c r="S237" s="20"/>
      <c r="T237" s="20"/>
      <c r="U237" s="20"/>
      <c r="V237" s="20"/>
      <c r="W237" s="20"/>
      <c r="X237" s="20"/>
      <c r="Y237" s="20"/>
      <c r="Z237" s="20"/>
      <c r="AA237" s="20"/>
      <c r="AB237" s="20"/>
      <c r="AC237" s="20"/>
      <c r="AE237" s="81"/>
    </row>
    <row r="238" spans="1:31">
      <c r="A238" s="1" t="s">
        <v>381</v>
      </c>
      <c r="B238" s="1"/>
      <c r="C238" s="203"/>
      <c r="D238" s="203"/>
      <c r="E238" s="2"/>
      <c r="F238" s="2"/>
      <c r="G238" s="1"/>
      <c r="H238" s="1"/>
      <c r="I238" s="2"/>
      <c r="J238" s="1"/>
      <c r="K238" s="1"/>
      <c r="M238" s="20"/>
      <c r="N238" s="20"/>
      <c r="O238" s="71"/>
      <c r="P238" s="71"/>
      <c r="Q238" s="20"/>
      <c r="R238" s="20"/>
      <c r="S238" s="20"/>
      <c r="T238" s="20"/>
      <c r="U238" s="20"/>
      <c r="V238" s="20"/>
      <c r="W238" s="20"/>
      <c r="X238" s="20"/>
      <c r="Y238" s="20"/>
      <c r="Z238" s="20"/>
      <c r="AA238" s="20"/>
      <c r="AB238" s="20"/>
      <c r="AC238" s="20"/>
      <c r="AE238" s="81"/>
    </row>
    <row r="239" spans="1:31">
      <c r="A239" s="1" t="s">
        <v>378</v>
      </c>
      <c r="B239" s="1"/>
      <c r="C239" s="203">
        <f>564+1748</f>
        <v>2312</v>
      </c>
      <c r="D239" s="203">
        <f>ROUND(($D$242/'Billing Determinants (2)'!$C$242)*C239,0)</f>
        <v>2307</v>
      </c>
      <c r="E239" s="182">
        <f>$E$153</f>
        <v>7.53</v>
      </c>
      <c r="F239" s="205"/>
      <c r="G239" s="2">
        <f>ROUND(E239*$C239,0)</f>
        <v>17409</v>
      </c>
      <c r="H239" s="2">
        <f>ROUND(E239*$D239,0)</f>
        <v>17372</v>
      </c>
      <c r="I239" s="182">
        <f>$I$153</f>
        <v>8</v>
      </c>
      <c r="J239" s="207"/>
      <c r="K239" s="2">
        <f>ROUND(I239*$C239,0)</f>
        <v>18496</v>
      </c>
      <c r="M239" s="20"/>
      <c r="N239" s="20"/>
      <c r="O239" s="71"/>
      <c r="P239" s="71"/>
      <c r="Q239" s="20"/>
      <c r="R239" s="20"/>
      <c r="S239" s="20"/>
      <c r="T239" s="20"/>
      <c r="U239" s="20"/>
      <c r="V239" s="20"/>
      <c r="W239" s="20"/>
      <c r="X239" s="20"/>
      <c r="Y239" s="20"/>
      <c r="Z239" s="20"/>
      <c r="AA239" s="20"/>
      <c r="AB239" s="20"/>
      <c r="AC239" s="20"/>
      <c r="AE239" s="81"/>
    </row>
    <row r="240" spans="1:31">
      <c r="A240" s="1" t="s">
        <v>379</v>
      </c>
      <c r="B240" s="1"/>
      <c r="C240" s="203">
        <f>690+2733</f>
        <v>3423</v>
      </c>
      <c r="D240" s="203">
        <f>ROUND(($D$242/'Billing Determinants (2)'!$C$242)*C240,0)</f>
        <v>3416</v>
      </c>
      <c r="E240" s="182">
        <f>$E$154</f>
        <v>11.18</v>
      </c>
      <c r="F240" s="208"/>
      <c r="G240" s="2">
        <f>ROUND(E240*$C240,0)</f>
        <v>38269</v>
      </c>
      <c r="H240" s="2">
        <f>ROUND(E240*$D240,0)</f>
        <v>38191</v>
      </c>
      <c r="I240" s="182">
        <f>$I$154</f>
        <v>11.877822045152721</v>
      </c>
      <c r="J240" s="209"/>
      <c r="K240" s="2">
        <f>ROUND(I240*$C240,0)</f>
        <v>40658</v>
      </c>
      <c r="M240" s="20"/>
      <c r="N240" s="20"/>
      <c r="O240" s="71"/>
      <c r="P240" s="71"/>
      <c r="Q240" s="20"/>
      <c r="R240" s="20"/>
      <c r="S240" s="20"/>
      <c r="T240" s="20"/>
      <c r="U240" s="20"/>
      <c r="V240" s="20"/>
      <c r="W240" s="20"/>
      <c r="X240" s="20"/>
      <c r="Y240" s="20"/>
      <c r="Z240" s="20"/>
      <c r="AA240" s="20"/>
      <c r="AB240" s="20"/>
      <c r="AC240" s="20"/>
      <c r="AE240" s="81"/>
    </row>
    <row r="241" spans="1:31">
      <c r="A241" s="1" t="s">
        <v>380</v>
      </c>
      <c r="B241" s="1"/>
      <c r="C241" s="203">
        <f>878+12793+3580+59407</f>
        <v>76658</v>
      </c>
      <c r="D241" s="203">
        <f>ROUND(($D$259/$C$259)*C241,0)</f>
        <v>86045</v>
      </c>
      <c r="E241" s="182">
        <f>$E$155</f>
        <v>0.78</v>
      </c>
      <c r="F241" s="208"/>
      <c r="G241" s="2">
        <f>ROUND(E241*$C241,0)</f>
        <v>59793</v>
      </c>
      <c r="H241" s="2">
        <f>ROUND(E241*$D241,0)</f>
        <v>67115</v>
      </c>
      <c r="I241" s="182">
        <f>$I$155</f>
        <v>0.83</v>
      </c>
      <c r="J241" s="209"/>
      <c r="K241" s="2">
        <f>ROUND(I241*$C241,0)</f>
        <v>63626</v>
      </c>
      <c r="M241" s="20"/>
      <c r="N241" s="20"/>
      <c r="O241" s="71"/>
      <c r="P241" s="71"/>
      <c r="Q241" s="20"/>
      <c r="R241" s="20"/>
      <c r="S241" s="20"/>
      <c r="T241" s="20"/>
      <c r="U241" s="20"/>
      <c r="V241" s="20"/>
      <c r="W241" s="20"/>
      <c r="X241" s="20"/>
      <c r="Y241" s="20"/>
      <c r="Z241" s="20"/>
      <c r="AA241" s="20"/>
      <c r="AB241" s="20"/>
      <c r="AC241" s="20"/>
      <c r="AE241" s="81"/>
    </row>
    <row r="242" spans="1:31">
      <c r="A242" s="1" t="s">
        <v>382</v>
      </c>
      <c r="B242" s="1"/>
      <c r="C242" s="203">
        <f>SUM(C239:C240)</f>
        <v>5735</v>
      </c>
      <c r="D242" s="203">
        <v>5723</v>
      </c>
      <c r="E242" s="182"/>
      <c r="F242" s="205"/>
      <c r="G242" s="2"/>
      <c r="H242" s="2"/>
      <c r="I242" s="182"/>
      <c r="J242" s="207"/>
      <c r="K242" s="2"/>
      <c r="M242" s="20"/>
      <c r="N242" s="20"/>
      <c r="O242" s="71"/>
      <c r="P242" s="71"/>
      <c r="Q242" s="20"/>
      <c r="R242" s="20"/>
      <c r="S242" s="20"/>
      <c r="T242" s="20"/>
      <c r="U242" s="20"/>
      <c r="V242" s="20"/>
      <c r="W242" s="20"/>
      <c r="X242" s="20"/>
      <c r="Y242" s="20"/>
      <c r="Z242" s="20"/>
      <c r="AA242" s="20"/>
      <c r="AB242" s="20"/>
      <c r="AC242" s="20"/>
      <c r="AE242" s="81"/>
    </row>
    <row r="243" spans="1:31">
      <c r="A243" s="1" t="s">
        <v>383</v>
      </c>
      <c r="B243" s="1"/>
      <c r="C243" s="203">
        <f>571+5841+2000+36248</f>
        <v>44660</v>
      </c>
      <c r="D243" s="203">
        <f>ROUND(($D$259/$C$259)*C243,0)</f>
        <v>50129</v>
      </c>
      <c r="E243" s="210">
        <f>$E$158</f>
        <v>2.88</v>
      </c>
      <c r="F243" s="207"/>
      <c r="G243" s="2">
        <f>ROUND(E243*$C243,0)</f>
        <v>128621</v>
      </c>
      <c r="H243" s="2">
        <f>ROUND(E243*$D243,0)</f>
        <v>144372</v>
      </c>
      <c r="I243" s="210">
        <f>$I$158</f>
        <v>2.97</v>
      </c>
      <c r="J243" s="207"/>
      <c r="K243" s="2">
        <f>ROUND(I243*$C243,0)</f>
        <v>132640</v>
      </c>
      <c r="M243" s="20"/>
      <c r="N243" s="20"/>
      <c r="O243" s="71"/>
      <c r="P243" s="71"/>
      <c r="Q243" s="20"/>
      <c r="R243" s="20"/>
      <c r="S243" s="20"/>
      <c r="T243" s="20"/>
      <c r="U243" s="20"/>
      <c r="V243" s="20"/>
      <c r="W243" s="20"/>
      <c r="X243" s="20"/>
      <c r="Y243" s="20"/>
      <c r="Z243" s="20"/>
      <c r="AA243" s="20"/>
      <c r="AB243" s="20"/>
      <c r="AC243" s="20"/>
      <c r="AE243" s="81"/>
    </row>
    <row r="244" spans="1:31">
      <c r="A244" s="1" t="s">
        <v>385</v>
      </c>
      <c r="B244" s="1"/>
      <c r="C244" s="203">
        <f>194181+404382+1030706+2158260</f>
        <v>3787529</v>
      </c>
      <c r="D244" s="203">
        <f>ROUND(($D$259/$C$259)*C244,0)</f>
        <v>4251317</v>
      </c>
      <c r="E244" s="183">
        <f>$E$159</f>
        <v>8.0890000000000004</v>
      </c>
      <c r="F244" s="207" t="s">
        <v>362</v>
      </c>
      <c r="G244" s="2">
        <f>ROUND(E244*$C244/100,0)</f>
        <v>306373</v>
      </c>
      <c r="H244" s="2">
        <f>ROUND(E244*$D244/100,0)</f>
        <v>343889</v>
      </c>
      <c r="I244" s="183">
        <f>$I$159</f>
        <v>8.8109999999999999</v>
      </c>
      <c r="J244" s="207" t="s">
        <v>362</v>
      </c>
      <c r="K244" s="2">
        <f>ROUND(I244*$C244/100,0)</f>
        <v>333719</v>
      </c>
      <c r="M244" s="20"/>
      <c r="N244" s="20"/>
      <c r="O244" s="71"/>
      <c r="P244" s="71"/>
      <c r="Q244" s="20"/>
      <c r="R244" s="20"/>
      <c r="S244" s="20"/>
      <c r="T244" s="20"/>
      <c r="U244" s="20"/>
      <c r="V244" s="20"/>
      <c r="W244" s="20"/>
      <c r="X244" s="20"/>
      <c r="Y244" s="20"/>
      <c r="Z244" s="20"/>
      <c r="AA244" s="20"/>
      <c r="AB244" s="20"/>
      <c r="AC244" s="20"/>
      <c r="AE244" s="81"/>
    </row>
    <row r="245" spans="1:31">
      <c r="A245" s="1" t="s">
        <v>386</v>
      </c>
      <c r="B245" s="1"/>
      <c r="C245" s="203">
        <f>303929+1124643+1689326+8117436</f>
        <v>11235334</v>
      </c>
      <c r="D245" s="203">
        <f>ROUND(($D$259/$C$259)*C245,0)</f>
        <v>12611116</v>
      </c>
      <c r="E245" s="183">
        <f>$E$160</f>
        <v>5.5839999999999996</v>
      </c>
      <c r="F245" s="207" t="s">
        <v>362</v>
      </c>
      <c r="G245" s="2">
        <f>ROUND(E245*$C245/100,0)</f>
        <v>627381</v>
      </c>
      <c r="H245" s="2">
        <f>ROUND(E245*$D245/100,0)</f>
        <v>704205</v>
      </c>
      <c r="I245" s="183">
        <f>$I$160</f>
        <v>6.0819999999999999</v>
      </c>
      <c r="J245" s="207" t="s">
        <v>362</v>
      </c>
      <c r="K245" s="2">
        <f>ROUND(I245*$C245/100,0)</f>
        <v>683333</v>
      </c>
      <c r="M245" s="20"/>
      <c r="N245" s="20"/>
      <c r="O245" s="71"/>
      <c r="P245" s="71"/>
      <c r="Q245" s="20"/>
      <c r="R245" s="20"/>
      <c r="S245" s="20"/>
      <c r="T245" s="20"/>
      <c r="U245" s="20"/>
      <c r="V245" s="20"/>
      <c r="W245" s="20"/>
      <c r="X245" s="20"/>
      <c r="Y245" s="20"/>
      <c r="Z245" s="20"/>
      <c r="AA245" s="20"/>
      <c r="AB245" s="20"/>
      <c r="AC245" s="20"/>
      <c r="AE245" s="81"/>
    </row>
    <row r="246" spans="1:31">
      <c r="A246" s="1" t="s">
        <v>387</v>
      </c>
      <c r="B246" s="1"/>
      <c r="C246" s="203">
        <f>570154+2394034+2847736+14349793-C245-C244</f>
        <v>5138854</v>
      </c>
      <c r="D246" s="203">
        <f>ROUND(($D$259/$C$259)*C246,0)</f>
        <v>5768114</v>
      </c>
      <c r="E246" s="183">
        <f>$E$161</f>
        <v>4.8099999999999996</v>
      </c>
      <c r="F246" s="207" t="s">
        <v>362</v>
      </c>
      <c r="G246" s="2">
        <f>ROUND(E246*$C246/100,0)</f>
        <v>247179</v>
      </c>
      <c r="H246" s="2">
        <f>ROUND(E246*$D246/100,0)</f>
        <v>277446</v>
      </c>
      <c r="I246" s="183">
        <f>$I$161</f>
        <v>5.24</v>
      </c>
      <c r="J246" s="207" t="s">
        <v>362</v>
      </c>
      <c r="K246" s="2">
        <f>ROUND(I246*$C246/100,0)</f>
        <v>269276</v>
      </c>
      <c r="M246" s="20"/>
      <c r="N246" s="20"/>
      <c r="O246" s="71"/>
      <c r="P246" s="71"/>
      <c r="Q246" s="20"/>
      <c r="R246" s="20"/>
      <c r="S246" s="20"/>
      <c r="T246" s="20"/>
      <c r="U246" s="20"/>
      <c r="V246" s="20"/>
      <c r="W246" s="20"/>
      <c r="X246" s="20"/>
      <c r="Y246" s="20"/>
      <c r="Z246" s="20"/>
      <c r="AA246" s="20"/>
      <c r="AB246" s="20"/>
      <c r="AC246" s="20"/>
      <c r="AE246" s="81"/>
    </row>
    <row r="247" spans="1:31">
      <c r="A247" s="1" t="s">
        <v>388</v>
      </c>
      <c r="B247" s="1"/>
      <c r="C247" s="203">
        <f>2748+11933</f>
        <v>14681</v>
      </c>
      <c r="D247" s="203">
        <f>ROUND(($D$259/$C$259)*C247,0)</f>
        <v>16479</v>
      </c>
      <c r="E247" s="214">
        <f>$E$162</f>
        <v>45</v>
      </c>
      <c r="F247" s="205" t="s">
        <v>362</v>
      </c>
      <c r="G247" s="2">
        <f>ROUND(E247*$C247/100,0)</f>
        <v>6606</v>
      </c>
      <c r="H247" s="2">
        <f>ROUND(E247*$D247/100,0)</f>
        <v>7416</v>
      </c>
      <c r="I247" s="214">
        <f>$I$162</f>
        <v>50</v>
      </c>
      <c r="J247" s="207" t="s">
        <v>362</v>
      </c>
      <c r="K247" s="2">
        <f>ROUND(I247*$C247/100,0)</f>
        <v>7341</v>
      </c>
      <c r="M247" s="20"/>
      <c r="N247" s="20"/>
      <c r="O247" s="71"/>
      <c r="P247" s="71"/>
      <c r="Q247" s="20"/>
      <c r="R247" s="20"/>
      <c r="S247" s="20"/>
      <c r="T247" s="20"/>
      <c r="U247" s="20"/>
      <c r="V247" s="20"/>
      <c r="W247" s="20"/>
      <c r="X247" s="20"/>
      <c r="Y247" s="20"/>
      <c r="Z247" s="20"/>
      <c r="AA247" s="20"/>
      <c r="AB247" s="20"/>
      <c r="AC247" s="20"/>
      <c r="AE247" s="81"/>
    </row>
    <row r="248" spans="1:31">
      <c r="A248" s="215" t="s">
        <v>389</v>
      </c>
      <c r="B248" s="1"/>
      <c r="C248" s="203"/>
      <c r="D248" s="203"/>
      <c r="E248" s="216">
        <v>-0.01</v>
      </c>
      <c r="F248" s="205"/>
      <c r="G248" s="2"/>
      <c r="H248" s="2"/>
      <c r="I248" s="216">
        <v>-0.01</v>
      </c>
      <c r="J248" s="207"/>
      <c r="K248" s="2"/>
      <c r="M248" s="20"/>
      <c r="N248" s="20"/>
      <c r="O248" s="71"/>
      <c r="P248" s="71"/>
      <c r="Q248" s="20"/>
      <c r="R248" s="20"/>
      <c r="S248" s="20"/>
      <c r="T248" s="20"/>
      <c r="U248" s="20"/>
      <c r="V248" s="20"/>
      <c r="W248" s="20"/>
      <c r="X248" s="20"/>
      <c r="Y248" s="20"/>
      <c r="Z248" s="20"/>
      <c r="AA248" s="20"/>
      <c r="AB248" s="20"/>
      <c r="AC248" s="20"/>
      <c r="AE248" s="81"/>
    </row>
    <row r="249" spans="1:31">
      <c r="A249" s="1" t="s">
        <v>378</v>
      </c>
      <c r="B249" s="1"/>
      <c r="C249" s="203">
        <v>0</v>
      </c>
      <c r="D249" s="203">
        <f t="shared" ref="D249:D258" si="23">ROUND(($D$259/$C$259)*C249,0)</f>
        <v>0</v>
      </c>
      <c r="E249" s="218">
        <f>E239</f>
        <v>7.53</v>
      </c>
      <c r="F249" s="205"/>
      <c r="G249" s="2">
        <f>-ROUND(E249*$C249/100,0)</f>
        <v>0</v>
      </c>
      <c r="H249" s="2">
        <f>-ROUND(E249*$D249/100,0)</f>
        <v>0</v>
      </c>
      <c r="I249" s="218">
        <f>I239</f>
        <v>8</v>
      </c>
      <c r="J249" s="205"/>
      <c r="K249" s="2">
        <f>-ROUND(I249*$C249/100,0)</f>
        <v>0</v>
      </c>
      <c r="M249" s="20"/>
      <c r="N249" s="20"/>
      <c r="O249" s="71"/>
      <c r="P249" s="71"/>
      <c r="Q249" s="20"/>
      <c r="R249" s="20"/>
      <c r="S249" s="20"/>
      <c r="T249" s="20"/>
      <c r="U249" s="20"/>
      <c r="V249" s="20"/>
      <c r="W249" s="20"/>
      <c r="X249" s="20"/>
      <c r="Y249" s="20"/>
      <c r="Z249" s="20"/>
      <c r="AA249" s="20"/>
      <c r="AB249" s="20"/>
      <c r="AC249" s="20"/>
      <c r="AE249" s="81"/>
    </row>
    <row r="250" spans="1:31">
      <c r="A250" s="1" t="s">
        <v>379</v>
      </c>
      <c r="B250" s="1"/>
      <c r="C250" s="203">
        <v>0</v>
      </c>
      <c r="D250" s="203">
        <f t="shared" si="23"/>
        <v>0</v>
      </c>
      <c r="E250" s="218">
        <f>E240</f>
        <v>11.18</v>
      </c>
      <c r="F250" s="205"/>
      <c r="G250" s="2">
        <f>-ROUND(E250*$C250/100,0)</f>
        <v>0</v>
      </c>
      <c r="H250" s="2">
        <f>-ROUND(E250*$D250/100,0)</f>
        <v>0</v>
      </c>
      <c r="I250" s="218">
        <f>I240</f>
        <v>11.877822045152721</v>
      </c>
      <c r="J250" s="205"/>
      <c r="K250" s="2">
        <f>-ROUND(I250*$C250/100,0)</f>
        <v>0</v>
      </c>
      <c r="M250" s="20"/>
      <c r="N250" s="20"/>
      <c r="O250" s="71"/>
      <c r="P250" s="71"/>
      <c r="Q250" s="20"/>
      <c r="R250" s="20"/>
      <c r="S250" s="20"/>
      <c r="T250" s="20"/>
      <c r="U250" s="20"/>
      <c r="V250" s="20"/>
      <c r="W250" s="20"/>
      <c r="X250" s="20"/>
      <c r="Y250" s="20"/>
      <c r="Z250" s="20"/>
      <c r="AA250" s="20"/>
      <c r="AB250" s="20"/>
      <c r="AC250" s="20"/>
      <c r="AE250" s="81"/>
    </row>
    <row r="251" spans="1:31">
      <c r="A251" s="1" t="s">
        <v>390</v>
      </c>
      <c r="B251" s="1"/>
      <c r="C251" s="203">
        <v>0</v>
      </c>
      <c r="D251" s="203">
        <f t="shared" si="23"/>
        <v>0</v>
      </c>
      <c r="E251" s="218">
        <f>E241</f>
        <v>0.78</v>
      </c>
      <c r="F251" s="205"/>
      <c r="G251" s="2">
        <f>-ROUND(E251*$C251/100,0)</f>
        <v>0</v>
      </c>
      <c r="H251" s="2">
        <f>-ROUND(E251*$D251/100,0)</f>
        <v>0</v>
      </c>
      <c r="I251" s="218">
        <f>I241</f>
        <v>0.83</v>
      </c>
      <c r="J251" s="205"/>
      <c r="K251" s="2">
        <f>-ROUND(I251*$C251/100,0)</f>
        <v>0</v>
      </c>
      <c r="M251" s="20"/>
      <c r="N251" s="20"/>
      <c r="O251" s="71"/>
      <c r="P251" s="71"/>
      <c r="Q251" s="20"/>
      <c r="R251" s="20"/>
      <c r="S251" s="20"/>
      <c r="T251" s="20"/>
      <c r="U251" s="20"/>
      <c r="V251" s="20"/>
      <c r="W251" s="20"/>
      <c r="X251" s="20"/>
      <c r="Y251" s="20"/>
      <c r="Z251" s="20"/>
      <c r="AA251" s="20"/>
      <c r="AB251" s="20"/>
      <c r="AC251" s="20"/>
      <c r="AE251" s="81"/>
    </row>
    <row r="252" spans="1:31">
      <c r="A252" s="1" t="s">
        <v>391</v>
      </c>
      <c r="B252" s="1"/>
      <c r="C252" s="203">
        <v>0</v>
      </c>
      <c r="D252" s="203">
        <f t="shared" si="23"/>
        <v>0</v>
      </c>
      <c r="E252" s="218">
        <f>E243</f>
        <v>2.88</v>
      </c>
      <c r="F252" s="207"/>
      <c r="G252" s="2">
        <f>-ROUND(E252*$C252/100,0)</f>
        <v>0</v>
      </c>
      <c r="H252" s="2">
        <f>-ROUND(E252*$D252/100,0)</f>
        <v>0</v>
      </c>
      <c r="I252" s="218">
        <f>I243</f>
        <v>2.97</v>
      </c>
      <c r="J252" s="207"/>
      <c r="K252" s="2">
        <f>-ROUND(I252*$C252/100,0)</f>
        <v>0</v>
      </c>
      <c r="M252" s="20"/>
      <c r="N252" s="20"/>
      <c r="O252" s="71"/>
      <c r="P252" s="71"/>
      <c r="Q252" s="20"/>
      <c r="R252" s="20"/>
      <c r="S252" s="20"/>
      <c r="T252" s="20"/>
      <c r="U252" s="20"/>
      <c r="V252" s="20"/>
      <c r="W252" s="20"/>
      <c r="X252" s="20"/>
      <c r="Y252" s="20"/>
      <c r="Z252" s="20"/>
      <c r="AA252" s="20"/>
      <c r="AB252" s="20"/>
      <c r="AC252" s="20"/>
      <c r="AE252" s="81"/>
    </row>
    <row r="253" spans="1:31">
      <c r="A253" s="1" t="s">
        <v>393</v>
      </c>
      <c r="B253" s="1"/>
      <c r="C253" s="203">
        <v>0</v>
      </c>
      <c r="D253" s="203">
        <f t="shared" si="23"/>
        <v>0</v>
      </c>
      <c r="E253" s="219">
        <f>E244</f>
        <v>8.0890000000000004</v>
      </c>
      <c r="F253" s="207" t="s">
        <v>362</v>
      </c>
      <c r="G253" s="2">
        <f>ROUND(E253*$C253/100*E248,0)</f>
        <v>0</v>
      </c>
      <c r="H253" s="2">
        <f>ROUND(E253*$D253/100*E248,0)</f>
        <v>0</v>
      </c>
      <c r="I253" s="219">
        <f>I244</f>
        <v>8.8109999999999999</v>
      </c>
      <c r="J253" s="207" t="s">
        <v>362</v>
      </c>
      <c r="K253" s="2">
        <f>ROUND(I253*$C253/100*I248,0)</f>
        <v>0</v>
      </c>
      <c r="M253" s="20"/>
      <c r="N253" s="20"/>
      <c r="O253" s="71"/>
      <c r="P253" s="71"/>
      <c r="Q253" s="20"/>
      <c r="R253" s="20"/>
      <c r="S253" s="20"/>
      <c r="T253" s="20"/>
      <c r="U253" s="20"/>
      <c r="V253" s="20"/>
      <c r="W253" s="20"/>
      <c r="X253" s="20"/>
      <c r="Y253" s="20"/>
      <c r="Z253" s="20"/>
      <c r="AA253" s="20"/>
      <c r="AB253" s="20"/>
      <c r="AC253" s="20"/>
      <c r="AE253" s="81"/>
    </row>
    <row r="254" spans="1:31">
      <c r="A254" s="1" t="s">
        <v>386</v>
      </c>
      <c r="B254" s="1"/>
      <c r="C254" s="203">
        <v>0</v>
      </c>
      <c r="D254" s="203">
        <f t="shared" si="23"/>
        <v>0</v>
      </c>
      <c r="E254" s="219">
        <f>E245</f>
        <v>5.5839999999999996</v>
      </c>
      <c r="F254" s="207" t="s">
        <v>362</v>
      </c>
      <c r="G254" s="2">
        <f>ROUND(E254*$C254/100*E248,0)</f>
        <v>0</v>
      </c>
      <c r="H254" s="2">
        <f>ROUND(E254*$D254/100*E248,0)</f>
        <v>0</v>
      </c>
      <c r="I254" s="219">
        <f>I245</f>
        <v>6.0819999999999999</v>
      </c>
      <c r="J254" s="207" t="s">
        <v>362</v>
      </c>
      <c r="K254" s="2">
        <f>ROUND(I254*$C254/100*I248,0)</f>
        <v>0</v>
      </c>
      <c r="M254" s="20"/>
      <c r="N254" s="20"/>
      <c r="O254" s="71"/>
      <c r="P254" s="71"/>
      <c r="Q254" s="20"/>
      <c r="R254" s="20"/>
      <c r="S254" s="20"/>
      <c r="T254" s="20"/>
      <c r="U254" s="20"/>
      <c r="V254" s="20"/>
      <c r="W254" s="20"/>
      <c r="X254" s="20"/>
      <c r="Y254" s="20"/>
      <c r="Z254" s="20"/>
      <c r="AA254" s="20"/>
      <c r="AB254" s="20"/>
      <c r="AC254" s="20"/>
      <c r="AE254" s="81"/>
    </row>
    <row r="255" spans="1:31">
      <c r="A255" s="1" t="s">
        <v>387</v>
      </c>
      <c r="B255" s="1"/>
      <c r="C255" s="203">
        <v>0</v>
      </c>
      <c r="D255" s="203">
        <f t="shared" si="23"/>
        <v>0</v>
      </c>
      <c r="E255" s="219">
        <f>E246</f>
        <v>4.8099999999999996</v>
      </c>
      <c r="F255" s="207" t="s">
        <v>362</v>
      </c>
      <c r="G255" s="2">
        <f>ROUND(E255*$C255/100*E248,0)</f>
        <v>0</v>
      </c>
      <c r="H255" s="2">
        <f>ROUND(E255*$D255/100*E248,0)</f>
        <v>0</v>
      </c>
      <c r="I255" s="219">
        <f>I246</f>
        <v>5.24</v>
      </c>
      <c r="J255" s="207" t="s">
        <v>362</v>
      </c>
      <c r="K255" s="2">
        <f>ROUND(I255*$C255/100*I248,0)</f>
        <v>0</v>
      </c>
      <c r="M255" s="20"/>
      <c r="N255" s="20"/>
      <c r="O255" s="71"/>
      <c r="P255" s="71"/>
      <c r="Q255" s="20"/>
      <c r="R255" s="20"/>
      <c r="S255" s="20"/>
      <c r="T255" s="20"/>
      <c r="U255" s="20"/>
      <c r="V255" s="20"/>
      <c r="W255" s="20"/>
      <c r="X255" s="20"/>
      <c r="Y255" s="20"/>
      <c r="Z255" s="20"/>
      <c r="AA255" s="20"/>
      <c r="AB255" s="20"/>
      <c r="AC255" s="20"/>
      <c r="AE255" s="81"/>
    </row>
    <row r="256" spans="1:31">
      <c r="A256" s="1" t="s">
        <v>388</v>
      </c>
      <c r="B256" s="1"/>
      <c r="C256" s="203">
        <v>0</v>
      </c>
      <c r="D256" s="203">
        <f t="shared" si="23"/>
        <v>0</v>
      </c>
      <c r="E256" s="220">
        <f>E247</f>
        <v>45</v>
      </c>
      <c r="F256" s="207" t="s">
        <v>362</v>
      </c>
      <c r="G256" s="2">
        <f>ROUND(E256*$C256/100*E248,0)</f>
        <v>0</v>
      </c>
      <c r="H256" s="2">
        <f>ROUND(E256*$D256/100*E248,0)</f>
        <v>0</v>
      </c>
      <c r="I256" s="220">
        <f>I247</f>
        <v>50</v>
      </c>
      <c r="J256" s="207" t="s">
        <v>362</v>
      </c>
      <c r="K256" s="2">
        <f>ROUND(I256*$C256/100*I248,0)</f>
        <v>0</v>
      </c>
      <c r="M256" s="20"/>
      <c r="N256" s="20"/>
      <c r="O256" s="71"/>
      <c r="P256" s="71"/>
      <c r="Q256" s="20"/>
      <c r="R256" s="20"/>
      <c r="S256" s="20"/>
      <c r="T256" s="20"/>
      <c r="U256" s="20"/>
      <c r="V256" s="20"/>
      <c r="W256" s="20"/>
      <c r="X256" s="20"/>
      <c r="Y256" s="20"/>
      <c r="Z256" s="20"/>
      <c r="AA256" s="20"/>
      <c r="AB256" s="20"/>
      <c r="AC256" s="20"/>
      <c r="AE256" s="81"/>
    </row>
    <row r="257" spans="1:31">
      <c r="A257" s="1" t="s">
        <v>395</v>
      </c>
      <c r="B257" s="1"/>
      <c r="C257" s="203">
        <v>0</v>
      </c>
      <c r="D257" s="203">
        <f t="shared" si="23"/>
        <v>0</v>
      </c>
      <c r="E257" s="221">
        <f>$E$172</f>
        <v>60</v>
      </c>
      <c r="F257" s="205"/>
      <c r="G257" s="2">
        <f>ROUND(E257*$C257,0)</f>
        <v>0</v>
      </c>
      <c r="H257" s="2">
        <f>ROUND(E257*$D257,0)</f>
        <v>0</v>
      </c>
      <c r="I257" s="221">
        <f>$I$172</f>
        <v>60</v>
      </c>
      <c r="J257" s="207"/>
      <c r="K257" s="2">
        <f>ROUND(I257*$C257,0)</f>
        <v>0</v>
      </c>
      <c r="M257" s="20"/>
      <c r="N257" s="20"/>
      <c r="O257" s="71"/>
      <c r="P257" s="71"/>
      <c r="Q257" s="20"/>
      <c r="R257" s="20"/>
      <c r="S257" s="20"/>
      <c r="T257" s="20"/>
      <c r="U257" s="20"/>
      <c r="V257" s="20"/>
      <c r="W257" s="20"/>
      <c r="X257" s="20"/>
      <c r="Y257" s="20"/>
      <c r="Z257" s="20"/>
      <c r="AA257" s="20"/>
      <c r="AB257" s="20"/>
      <c r="AC257" s="20"/>
      <c r="AE257" s="81"/>
    </row>
    <row r="258" spans="1:31">
      <c r="A258" s="1" t="s">
        <v>396</v>
      </c>
      <c r="B258" s="1"/>
      <c r="C258" s="203">
        <v>0</v>
      </c>
      <c r="D258" s="203">
        <f t="shared" si="23"/>
        <v>0</v>
      </c>
      <c r="E258" s="223">
        <f>$E$173</f>
        <v>-30</v>
      </c>
      <c r="F258" s="205" t="s">
        <v>362</v>
      </c>
      <c r="G258" s="2">
        <f>ROUND(E258*$C258/100,0)</f>
        <v>0</v>
      </c>
      <c r="H258" s="2">
        <f>ROUND(E258*$D258/100,0)</f>
        <v>0</v>
      </c>
      <c r="I258" s="223">
        <f>$I$173</f>
        <v>-30</v>
      </c>
      <c r="J258" s="207" t="s">
        <v>362</v>
      </c>
      <c r="K258" s="2">
        <f>ROUND(I258*$C258/100,0)</f>
        <v>0</v>
      </c>
      <c r="M258" s="20"/>
      <c r="N258" s="20"/>
      <c r="O258" s="71"/>
      <c r="P258" s="71"/>
      <c r="Q258" s="20"/>
      <c r="R258" s="20"/>
      <c r="S258" s="20"/>
      <c r="T258" s="20"/>
      <c r="U258" s="20"/>
      <c r="V258" s="20"/>
      <c r="W258" s="20"/>
      <c r="X258" s="20"/>
      <c r="Y258" s="20"/>
      <c r="Z258" s="20"/>
      <c r="AA258" s="20"/>
      <c r="AB258" s="20"/>
      <c r="AC258" s="20"/>
      <c r="AE258" s="81"/>
    </row>
    <row r="259" spans="1:31">
      <c r="A259" s="1" t="s">
        <v>369</v>
      </c>
      <c r="B259" s="1"/>
      <c r="C259" s="203">
        <f>SUM(C244:C246)</f>
        <v>20161717</v>
      </c>
      <c r="D259" s="203">
        <v>22630547.415536091</v>
      </c>
      <c r="E259" s="214"/>
      <c r="F259" s="2"/>
      <c r="G259" s="2">
        <f>SUM(G239:G258)</f>
        <v>1431631</v>
      </c>
      <c r="H259" s="2">
        <f>SUM(H239:H258)</f>
        <v>1600006</v>
      </c>
      <c r="I259" s="214"/>
      <c r="J259" s="207"/>
      <c r="K259" s="2">
        <f>SUM(K239:K258)</f>
        <v>1549089</v>
      </c>
      <c r="M259" s="20"/>
      <c r="N259" s="20"/>
      <c r="O259" s="71"/>
      <c r="P259" s="71"/>
      <c r="Q259" s="20"/>
      <c r="R259" s="20"/>
      <c r="S259" s="20"/>
      <c r="T259" s="20"/>
      <c r="U259" s="20"/>
      <c r="V259" s="20"/>
      <c r="W259" s="20"/>
      <c r="X259" s="20"/>
      <c r="Y259" s="20"/>
      <c r="Z259" s="20"/>
      <c r="AA259" s="20"/>
      <c r="AB259" s="20"/>
      <c r="AC259" s="20"/>
      <c r="AE259" s="81"/>
    </row>
    <row r="260" spans="1:31">
      <c r="A260" s="1" t="s">
        <v>351</v>
      </c>
      <c r="B260" s="1"/>
      <c r="C260" s="233" t="e">
        <f>#REF!</f>
        <v>#REF!</v>
      </c>
      <c r="D260" s="224">
        <v>0</v>
      </c>
      <c r="E260" s="193"/>
      <c r="F260" s="193"/>
      <c r="G260" s="225" t="e">
        <f>#REF!</f>
        <v>#REF!</v>
      </c>
      <c r="H260" s="225">
        <v>0</v>
      </c>
      <c r="I260" s="193"/>
      <c r="J260" s="193"/>
      <c r="K260" s="225" t="e">
        <f>G260</f>
        <v>#REF!</v>
      </c>
      <c r="M260" s="328"/>
      <c r="N260" s="328"/>
      <c r="O260" s="171"/>
      <c r="P260" s="71"/>
      <c r="Q260" s="20"/>
      <c r="R260" s="20"/>
      <c r="S260" s="20"/>
      <c r="T260" s="20"/>
      <c r="U260" s="20"/>
      <c r="V260" s="20"/>
      <c r="W260" s="20"/>
      <c r="X260" s="20"/>
      <c r="Y260" s="20"/>
      <c r="Z260" s="20"/>
      <c r="AA260" s="20"/>
      <c r="AB260" s="20"/>
      <c r="AC260" s="20"/>
      <c r="AE260" s="81"/>
    </row>
    <row r="261" spans="1:31" ht="16.5" thickBot="1">
      <c r="A261" s="1" t="s">
        <v>370</v>
      </c>
      <c r="B261" s="1"/>
      <c r="C261" s="195" t="e">
        <f>SUM(C259:C260)</f>
        <v>#REF!</v>
      </c>
      <c r="D261" s="195">
        <f>SUM(D259:D260)</f>
        <v>22630547.415536091</v>
      </c>
      <c r="E261" s="226"/>
      <c r="F261" s="227"/>
      <c r="G261" s="228" t="e">
        <f>G259+G260</f>
        <v>#REF!</v>
      </c>
      <c r="H261" s="228">
        <f>H259+H260</f>
        <v>1600006</v>
      </c>
      <c r="I261" s="226"/>
      <c r="J261" s="229"/>
      <c r="K261" s="228" t="e">
        <f>K259+K260</f>
        <v>#REF!</v>
      </c>
      <c r="M261" s="295"/>
      <c r="N261" s="295"/>
      <c r="O261" s="354"/>
      <c r="P261" s="71"/>
      <c r="Q261" s="20"/>
      <c r="R261" s="20"/>
      <c r="S261" s="20"/>
      <c r="T261" s="20"/>
      <c r="U261" s="20"/>
      <c r="V261" s="20"/>
      <c r="W261" s="20"/>
      <c r="X261" s="20"/>
      <c r="Y261" s="20"/>
      <c r="Z261" s="20"/>
      <c r="AA261" s="20"/>
      <c r="AB261" s="20"/>
      <c r="AC261" s="20"/>
      <c r="AE261" s="81"/>
    </row>
    <row r="262" spans="1:31" ht="16.5" thickTop="1">
      <c r="A262" s="1"/>
      <c r="B262" s="1"/>
      <c r="C262" s="234"/>
      <c r="D262" s="234"/>
      <c r="E262" s="235"/>
      <c r="F262" s="236"/>
      <c r="G262" s="206"/>
      <c r="H262" s="206"/>
      <c r="I262" s="235"/>
      <c r="J262" s="23"/>
      <c r="K262" s="206"/>
      <c r="M262" s="20"/>
      <c r="N262" s="20"/>
      <c r="O262" s="71"/>
      <c r="P262" s="71"/>
      <c r="Q262" s="20"/>
      <c r="R262" s="20"/>
      <c r="S262" s="20"/>
      <c r="T262" s="20"/>
      <c r="U262" s="20"/>
      <c r="V262" s="20"/>
      <c r="W262" s="20"/>
      <c r="X262" s="20"/>
      <c r="Y262" s="20"/>
      <c r="Z262" s="20"/>
      <c r="AA262" s="20"/>
      <c r="AB262" s="20"/>
      <c r="AC262" s="20"/>
      <c r="AE262" s="81"/>
    </row>
    <row r="263" spans="1:31">
      <c r="A263" s="177" t="s">
        <v>403</v>
      </c>
      <c r="B263" s="1"/>
      <c r="C263" s="1"/>
      <c r="D263" s="1"/>
      <c r="E263" s="2"/>
      <c r="F263" s="2"/>
      <c r="G263" s="1" t="s">
        <v>31</v>
      </c>
      <c r="H263" s="1"/>
      <c r="I263" s="2"/>
      <c r="J263" s="1"/>
      <c r="K263" s="1"/>
      <c r="M263" s="20"/>
      <c r="N263" s="20"/>
      <c r="O263" s="71"/>
      <c r="P263" s="71"/>
      <c r="Q263" s="20"/>
      <c r="R263" s="20"/>
      <c r="S263" s="20"/>
      <c r="T263" s="20"/>
      <c r="U263" s="20"/>
      <c r="V263" s="20"/>
      <c r="W263" s="20"/>
      <c r="X263" s="20"/>
      <c r="Y263" s="20"/>
      <c r="Z263" s="20"/>
      <c r="AA263" s="20"/>
      <c r="AB263" s="20"/>
      <c r="AC263" s="20"/>
      <c r="AE263" s="81"/>
    </row>
    <row r="264" spans="1:31">
      <c r="A264" s="1" t="s">
        <v>398</v>
      </c>
      <c r="B264" s="1"/>
      <c r="C264" s="1"/>
      <c r="D264" s="1"/>
      <c r="E264" s="2"/>
      <c r="F264" s="2"/>
      <c r="G264" s="1"/>
      <c r="H264" s="1"/>
      <c r="I264" s="2"/>
      <c r="J264" s="1"/>
      <c r="K264" s="1"/>
      <c r="M264" s="20"/>
      <c r="N264" s="20"/>
      <c r="O264" s="71"/>
      <c r="P264" s="71"/>
      <c r="Q264" s="20"/>
      <c r="R264" s="20"/>
      <c r="S264" s="20"/>
      <c r="T264" s="20"/>
      <c r="U264" s="20"/>
      <c r="V264" s="20"/>
      <c r="W264" s="20"/>
      <c r="X264" s="20"/>
      <c r="Y264" s="20"/>
      <c r="Z264" s="20"/>
      <c r="AA264" s="20"/>
      <c r="AB264" s="20"/>
      <c r="AC264" s="20"/>
      <c r="AE264" s="81"/>
    </row>
    <row r="265" spans="1:31">
      <c r="A265" s="1"/>
      <c r="B265" s="1"/>
      <c r="C265" s="1"/>
      <c r="D265" s="1"/>
      <c r="E265" s="2"/>
      <c r="F265" s="2"/>
      <c r="G265" s="1"/>
      <c r="H265" s="1"/>
      <c r="I265" s="2"/>
      <c r="J265" s="1"/>
      <c r="K265" s="1"/>
      <c r="M265" s="20"/>
      <c r="N265" s="20"/>
      <c r="O265" s="71"/>
      <c r="P265" s="71"/>
      <c r="Q265" s="20"/>
      <c r="R265" s="20"/>
      <c r="S265" s="20"/>
      <c r="T265" s="20"/>
      <c r="U265" s="20"/>
      <c r="V265" s="20"/>
      <c r="W265" s="20"/>
      <c r="X265" s="20"/>
      <c r="Y265" s="20"/>
      <c r="Z265" s="20"/>
      <c r="AA265" s="20"/>
      <c r="AB265" s="20"/>
      <c r="AC265" s="20"/>
      <c r="AE265" s="81"/>
    </row>
    <row r="266" spans="1:31">
      <c r="A266" s="1" t="s">
        <v>381</v>
      </c>
      <c r="B266" s="1"/>
      <c r="C266" s="203"/>
      <c r="D266" s="203"/>
      <c r="E266" s="2"/>
      <c r="F266" s="2"/>
      <c r="G266" s="1"/>
      <c r="H266" s="1"/>
      <c r="I266" s="2"/>
      <c r="J266" s="1"/>
      <c r="K266" s="1"/>
      <c r="M266" s="20"/>
      <c r="N266" s="20"/>
      <c r="O266" s="71"/>
      <c r="P266" s="71"/>
      <c r="Q266" s="20"/>
      <c r="R266" s="20"/>
      <c r="S266" s="20"/>
      <c r="T266" s="20"/>
      <c r="U266" s="20"/>
      <c r="V266" s="20"/>
      <c r="W266" s="20"/>
      <c r="X266" s="20"/>
      <c r="Y266" s="20"/>
      <c r="Z266" s="20"/>
      <c r="AA266" s="20"/>
      <c r="AB266" s="20"/>
      <c r="AC266" s="20"/>
      <c r="AE266" s="81"/>
    </row>
    <row r="267" spans="1:31">
      <c r="A267" s="1" t="s">
        <v>404</v>
      </c>
      <c r="B267" s="1"/>
      <c r="C267" s="203">
        <f t="shared" ref="C267:D269" si="24">C296+C325</f>
        <v>4924</v>
      </c>
      <c r="D267" s="203">
        <f t="shared" si="24"/>
        <v>4913</v>
      </c>
      <c r="E267" s="182">
        <f>$E$153</f>
        <v>7.53</v>
      </c>
      <c r="F267" s="205"/>
      <c r="G267" s="2">
        <f t="shared" ref="G267:H269" si="25">G296+G325</f>
        <v>37077</v>
      </c>
      <c r="H267" s="2">
        <f t="shared" si="25"/>
        <v>36994</v>
      </c>
      <c r="I267" s="182">
        <f>$I$153</f>
        <v>8</v>
      </c>
      <c r="J267" s="207"/>
      <c r="K267" s="2">
        <f>K296+K325</f>
        <v>39392</v>
      </c>
      <c r="M267" s="20"/>
      <c r="N267" s="20"/>
      <c r="O267" s="71"/>
      <c r="P267" s="71"/>
      <c r="Q267" s="20"/>
      <c r="R267" s="20"/>
      <c r="S267" s="20"/>
      <c r="T267" s="20"/>
      <c r="U267" s="20"/>
      <c r="V267" s="20"/>
      <c r="W267" s="20"/>
      <c r="X267" s="20"/>
      <c r="Y267" s="20"/>
      <c r="Z267" s="20"/>
      <c r="AA267" s="20"/>
      <c r="AB267" s="20"/>
      <c r="AC267" s="20"/>
      <c r="AE267" s="81"/>
    </row>
    <row r="268" spans="1:31">
      <c r="A268" s="1" t="s">
        <v>379</v>
      </c>
      <c r="B268" s="1"/>
      <c r="C268" s="203">
        <f t="shared" si="24"/>
        <v>0</v>
      </c>
      <c r="D268" s="203">
        <f t="shared" si="24"/>
        <v>0</v>
      </c>
      <c r="E268" s="182">
        <f>$E$154</f>
        <v>11.18</v>
      </c>
      <c r="F268" s="208"/>
      <c r="G268" s="2">
        <f t="shared" si="25"/>
        <v>0</v>
      </c>
      <c r="H268" s="2">
        <f t="shared" si="25"/>
        <v>0</v>
      </c>
      <c r="I268" s="182">
        <f>$I$154</f>
        <v>11.877822045152721</v>
      </c>
      <c r="J268" s="209"/>
      <c r="K268" s="2">
        <f>K297+K326</f>
        <v>0</v>
      </c>
      <c r="M268" s="20"/>
      <c r="N268" s="20"/>
      <c r="O268" s="71"/>
      <c r="P268" s="71"/>
      <c r="Q268" s="20"/>
      <c r="R268" s="20"/>
      <c r="S268" s="20"/>
      <c r="T268" s="20"/>
      <c r="U268" s="20"/>
      <c r="V268" s="20"/>
      <c r="W268" s="20"/>
      <c r="X268" s="20"/>
      <c r="Y268" s="20"/>
      <c r="Z268" s="20"/>
      <c r="AA268" s="20"/>
      <c r="AB268" s="20"/>
      <c r="AC268" s="20"/>
      <c r="AE268" s="81"/>
    </row>
    <row r="269" spans="1:31">
      <c r="A269" s="1" t="s">
        <v>380</v>
      </c>
      <c r="B269" s="1"/>
      <c r="C269" s="203">
        <f t="shared" si="24"/>
        <v>0</v>
      </c>
      <c r="D269" s="203">
        <f t="shared" si="24"/>
        <v>0</v>
      </c>
      <c r="E269" s="182">
        <f>$E$155</f>
        <v>0.78</v>
      </c>
      <c r="F269" s="208"/>
      <c r="G269" s="2">
        <f t="shared" si="25"/>
        <v>0</v>
      </c>
      <c r="H269" s="2">
        <f t="shared" si="25"/>
        <v>0</v>
      </c>
      <c r="I269" s="182">
        <f>$I$155</f>
        <v>0.83</v>
      </c>
      <c r="J269" s="209"/>
      <c r="K269" s="2">
        <f>K298+K327</f>
        <v>0</v>
      </c>
      <c r="M269" s="20"/>
      <c r="N269" s="20"/>
      <c r="O269" s="71"/>
      <c r="P269" s="71"/>
      <c r="Q269" s="20"/>
      <c r="R269" s="20"/>
      <c r="S269" s="20"/>
      <c r="T269" s="20"/>
      <c r="U269" s="20"/>
      <c r="V269" s="20"/>
      <c r="W269" s="20"/>
      <c r="X269" s="20"/>
      <c r="Y269" s="20"/>
      <c r="Z269" s="20"/>
      <c r="AA269" s="20"/>
      <c r="AB269" s="20"/>
      <c r="AC269" s="20"/>
      <c r="AE269" s="81"/>
    </row>
    <row r="270" spans="1:31">
      <c r="A270" s="1" t="s">
        <v>382</v>
      </c>
      <c r="B270" s="1"/>
      <c r="C270" s="203">
        <f>SUM(C267:C268)</f>
        <v>4924</v>
      </c>
      <c r="D270" s="203">
        <f>SUM(D267:D268)</f>
        <v>4913</v>
      </c>
      <c r="E270" s="182"/>
      <c r="F270" s="205"/>
      <c r="G270" s="2"/>
      <c r="H270" s="2"/>
      <c r="I270" s="182"/>
      <c r="J270" s="207"/>
      <c r="K270" s="2"/>
      <c r="M270" s="20"/>
      <c r="N270" s="20"/>
      <c r="O270" s="71"/>
      <c r="P270" s="71"/>
      <c r="Q270" s="20"/>
      <c r="R270" s="20"/>
      <c r="S270" s="20"/>
      <c r="T270" s="20"/>
      <c r="U270" s="20"/>
      <c r="V270" s="20"/>
      <c r="W270" s="20"/>
      <c r="X270" s="20"/>
      <c r="Y270" s="20"/>
      <c r="Z270" s="20"/>
      <c r="AA270" s="20"/>
      <c r="AB270" s="20"/>
      <c r="AC270" s="20"/>
      <c r="AE270" s="81"/>
    </row>
    <row r="271" spans="1:31">
      <c r="A271" s="1" t="s">
        <v>350</v>
      </c>
      <c r="B271" s="1"/>
      <c r="C271" s="203">
        <f t="shared" ref="C271:D276" si="26">C300+C329</f>
        <v>1621</v>
      </c>
      <c r="D271" s="203">
        <f t="shared" si="26"/>
        <v>1617</v>
      </c>
      <c r="E271" s="182"/>
      <c r="F271" s="205"/>
      <c r="G271" s="2"/>
      <c r="H271" s="2"/>
      <c r="I271" s="182"/>
      <c r="J271" s="207"/>
      <c r="K271" s="2"/>
      <c r="M271" s="20"/>
      <c r="N271" s="20"/>
      <c r="O271" s="71"/>
      <c r="P271" s="71"/>
      <c r="Q271" s="20"/>
      <c r="R271" s="20"/>
      <c r="S271" s="20"/>
      <c r="T271" s="20"/>
      <c r="U271" s="20"/>
      <c r="V271" s="20"/>
      <c r="W271" s="20"/>
      <c r="X271" s="20"/>
      <c r="Y271" s="20"/>
      <c r="Z271" s="20"/>
      <c r="AA271" s="20"/>
      <c r="AB271" s="20"/>
      <c r="AC271" s="20"/>
      <c r="AE271" s="81"/>
    </row>
    <row r="272" spans="1:31">
      <c r="A272" s="1" t="s">
        <v>383</v>
      </c>
      <c r="B272" s="1"/>
      <c r="C272" s="203">
        <f t="shared" si="26"/>
        <v>0</v>
      </c>
      <c r="D272" s="203">
        <f t="shared" si="26"/>
        <v>0</v>
      </c>
      <c r="E272" s="210">
        <f>$E$158</f>
        <v>2.88</v>
      </c>
      <c r="F272" s="207"/>
      <c r="G272" s="2">
        <f t="shared" ref="G272:H276" si="27">G301+G330</f>
        <v>0</v>
      </c>
      <c r="H272" s="2">
        <f t="shared" si="27"/>
        <v>0</v>
      </c>
      <c r="I272" s="210">
        <f>$I$158</f>
        <v>2.97</v>
      </c>
      <c r="J272" s="207"/>
      <c r="K272" s="2">
        <f>K301+K330</f>
        <v>0</v>
      </c>
      <c r="M272" s="20"/>
      <c r="N272" s="20"/>
      <c r="O272" s="71"/>
      <c r="P272" s="71"/>
      <c r="Q272" s="20"/>
      <c r="R272" s="20"/>
      <c r="S272" s="20"/>
      <c r="T272" s="20"/>
      <c r="U272" s="20"/>
      <c r="V272" s="20"/>
      <c r="W272" s="20"/>
      <c r="X272" s="20"/>
      <c r="Y272" s="20"/>
      <c r="Z272" s="20"/>
      <c r="AA272" s="20"/>
      <c r="AB272" s="20"/>
      <c r="AC272" s="20"/>
      <c r="AE272" s="81"/>
    </row>
    <row r="273" spans="1:31">
      <c r="A273" s="1" t="s">
        <v>385</v>
      </c>
      <c r="B273" s="1"/>
      <c r="C273" s="203">
        <f t="shared" si="26"/>
        <v>1398823</v>
      </c>
      <c r="D273" s="203">
        <f t="shared" si="26"/>
        <v>1445705</v>
      </c>
      <c r="E273" s="183">
        <f>$E$159</f>
        <v>8.0890000000000004</v>
      </c>
      <c r="F273" s="207" t="s">
        <v>362</v>
      </c>
      <c r="G273" s="2">
        <f t="shared" si="27"/>
        <v>113151</v>
      </c>
      <c r="H273" s="2">
        <f t="shared" si="27"/>
        <v>116943</v>
      </c>
      <c r="I273" s="183">
        <f>$I$159</f>
        <v>8.8109999999999999</v>
      </c>
      <c r="J273" s="207" t="s">
        <v>362</v>
      </c>
      <c r="K273" s="2">
        <f>K302+K331</f>
        <v>123250</v>
      </c>
      <c r="M273" s="20"/>
      <c r="N273" s="20"/>
      <c r="O273" s="71"/>
      <c r="P273" s="71"/>
      <c r="Q273" s="20"/>
      <c r="R273" s="20"/>
      <c r="S273" s="20"/>
      <c r="T273" s="20"/>
      <c r="U273" s="20"/>
      <c r="V273" s="20"/>
      <c r="W273" s="20"/>
      <c r="X273" s="20"/>
      <c r="Y273" s="20"/>
      <c r="Z273" s="20"/>
      <c r="AA273" s="20"/>
      <c r="AB273" s="20"/>
      <c r="AC273" s="20"/>
      <c r="AE273" s="81"/>
    </row>
    <row r="274" spans="1:31">
      <c r="A274" s="1" t="s">
        <v>386</v>
      </c>
      <c r="B274" s="1"/>
      <c r="C274" s="203">
        <f t="shared" si="26"/>
        <v>64813</v>
      </c>
      <c r="D274" s="203">
        <f t="shared" si="26"/>
        <v>66790</v>
      </c>
      <c r="E274" s="183">
        <f>$E$160</f>
        <v>5.5839999999999996</v>
      </c>
      <c r="F274" s="207" t="s">
        <v>362</v>
      </c>
      <c r="G274" s="2">
        <f t="shared" si="27"/>
        <v>3619</v>
      </c>
      <c r="H274" s="2">
        <f t="shared" si="27"/>
        <v>3730</v>
      </c>
      <c r="I274" s="183">
        <f>$I$160</f>
        <v>6.0819999999999999</v>
      </c>
      <c r="J274" s="207" t="s">
        <v>362</v>
      </c>
      <c r="K274" s="2">
        <f>K303+K332</f>
        <v>3942</v>
      </c>
      <c r="M274" s="20"/>
      <c r="N274" s="20"/>
      <c r="O274" s="71"/>
      <c r="P274" s="71"/>
      <c r="Q274" s="20"/>
      <c r="R274" s="20"/>
      <c r="S274" s="20"/>
      <c r="T274" s="20"/>
      <c r="U274" s="20"/>
      <c r="V274" s="20"/>
      <c r="W274" s="20"/>
      <c r="X274" s="20"/>
      <c r="Y274" s="20"/>
      <c r="Z274" s="20"/>
      <c r="AA274" s="20"/>
      <c r="AB274" s="20"/>
      <c r="AC274" s="20"/>
      <c r="AE274" s="81"/>
    </row>
    <row r="275" spans="1:31">
      <c r="A275" s="1" t="s">
        <v>387</v>
      </c>
      <c r="B275" s="1"/>
      <c r="C275" s="203">
        <f t="shared" si="26"/>
        <v>0</v>
      </c>
      <c r="D275" s="203">
        <f t="shared" si="26"/>
        <v>0</v>
      </c>
      <c r="E275" s="183">
        <f>$E$161</f>
        <v>4.8099999999999996</v>
      </c>
      <c r="F275" s="207" t="s">
        <v>362</v>
      </c>
      <c r="G275" s="2">
        <f t="shared" si="27"/>
        <v>0</v>
      </c>
      <c r="H275" s="2">
        <f t="shared" si="27"/>
        <v>0</v>
      </c>
      <c r="I275" s="183">
        <f>$I$161</f>
        <v>5.24</v>
      </c>
      <c r="J275" s="207" t="s">
        <v>362</v>
      </c>
      <c r="K275" s="2">
        <f>K304+K333</f>
        <v>0</v>
      </c>
      <c r="M275" s="20"/>
      <c r="N275" s="20"/>
      <c r="O275" s="71"/>
      <c r="P275" s="71"/>
      <c r="Q275" s="20"/>
      <c r="R275" s="20"/>
      <c r="S275" s="20"/>
      <c r="T275" s="20"/>
      <c r="U275" s="20"/>
      <c r="V275" s="20"/>
      <c r="W275" s="20"/>
      <c r="X275" s="20"/>
      <c r="Y275" s="20"/>
      <c r="Z275" s="20"/>
      <c r="AA275" s="20"/>
      <c r="AB275" s="20"/>
      <c r="AC275" s="20"/>
      <c r="AE275" s="81"/>
    </row>
    <row r="276" spans="1:31">
      <c r="A276" s="1" t="s">
        <v>388</v>
      </c>
      <c r="B276" s="1"/>
      <c r="C276" s="203">
        <f t="shared" si="26"/>
        <v>0</v>
      </c>
      <c r="D276" s="203">
        <f t="shared" si="26"/>
        <v>0</v>
      </c>
      <c r="E276" s="214">
        <f>$E$162</f>
        <v>45</v>
      </c>
      <c r="F276" s="205" t="s">
        <v>362</v>
      </c>
      <c r="G276" s="2">
        <f t="shared" si="27"/>
        <v>0</v>
      </c>
      <c r="H276" s="2">
        <f t="shared" si="27"/>
        <v>0</v>
      </c>
      <c r="I276" s="214">
        <f>$I$162</f>
        <v>50</v>
      </c>
      <c r="J276" s="207" t="s">
        <v>362</v>
      </c>
      <c r="K276" s="2">
        <f>K305+K334</f>
        <v>0</v>
      </c>
      <c r="M276" s="20"/>
      <c r="N276" s="20"/>
      <c r="O276" s="71"/>
      <c r="P276" s="71"/>
      <c r="Q276" s="20"/>
      <c r="R276" s="20"/>
      <c r="S276" s="20"/>
      <c r="T276" s="20"/>
      <c r="U276" s="20"/>
      <c r="V276" s="20"/>
      <c r="W276" s="20"/>
      <c r="X276" s="20"/>
      <c r="Y276" s="20"/>
      <c r="Z276" s="20"/>
      <c r="AA276" s="20"/>
      <c r="AB276" s="20"/>
      <c r="AC276" s="20"/>
      <c r="AE276" s="81"/>
    </row>
    <row r="277" spans="1:31">
      <c r="A277" s="215" t="s">
        <v>389</v>
      </c>
      <c r="B277" s="1"/>
      <c r="C277" s="203"/>
      <c r="D277" s="203"/>
      <c r="E277" s="216">
        <v>-0.01</v>
      </c>
      <c r="F277" s="205"/>
      <c r="G277" s="2"/>
      <c r="H277" s="2"/>
      <c r="I277" s="216">
        <v>-0.01</v>
      </c>
      <c r="J277" s="207"/>
      <c r="K277" s="2"/>
      <c r="M277" s="20"/>
      <c r="N277" s="20"/>
      <c r="O277" s="71"/>
      <c r="P277" s="71"/>
      <c r="Q277" s="20"/>
      <c r="R277" s="20"/>
      <c r="S277" s="20"/>
      <c r="T277" s="20"/>
      <c r="U277" s="20"/>
      <c r="V277" s="20"/>
      <c r="W277" s="20"/>
      <c r="X277" s="20"/>
      <c r="Y277" s="20"/>
      <c r="Z277" s="20"/>
      <c r="AA277" s="20"/>
      <c r="AB277" s="20"/>
      <c r="AC277" s="20"/>
      <c r="AE277" s="81"/>
    </row>
    <row r="278" spans="1:31">
      <c r="A278" s="1" t="s">
        <v>378</v>
      </c>
      <c r="B278" s="1"/>
      <c r="C278" s="203">
        <v>0</v>
      </c>
      <c r="D278" s="203">
        <v>0</v>
      </c>
      <c r="E278" s="218">
        <f>E267</f>
        <v>7.53</v>
      </c>
      <c r="F278" s="205"/>
      <c r="G278" s="2">
        <f t="shared" ref="G278:H289" si="28">G307+G336</f>
        <v>0</v>
      </c>
      <c r="H278" s="2">
        <f t="shared" si="28"/>
        <v>0</v>
      </c>
      <c r="I278" s="218">
        <f>I267</f>
        <v>8</v>
      </c>
      <c r="J278" s="205"/>
      <c r="K278" s="2">
        <f t="shared" ref="K278:K288" si="29">K307+K336</f>
        <v>0</v>
      </c>
      <c r="M278" s="20"/>
      <c r="N278" s="20"/>
      <c r="O278" s="71"/>
      <c r="P278" s="71"/>
      <c r="Q278" s="20"/>
      <c r="R278" s="20"/>
      <c r="S278" s="20"/>
      <c r="T278" s="20"/>
      <c r="U278" s="20"/>
      <c r="V278" s="20"/>
      <c r="W278" s="20"/>
      <c r="X278" s="20"/>
      <c r="Y278" s="20"/>
      <c r="Z278" s="20"/>
      <c r="AA278" s="20"/>
      <c r="AB278" s="20"/>
      <c r="AC278" s="20"/>
      <c r="AE278" s="81"/>
    </row>
    <row r="279" spans="1:31">
      <c r="A279" s="1" t="s">
        <v>379</v>
      </c>
      <c r="B279" s="1"/>
      <c r="C279" s="203">
        <v>0</v>
      </c>
      <c r="D279" s="203">
        <v>0</v>
      </c>
      <c r="E279" s="218">
        <f>E268</f>
        <v>11.18</v>
      </c>
      <c r="F279" s="205"/>
      <c r="G279" s="2">
        <f t="shared" si="28"/>
        <v>0</v>
      </c>
      <c r="H279" s="2">
        <f t="shared" si="28"/>
        <v>0</v>
      </c>
      <c r="I279" s="218">
        <f>I268</f>
        <v>11.877822045152721</v>
      </c>
      <c r="J279" s="205"/>
      <c r="K279" s="2">
        <f t="shared" si="29"/>
        <v>0</v>
      </c>
      <c r="M279" s="20"/>
      <c r="N279" s="20"/>
      <c r="O279" s="71"/>
      <c r="P279" s="71"/>
      <c r="Q279" s="20"/>
      <c r="R279" s="20"/>
      <c r="S279" s="20"/>
      <c r="T279" s="20"/>
      <c r="U279" s="20"/>
      <c r="V279" s="20"/>
      <c r="W279" s="20"/>
      <c r="X279" s="20"/>
      <c r="Y279" s="20"/>
      <c r="Z279" s="20"/>
      <c r="AA279" s="20"/>
      <c r="AB279" s="20"/>
      <c r="AC279" s="20"/>
      <c r="AE279" s="81"/>
    </row>
    <row r="280" spans="1:31">
      <c r="A280" s="1" t="s">
        <v>390</v>
      </c>
      <c r="B280" s="1"/>
      <c r="C280" s="203">
        <v>0</v>
      </c>
      <c r="D280" s="203">
        <v>0</v>
      </c>
      <c r="E280" s="218">
        <f>E269</f>
        <v>0.78</v>
      </c>
      <c r="F280" s="205"/>
      <c r="G280" s="2">
        <f t="shared" si="28"/>
        <v>0</v>
      </c>
      <c r="H280" s="2">
        <f t="shared" si="28"/>
        <v>0</v>
      </c>
      <c r="I280" s="218">
        <f>I269</f>
        <v>0.83</v>
      </c>
      <c r="J280" s="205"/>
      <c r="K280" s="2">
        <f t="shared" si="29"/>
        <v>0</v>
      </c>
      <c r="M280" s="20"/>
      <c r="N280" s="20"/>
      <c r="O280" s="71"/>
      <c r="P280" s="71"/>
      <c r="Q280" s="20"/>
      <c r="R280" s="20"/>
      <c r="S280" s="20"/>
      <c r="T280" s="20"/>
      <c r="U280" s="20"/>
      <c r="V280" s="20"/>
      <c r="W280" s="20"/>
      <c r="X280" s="20"/>
      <c r="Y280" s="20"/>
      <c r="Z280" s="20"/>
      <c r="AA280" s="20"/>
      <c r="AB280" s="20"/>
      <c r="AC280" s="20"/>
      <c r="AE280" s="81"/>
    </row>
    <row r="281" spans="1:31">
      <c r="A281" s="1" t="s">
        <v>391</v>
      </c>
      <c r="B281" s="1"/>
      <c r="C281" s="203">
        <v>0</v>
      </c>
      <c r="D281" s="203">
        <v>0</v>
      </c>
      <c r="E281" s="218">
        <f>E272</f>
        <v>2.88</v>
      </c>
      <c r="F281" s="207"/>
      <c r="G281" s="2">
        <f t="shared" si="28"/>
        <v>0</v>
      </c>
      <c r="H281" s="2">
        <f t="shared" si="28"/>
        <v>0</v>
      </c>
      <c r="I281" s="218">
        <f>I272</f>
        <v>2.97</v>
      </c>
      <c r="J281" s="207"/>
      <c r="K281" s="2">
        <f t="shared" si="29"/>
        <v>0</v>
      </c>
      <c r="M281" s="20"/>
      <c r="N281" s="20"/>
      <c r="O281" s="71"/>
      <c r="P281" s="71"/>
      <c r="Q281" s="20"/>
      <c r="R281" s="20"/>
      <c r="S281" s="20"/>
      <c r="T281" s="20"/>
      <c r="U281" s="20"/>
      <c r="V281" s="20"/>
      <c r="W281" s="20"/>
      <c r="X281" s="20"/>
      <c r="Y281" s="20"/>
      <c r="Z281" s="20"/>
      <c r="AA281" s="20"/>
      <c r="AB281" s="20"/>
      <c r="AC281" s="20"/>
      <c r="AE281" s="81"/>
    </row>
    <row r="282" spans="1:31">
      <c r="A282" s="1" t="s">
        <v>393</v>
      </c>
      <c r="B282" s="1"/>
      <c r="C282" s="203">
        <v>0</v>
      </c>
      <c r="D282" s="203">
        <v>0</v>
      </c>
      <c r="E282" s="219">
        <f>E273</f>
        <v>8.0890000000000004</v>
      </c>
      <c r="F282" s="207" t="s">
        <v>362</v>
      </c>
      <c r="G282" s="2">
        <f t="shared" si="28"/>
        <v>0</v>
      </c>
      <c r="H282" s="2">
        <f t="shared" si="28"/>
        <v>0</v>
      </c>
      <c r="I282" s="219">
        <f>I273</f>
        <v>8.8109999999999999</v>
      </c>
      <c r="J282" s="207" t="s">
        <v>362</v>
      </c>
      <c r="K282" s="2">
        <f t="shared" si="29"/>
        <v>0</v>
      </c>
      <c r="M282" s="20"/>
      <c r="N282" s="20"/>
      <c r="O282" s="71"/>
      <c r="P282" s="71"/>
      <c r="Q282" s="20"/>
      <c r="R282" s="20"/>
      <c r="S282" s="20"/>
      <c r="T282" s="20"/>
      <c r="U282" s="20"/>
      <c r="V282" s="20"/>
      <c r="W282" s="20"/>
      <c r="X282" s="20"/>
      <c r="Y282" s="20"/>
      <c r="Z282" s="20"/>
      <c r="AA282" s="20"/>
      <c r="AB282" s="20"/>
      <c r="AC282" s="20"/>
      <c r="AE282" s="81"/>
    </row>
    <row r="283" spans="1:31">
      <c r="A283" s="1" t="s">
        <v>386</v>
      </c>
      <c r="B283" s="1"/>
      <c r="C283" s="203">
        <v>0</v>
      </c>
      <c r="D283" s="203">
        <v>0</v>
      </c>
      <c r="E283" s="219">
        <f>E274</f>
        <v>5.5839999999999996</v>
      </c>
      <c r="F283" s="207" t="s">
        <v>362</v>
      </c>
      <c r="G283" s="2">
        <f t="shared" si="28"/>
        <v>0</v>
      </c>
      <c r="H283" s="2">
        <f t="shared" si="28"/>
        <v>0</v>
      </c>
      <c r="I283" s="219">
        <f>I274</f>
        <v>6.0819999999999999</v>
      </c>
      <c r="J283" s="207" t="s">
        <v>362</v>
      </c>
      <c r="K283" s="2">
        <f t="shared" si="29"/>
        <v>0</v>
      </c>
      <c r="M283" s="20"/>
      <c r="N283" s="20"/>
      <c r="O283" s="71"/>
      <c r="P283" s="71"/>
      <c r="Q283" s="20"/>
      <c r="R283" s="20"/>
      <c r="S283" s="20"/>
      <c r="T283" s="20"/>
      <c r="U283" s="20"/>
      <c r="V283" s="20"/>
      <c r="W283" s="20"/>
      <c r="X283" s="20"/>
      <c r="Y283" s="20"/>
      <c r="Z283" s="20"/>
      <c r="AA283" s="20"/>
      <c r="AB283" s="20"/>
      <c r="AC283" s="20"/>
      <c r="AE283" s="81"/>
    </row>
    <row r="284" spans="1:31">
      <c r="A284" s="1" t="s">
        <v>387</v>
      </c>
      <c r="B284" s="1"/>
      <c r="C284" s="203">
        <v>0</v>
      </c>
      <c r="D284" s="203">
        <v>0</v>
      </c>
      <c r="E284" s="219">
        <f>E275</f>
        <v>4.8099999999999996</v>
      </c>
      <c r="F284" s="207" t="s">
        <v>362</v>
      </c>
      <c r="G284" s="2">
        <f t="shared" si="28"/>
        <v>0</v>
      </c>
      <c r="H284" s="2">
        <f t="shared" si="28"/>
        <v>0</v>
      </c>
      <c r="I284" s="219">
        <f>I275</f>
        <v>5.24</v>
      </c>
      <c r="J284" s="207" t="s">
        <v>362</v>
      </c>
      <c r="K284" s="2">
        <f t="shared" si="29"/>
        <v>0</v>
      </c>
      <c r="M284" s="20"/>
      <c r="N284" s="20"/>
      <c r="O284" s="71"/>
      <c r="P284" s="71"/>
      <c r="Q284" s="20"/>
      <c r="R284" s="20"/>
      <c r="S284" s="20"/>
      <c r="T284" s="20"/>
      <c r="U284" s="20"/>
      <c r="V284" s="20"/>
      <c r="W284" s="20"/>
      <c r="X284" s="20"/>
      <c r="Y284" s="20"/>
      <c r="Z284" s="20"/>
      <c r="AA284" s="20"/>
      <c r="AB284" s="20"/>
      <c r="AC284" s="20"/>
      <c r="AE284" s="81"/>
    </row>
    <row r="285" spans="1:31">
      <c r="A285" s="1" t="s">
        <v>388</v>
      </c>
      <c r="B285" s="1"/>
      <c r="C285" s="203">
        <v>0</v>
      </c>
      <c r="D285" s="203">
        <v>0</v>
      </c>
      <c r="E285" s="220">
        <f>E276</f>
        <v>45</v>
      </c>
      <c r="F285" s="207" t="s">
        <v>362</v>
      </c>
      <c r="G285" s="2">
        <f t="shared" si="28"/>
        <v>0</v>
      </c>
      <c r="H285" s="2">
        <f t="shared" si="28"/>
        <v>0</v>
      </c>
      <c r="I285" s="220">
        <f>I276</f>
        <v>50</v>
      </c>
      <c r="J285" s="207" t="s">
        <v>362</v>
      </c>
      <c r="K285" s="2">
        <f t="shared" si="29"/>
        <v>0</v>
      </c>
      <c r="M285" s="20"/>
      <c r="N285" s="20"/>
      <c r="O285" s="71"/>
      <c r="P285" s="71"/>
      <c r="Q285" s="20"/>
      <c r="R285" s="20"/>
      <c r="S285" s="20"/>
      <c r="T285" s="20"/>
      <c r="U285" s="20"/>
      <c r="V285" s="20"/>
      <c r="W285" s="20"/>
      <c r="X285" s="20"/>
      <c r="Y285" s="20"/>
      <c r="Z285" s="20"/>
      <c r="AA285" s="20"/>
      <c r="AB285" s="20"/>
      <c r="AC285" s="20"/>
      <c r="AE285" s="81"/>
    </row>
    <row r="286" spans="1:31">
      <c r="A286" s="1" t="s">
        <v>395</v>
      </c>
      <c r="B286" s="1"/>
      <c r="C286" s="203">
        <v>0</v>
      </c>
      <c r="D286" s="203">
        <v>0</v>
      </c>
      <c r="E286" s="221">
        <f>$E$172</f>
        <v>60</v>
      </c>
      <c r="F286" s="205"/>
      <c r="G286" s="2">
        <f t="shared" si="28"/>
        <v>0</v>
      </c>
      <c r="H286" s="2">
        <f t="shared" si="28"/>
        <v>0</v>
      </c>
      <c r="I286" s="221">
        <f>$I$172</f>
        <v>60</v>
      </c>
      <c r="J286" s="207"/>
      <c r="K286" s="2">
        <f t="shared" si="29"/>
        <v>0</v>
      </c>
      <c r="M286" s="20"/>
      <c r="N286" s="20"/>
      <c r="O286" s="71"/>
      <c r="P286" s="71"/>
      <c r="Q286" s="20"/>
      <c r="R286" s="20"/>
      <c r="S286" s="20"/>
      <c r="T286" s="20"/>
      <c r="U286" s="20"/>
      <c r="V286" s="20"/>
      <c r="W286" s="20"/>
      <c r="X286" s="20"/>
      <c r="Y286" s="20"/>
      <c r="Z286" s="20"/>
      <c r="AA286" s="20"/>
      <c r="AB286" s="20"/>
      <c r="AC286" s="20"/>
      <c r="AE286" s="81"/>
    </row>
    <row r="287" spans="1:31">
      <c r="A287" s="1" t="s">
        <v>396</v>
      </c>
      <c r="B287" s="1"/>
      <c r="C287" s="203">
        <v>0</v>
      </c>
      <c r="D287" s="203">
        <v>0</v>
      </c>
      <c r="E287" s="223">
        <f>$E$173</f>
        <v>-30</v>
      </c>
      <c r="F287" s="205" t="s">
        <v>362</v>
      </c>
      <c r="G287" s="2">
        <f t="shared" si="28"/>
        <v>0</v>
      </c>
      <c r="H287" s="2">
        <f t="shared" si="28"/>
        <v>0</v>
      </c>
      <c r="I287" s="223">
        <f>$I$173</f>
        <v>-30</v>
      </c>
      <c r="J287" s="207" t="s">
        <v>362</v>
      </c>
      <c r="K287" s="2">
        <f t="shared" si="29"/>
        <v>0</v>
      </c>
      <c r="M287" s="20"/>
      <c r="N287" s="20"/>
      <c r="O287" s="71"/>
      <c r="P287" s="71"/>
      <c r="Q287" s="20"/>
      <c r="R287" s="20"/>
      <c r="S287" s="20"/>
      <c r="T287" s="20"/>
      <c r="U287" s="20"/>
      <c r="V287" s="20"/>
      <c r="W287" s="20"/>
      <c r="X287" s="20"/>
      <c r="Y287" s="20"/>
      <c r="Z287" s="20"/>
      <c r="AA287" s="20"/>
      <c r="AB287" s="20"/>
      <c r="AC287" s="20"/>
      <c r="AE287" s="81"/>
    </row>
    <row r="288" spans="1:31">
      <c r="A288" s="1" t="s">
        <v>369</v>
      </c>
      <c r="B288" s="1"/>
      <c r="C288" s="203">
        <f>C317+C346</f>
        <v>1463636</v>
      </c>
      <c r="D288" s="203">
        <f>D317+D346</f>
        <v>1512494.9193898283</v>
      </c>
      <c r="E288" s="214"/>
      <c r="F288" s="2"/>
      <c r="G288" s="2">
        <f t="shared" si="28"/>
        <v>153847</v>
      </c>
      <c r="H288" s="2">
        <f t="shared" si="28"/>
        <v>157667</v>
      </c>
      <c r="I288" s="214"/>
      <c r="J288" s="207"/>
      <c r="K288" s="2">
        <f t="shared" si="29"/>
        <v>166584</v>
      </c>
      <c r="M288" s="20"/>
      <c r="N288" s="20"/>
      <c r="O288" s="71"/>
      <c r="P288" s="71"/>
      <c r="Q288" s="20"/>
      <c r="R288" s="20"/>
      <c r="S288" s="20"/>
      <c r="T288" s="20"/>
      <c r="U288" s="20"/>
      <c r="V288" s="20"/>
      <c r="W288" s="20"/>
      <c r="X288" s="20"/>
      <c r="Y288" s="20"/>
      <c r="Z288" s="20"/>
      <c r="AA288" s="20"/>
      <c r="AB288" s="20"/>
      <c r="AC288" s="20"/>
      <c r="AE288" s="81"/>
    </row>
    <row r="289" spans="1:31">
      <c r="A289" s="1" t="s">
        <v>351</v>
      </c>
      <c r="B289" s="1"/>
      <c r="C289" s="224" t="e">
        <f>C318+C347</f>
        <v>#REF!</v>
      </c>
      <c r="D289" s="224">
        <f>D318+D347</f>
        <v>0</v>
      </c>
      <c r="E289" s="193"/>
      <c r="F289" s="193"/>
      <c r="G289" s="225" t="e">
        <f t="shared" si="28"/>
        <v>#REF!</v>
      </c>
      <c r="H289" s="225">
        <f t="shared" si="28"/>
        <v>0</v>
      </c>
      <c r="I289" s="193"/>
      <c r="J289" s="193"/>
      <c r="K289" s="225" t="e">
        <f>G289</f>
        <v>#REF!</v>
      </c>
      <c r="M289" s="328"/>
      <c r="N289" s="328"/>
      <c r="O289" s="171"/>
      <c r="P289" s="71"/>
      <c r="Q289" s="20"/>
      <c r="R289" s="20"/>
      <c r="S289" s="20"/>
      <c r="T289" s="20"/>
      <c r="U289" s="20"/>
      <c r="V289" s="20"/>
      <c r="W289" s="20"/>
      <c r="X289" s="20"/>
      <c r="Y289" s="20"/>
      <c r="Z289" s="20"/>
      <c r="AA289" s="20"/>
      <c r="AB289" s="20"/>
      <c r="AC289" s="20"/>
      <c r="AE289" s="81"/>
    </row>
    <row r="290" spans="1:31" ht="16.5" thickBot="1">
      <c r="A290" s="1" t="s">
        <v>370</v>
      </c>
      <c r="B290" s="1"/>
      <c r="C290" s="195" t="e">
        <f>SUM(C288:C289)</f>
        <v>#REF!</v>
      </c>
      <c r="D290" s="195">
        <f>SUM(D288:D289)</f>
        <v>1512494.9193898283</v>
      </c>
      <c r="E290" s="226"/>
      <c r="F290" s="227"/>
      <c r="G290" s="228" t="e">
        <f>G288+G289</f>
        <v>#REF!</v>
      </c>
      <c r="H290" s="228">
        <f>H288+H289</f>
        <v>157667</v>
      </c>
      <c r="I290" s="226"/>
      <c r="J290" s="229"/>
      <c r="K290" s="228" t="e">
        <f>K288+K289</f>
        <v>#REF!</v>
      </c>
      <c r="M290" s="295"/>
      <c r="N290" s="295"/>
      <c r="O290" s="354"/>
      <c r="P290" s="71"/>
      <c r="Q290" s="20"/>
      <c r="R290" s="20"/>
      <c r="S290" s="20"/>
      <c r="T290" s="20"/>
      <c r="U290" s="20"/>
      <c r="V290" s="20"/>
      <c r="W290" s="20"/>
      <c r="X290" s="20"/>
      <c r="Y290" s="20"/>
      <c r="Z290" s="20"/>
      <c r="AA290" s="20"/>
      <c r="AB290" s="20"/>
      <c r="AC290" s="20"/>
      <c r="AE290" s="81"/>
    </row>
    <row r="291" spans="1:31" ht="16.5" thickTop="1">
      <c r="A291" s="1"/>
      <c r="B291" s="1"/>
      <c r="C291" s="21"/>
      <c r="D291" s="21"/>
      <c r="E291" s="221"/>
      <c r="F291" s="2"/>
      <c r="G291" s="2"/>
      <c r="H291" s="2"/>
      <c r="I291" s="221"/>
      <c r="J291" s="1"/>
      <c r="K291" s="2" t="s">
        <v>31</v>
      </c>
      <c r="M291" s="20"/>
      <c r="N291" s="20"/>
      <c r="O291" s="71"/>
      <c r="P291" s="71"/>
      <c r="Q291" s="20"/>
      <c r="R291" s="20"/>
      <c r="S291" s="20"/>
      <c r="T291" s="20"/>
      <c r="U291" s="20"/>
      <c r="V291" s="20"/>
      <c r="W291" s="20"/>
      <c r="X291" s="20"/>
      <c r="Y291" s="20"/>
      <c r="Z291" s="20"/>
      <c r="AA291" s="20"/>
      <c r="AB291" s="20"/>
      <c r="AC291" s="20"/>
      <c r="AE291" s="81"/>
    </row>
    <row r="292" spans="1:31">
      <c r="A292" s="177" t="s">
        <v>403</v>
      </c>
      <c r="B292" s="1"/>
      <c r="C292" s="1"/>
      <c r="D292" s="1"/>
      <c r="E292" s="2"/>
      <c r="F292" s="2"/>
      <c r="G292" s="1" t="s">
        <v>31</v>
      </c>
      <c r="H292" s="1"/>
      <c r="I292" s="2"/>
      <c r="J292" s="1"/>
      <c r="K292" s="1"/>
      <c r="M292" s="20"/>
      <c r="N292" s="20"/>
      <c r="O292" s="71"/>
      <c r="P292" s="71"/>
      <c r="Q292" s="20"/>
      <c r="R292" s="20"/>
      <c r="S292" s="20"/>
      <c r="T292" s="20"/>
      <c r="U292" s="20"/>
      <c r="V292" s="20"/>
      <c r="W292" s="20"/>
      <c r="X292" s="20"/>
      <c r="Y292" s="20"/>
      <c r="Z292" s="20"/>
      <c r="AA292" s="20"/>
      <c r="AB292" s="20"/>
      <c r="AC292" s="20"/>
      <c r="AE292" s="81"/>
    </row>
    <row r="293" spans="1:31">
      <c r="A293" s="1" t="s">
        <v>399</v>
      </c>
      <c r="B293" s="1"/>
      <c r="C293" s="1"/>
      <c r="D293" s="1"/>
      <c r="E293" s="2"/>
      <c r="F293" s="2"/>
      <c r="G293" s="1"/>
      <c r="H293" s="1"/>
      <c r="I293" s="2"/>
      <c r="J293" s="1"/>
      <c r="K293" s="1"/>
      <c r="M293" s="20"/>
      <c r="N293" s="20"/>
      <c r="O293" s="71"/>
      <c r="P293" s="71"/>
      <c r="Q293" s="20"/>
      <c r="R293" s="20"/>
      <c r="S293" s="20"/>
      <c r="T293" s="20"/>
      <c r="U293" s="20"/>
      <c r="V293" s="20"/>
      <c r="W293" s="20"/>
      <c r="X293" s="20"/>
      <c r="Y293" s="20"/>
      <c r="Z293" s="20"/>
      <c r="AA293" s="20"/>
      <c r="AB293" s="20"/>
      <c r="AC293" s="20"/>
      <c r="AE293" s="81"/>
    </row>
    <row r="294" spans="1:31">
      <c r="A294" s="1"/>
      <c r="B294" s="1"/>
      <c r="C294" s="1"/>
      <c r="D294" s="1"/>
      <c r="E294" s="2"/>
      <c r="F294" s="2"/>
      <c r="G294" s="1"/>
      <c r="H294" s="1"/>
      <c r="I294" s="2"/>
      <c r="J294" s="1"/>
      <c r="K294" s="1"/>
      <c r="M294" s="20"/>
      <c r="N294" s="20"/>
      <c r="O294" s="71"/>
      <c r="P294" s="71"/>
      <c r="Q294" s="20"/>
      <c r="R294" s="20"/>
      <c r="S294" s="20"/>
      <c r="T294" s="20"/>
      <c r="U294" s="20"/>
      <c r="V294" s="20"/>
      <c r="W294" s="20"/>
      <c r="X294" s="20"/>
      <c r="Y294" s="20"/>
      <c r="Z294" s="20"/>
      <c r="AA294" s="20"/>
      <c r="AB294" s="20"/>
      <c r="AC294" s="20"/>
      <c r="AE294" s="81"/>
    </row>
    <row r="295" spans="1:31">
      <c r="A295" s="1" t="s">
        <v>381</v>
      </c>
      <c r="B295" s="1"/>
      <c r="C295" s="203"/>
      <c r="D295" s="203"/>
      <c r="E295" s="2"/>
      <c r="F295" s="2"/>
      <c r="G295" s="1"/>
      <c r="H295" s="1"/>
      <c r="I295" s="2"/>
      <c r="J295" s="1"/>
      <c r="K295" s="1"/>
      <c r="M295" s="20"/>
      <c r="N295" s="20"/>
      <c r="O295" s="71"/>
      <c r="P295" s="71"/>
      <c r="Q295" s="20"/>
      <c r="R295" s="20"/>
      <c r="S295" s="20"/>
      <c r="T295" s="20"/>
      <c r="U295" s="20"/>
      <c r="V295" s="20"/>
      <c r="W295" s="20"/>
      <c r="X295" s="20"/>
      <c r="Y295" s="20"/>
      <c r="Z295" s="20"/>
      <c r="AA295" s="20"/>
      <c r="AB295" s="20"/>
      <c r="AC295" s="20"/>
      <c r="AE295" s="81"/>
    </row>
    <row r="296" spans="1:31">
      <c r="A296" s="1" t="s">
        <v>404</v>
      </c>
      <c r="B296" s="1"/>
      <c r="C296" s="203">
        <f>3953+455</f>
        <v>4408</v>
      </c>
      <c r="D296" s="203">
        <f>ROUND((D300/C300)*C296,0)</f>
        <v>4397</v>
      </c>
      <c r="E296" s="182">
        <f>$E$153</f>
        <v>7.53</v>
      </c>
      <c r="F296" s="205"/>
      <c r="G296" s="2">
        <f>ROUND(E296*$C296,0)</f>
        <v>33192</v>
      </c>
      <c r="H296" s="2">
        <f>ROUND(E296*$D296,0)</f>
        <v>33109</v>
      </c>
      <c r="I296" s="182">
        <f>$I$153</f>
        <v>8</v>
      </c>
      <c r="J296" s="207"/>
      <c r="K296" s="2">
        <f>ROUND(I296*$C296,0)</f>
        <v>35264</v>
      </c>
      <c r="M296" s="20"/>
      <c r="N296" s="20"/>
      <c r="O296" s="71"/>
      <c r="P296" s="71"/>
      <c r="Q296" s="20"/>
      <c r="R296" s="20"/>
      <c r="S296" s="20"/>
      <c r="T296" s="20"/>
      <c r="U296" s="20"/>
      <c r="V296" s="20"/>
      <c r="W296" s="20"/>
      <c r="X296" s="20"/>
      <c r="Y296" s="20"/>
      <c r="Z296" s="20"/>
      <c r="AA296" s="20"/>
      <c r="AB296" s="20"/>
      <c r="AC296" s="20"/>
      <c r="AE296" s="81"/>
    </row>
    <row r="297" spans="1:31">
      <c r="A297" s="1" t="s">
        <v>379</v>
      </c>
      <c r="B297" s="1"/>
      <c r="C297" s="203">
        <v>0</v>
      </c>
      <c r="D297" s="203">
        <v>0</v>
      </c>
      <c r="E297" s="182">
        <f>$E$154</f>
        <v>11.18</v>
      </c>
      <c r="F297" s="208"/>
      <c r="G297" s="2">
        <f>ROUND(E297*$C297,0)</f>
        <v>0</v>
      </c>
      <c r="H297" s="2">
        <f>ROUND(E297*$D297,0)</f>
        <v>0</v>
      </c>
      <c r="I297" s="182">
        <f>$I$154</f>
        <v>11.877822045152721</v>
      </c>
      <c r="J297" s="209"/>
      <c r="K297" s="2">
        <f>ROUND(I297*$C297,0)</f>
        <v>0</v>
      </c>
      <c r="M297" s="20"/>
      <c r="N297" s="20"/>
      <c r="O297" s="71"/>
      <c r="P297" s="71"/>
      <c r="Q297" s="20"/>
      <c r="R297" s="20"/>
      <c r="S297" s="20"/>
      <c r="T297" s="20"/>
      <c r="U297" s="20"/>
      <c r="V297" s="20"/>
      <c r="W297" s="20"/>
      <c r="X297" s="20"/>
      <c r="Y297" s="20"/>
      <c r="Z297" s="20"/>
      <c r="AA297" s="20"/>
      <c r="AB297" s="20"/>
      <c r="AC297" s="20"/>
      <c r="AE297" s="81"/>
    </row>
    <row r="298" spans="1:31">
      <c r="A298" s="1" t="s">
        <v>380</v>
      </c>
      <c r="B298" s="1"/>
      <c r="C298" s="203">
        <v>0</v>
      </c>
      <c r="D298" s="203">
        <v>0</v>
      </c>
      <c r="E298" s="182">
        <f>$E$155</f>
        <v>0.78</v>
      </c>
      <c r="F298" s="208"/>
      <c r="G298" s="2">
        <f>ROUND(E298*$C298,0)</f>
        <v>0</v>
      </c>
      <c r="H298" s="2">
        <f>ROUND(E298*$D298,0)</f>
        <v>0</v>
      </c>
      <c r="I298" s="182">
        <f>$I$155</f>
        <v>0.83</v>
      </c>
      <c r="J298" s="209"/>
      <c r="K298" s="2">
        <f>ROUND(I298*$C298,0)</f>
        <v>0</v>
      </c>
      <c r="M298" s="20"/>
      <c r="N298" s="20"/>
      <c r="O298" s="71"/>
      <c r="P298" s="71"/>
      <c r="Q298" s="20"/>
      <c r="R298" s="20"/>
      <c r="S298" s="20"/>
      <c r="T298" s="20"/>
      <c r="U298" s="20"/>
      <c r="V298" s="20"/>
      <c r="W298" s="20"/>
      <c r="X298" s="20"/>
      <c r="Y298" s="20"/>
      <c r="Z298" s="20"/>
      <c r="AA298" s="20"/>
      <c r="AB298" s="20"/>
      <c r="AC298" s="20"/>
      <c r="AE298" s="81"/>
    </row>
    <row r="299" spans="1:31">
      <c r="A299" s="1" t="s">
        <v>382</v>
      </c>
      <c r="B299" s="1"/>
      <c r="C299" s="203">
        <f>SUM(C296:C297)</f>
        <v>4408</v>
      </c>
      <c r="D299" s="203">
        <f>ROUND((D300/C300)*C299,0)</f>
        <v>4397</v>
      </c>
      <c r="E299" s="182"/>
      <c r="F299" s="205"/>
      <c r="G299" s="2"/>
      <c r="H299" s="2"/>
      <c r="I299" s="182"/>
      <c r="J299" s="207"/>
      <c r="K299" s="2"/>
      <c r="M299" s="20"/>
      <c r="N299" s="20"/>
      <c r="O299" s="71"/>
      <c r="P299" s="71"/>
      <c r="Q299" s="20"/>
      <c r="R299" s="20"/>
      <c r="S299" s="20"/>
      <c r="T299" s="20"/>
      <c r="U299" s="20"/>
      <c r="V299" s="20"/>
      <c r="W299" s="20"/>
      <c r="X299" s="20"/>
      <c r="Y299" s="20"/>
      <c r="Z299" s="20"/>
      <c r="AA299" s="20"/>
      <c r="AB299" s="20"/>
      <c r="AC299" s="20"/>
      <c r="AE299" s="81"/>
    </row>
    <row r="300" spans="1:31">
      <c r="A300" s="1" t="s">
        <v>350</v>
      </c>
      <c r="B300" s="1"/>
      <c r="C300" s="203">
        <f>108+1465</f>
        <v>1573</v>
      </c>
      <c r="D300" s="203">
        <v>1569</v>
      </c>
      <c r="E300" s="182"/>
      <c r="F300" s="205"/>
      <c r="G300" s="2"/>
      <c r="H300" s="2"/>
      <c r="I300" s="182"/>
      <c r="J300" s="207"/>
      <c r="K300" s="2"/>
      <c r="M300" s="20"/>
      <c r="N300" s="20"/>
      <c r="O300" s="71"/>
      <c r="P300" s="71"/>
      <c r="Q300" s="20"/>
      <c r="R300" s="20"/>
      <c r="S300" s="20"/>
      <c r="T300" s="20"/>
      <c r="U300" s="20"/>
      <c r="V300" s="20"/>
      <c r="W300" s="20"/>
      <c r="X300" s="20"/>
      <c r="Y300" s="20"/>
      <c r="Z300" s="20"/>
      <c r="AA300" s="20"/>
      <c r="AB300" s="20"/>
      <c r="AC300" s="20"/>
      <c r="AE300" s="81"/>
    </row>
    <row r="301" spans="1:31">
      <c r="A301" s="1" t="s">
        <v>383</v>
      </c>
      <c r="B301" s="1"/>
      <c r="C301" s="203">
        <v>0</v>
      </c>
      <c r="D301" s="203">
        <v>0</v>
      </c>
      <c r="E301" s="210">
        <f>$E$158</f>
        <v>2.88</v>
      </c>
      <c r="F301" s="207"/>
      <c r="G301" s="2">
        <f>ROUND(E301*$C301,0)</f>
        <v>0</v>
      </c>
      <c r="H301" s="2">
        <f>ROUND(E301*$D301,0)</f>
        <v>0</v>
      </c>
      <c r="I301" s="210">
        <f>$I$158</f>
        <v>2.97</v>
      </c>
      <c r="J301" s="207"/>
      <c r="K301" s="2">
        <f>ROUND(I301*$C301,0)</f>
        <v>0</v>
      </c>
      <c r="M301" s="20"/>
      <c r="N301" s="20"/>
      <c r="O301" s="71"/>
      <c r="P301" s="71"/>
      <c r="Q301" s="20"/>
      <c r="R301" s="20"/>
      <c r="S301" s="20"/>
      <c r="T301" s="20"/>
      <c r="U301" s="20"/>
      <c r="V301" s="20"/>
      <c r="W301" s="20"/>
      <c r="X301" s="20"/>
      <c r="Y301" s="20"/>
      <c r="Z301" s="20"/>
      <c r="AA301" s="20"/>
      <c r="AB301" s="20"/>
      <c r="AC301" s="20"/>
      <c r="AE301" s="81"/>
    </row>
    <row r="302" spans="1:31">
      <c r="A302" s="1" t="s">
        <v>385</v>
      </c>
      <c r="B302" s="1"/>
      <c r="C302" s="203">
        <f>36361+1146150+183000</f>
        <v>1365511</v>
      </c>
      <c r="D302" s="203">
        <f>ROUND(($D$317/'Billing Determinants (2)'!$C$317)*C302,0)</f>
        <v>1407168</v>
      </c>
      <c r="E302" s="183">
        <f>$E$159</f>
        <v>8.0890000000000004</v>
      </c>
      <c r="F302" s="207" t="s">
        <v>362</v>
      </c>
      <c r="G302" s="2">
        <f>ROUND(E302*$C302/100,0)</f>
        <v>110456</v>
      </c>
      <c r="H302" s="2">
        <f>ROUND(E302*$D302/100,0)</f>
        <v>113826</v>
      </c>
      <c r="I302" s="183">
        <f>$I$159</f>
        <v>8.8109999999999999</v>
      </c>
      <c r="J302" s="207" t="s">
        <v>362</v>
      </c>
      <c r="K302" s="2">
        <f>ROUND(I302*$C302/100,0)</f>
        <v>120315</v>
      </c>
      <c r="M302" s="20"/>
      <c r="N302" s="20"/>
      <c r="O302" s="71"/>
      <c r="P302" s="71"/>
      <c r="Q302" s="20"/>
      <c r="R302" s="20"/>
      <c r="S302" s="20"/>
      <c r="T302" s="20"/>
      <c r="U302" s="20"/>
      <c r="V302" s="20"/>
      <c r="W302" s="20"/>
      <c r="X302" s="20"/>
      <c r="Y302" s="20"/>
      <c r="Z302" s="20"/>
      <c r="AA302" s="20"/>
      <c r="AB302" s="20"/>
      <c r="AC302" s="20"/>
      <c r="AE302" s="81"/>
    </row>
    <row r="303" spans="1:31">
      <c r="A303" s="1" t="s">
        <v>386</v>
      </c>
      <c r="B303" s="21"/>
      <c r="C303" s="203">
        <f>64813</f>
        <v>64813</v>
      </c>
      <c r="D303" s="203">
        <f>ROUND(($D$317/'Billing Determinants (2)'!$C$317)*C303,0)</f>
        <v>66790</v>
      </c>
      <c r="E303" s="183">
        <f>$E$160</f>
        <v>5.5839999999999996</v>
      </c>
      <c r="F303" s="207" t="s">
        <v>362</v>
      </c>
      <c r="G303" s="2">
        <f>ROUND(E303*$C303/100,0)</f>
        <v>3619</v>
      </c>
      <c r="H303" s="2">
        <f>ROUND(E303*$D303/100,0)</f>
        <v>3730</v>
      </c>
      <c r="I303" s="183">
        <f>$I$160</f>
        <v>6.0819999999999999</v>
      </c>
      <c r="J303" s="207" t="s">
        <v>362</v>
      </c>
      <c r="K303" s="2">
        <f>ROUND(I303*$C303/100,0)</f>
        <v>3942</v>
      </c>
      <c r="M303" s="20"/>
      <c r="N303" s="20"/>
      <c r="O303" s="71"/>
      <c r="P303" s="71"/>
      <c r="Q303" s="20"/>
      <c r="R303" s="20"/>
      <c r="S303" s="20"/>
      <c r="T303" s="20"/>
      <c r="U303" s="20"/>
      <c r="V303" s="20"/>
      <c r="W303" s="20"/>
      <c r="X303" s="20"/>
      <c r="Y303" s="20"/>
      <c r="Z303" s="20"/>
      <c r="AA303" s="20"/>
      <c r="AB303" s="20"/>
      <c r="AC303" s="20"/>
      <c r="AE303" s="81"/>
    </row>
    <row r="304" spans="1:31">
      <c r="A304" s="1" t="s">
        <v>387</v>
      </c>
      <c r="B304" s="1"/>
      <c r="C304" s="203">
        <f>36361+1210963+183000-C302-C303</f>
        <v>0</v>
      </c>
      <c r="D304" s="203">
        <f>ROUND(($D$317/'Billing Determinants (2)'!$C$317)*C304,0)</f>
        <v>0</v>
      </c>
      <c r="E304" s="183">
        <f>$E$161</f>
        <v>4.8099999999999996</v>
      </c>
      <c r="F304" s="207" t="s">
        <v>362</v>
      </c>
      <c r="G304" s="2">
        <f>ROUND(E304*$C304/100,0)</f>
        <v>0</v>
      </c>
      <c r="H304" s="2">
        <f>ROUND(E304*$D304/100,0)</f>
        <v>0</v>
      </c>
      <c r="I304" s="183">
        <f>$I$161</f>
        <v>5.24</v>
      </c>
      <c r="J304" s="207" t="s">
        <v>362</v>
      </c>
      <c r="K304" s="2">
        <f>ROUND(I304*$C304/100,0)</f>
        <v>0</v>
      </c>
      <c r="M304" s="20"/>
      <c r="N304" s="20"/>
      <c r="O304" s="71"/>
      <c r="P304" s="71"/>
      <c r="Q304" s="20"/>
      <c r="R304" s="20"/>
      <c r="S304" s="20"/>
      <c r="T304" s="20"/>
      <c r="U304" s="20"/>
      <c r="V304" s="20"/>
      <c r="W304" s="20"/>
      <c r="X304" s="20"/>
      <c r="Y304" s="20"/>
      <c r="Z304" s="20"/>
      <c r="AA304" s="20"/>
      <c r="AB304" s="20"/>
      <c r="AC304" s="20"/>
      <c r="AE304" s="81"/>
    </row>
    <row r="305" spans="1:31">
      <c r="A305" s="1" t="s">
        <v>388</v>
      </c>
      <c r="B305" s="1"/>
      <c r="C305" s="203">
        <v>0</v>
      </c>
      <c r="D305" s="203">
        <f>ROUND(($D$317/'Billing Determinants (2)'!$C$317)*C305,0)</f>
        <v>0</v>
      </c>
      <c r="E305" s="214">
        <f>$E$162</f>
        <v>45</v>
      </c>
      <c r="F305" s="205" t="s">
        <v>362</v>
      </c>
      <c r="G305" s="2">
        <f>ROUND(E305*$C305/100,0)</f>
        <v>0</v>
      </c>
      <c r="H305" s="2">
        <f>ROUND(E305*$D305/100,0)</f>
        <v>0</v>
      </c>
      <c r="I305" s="214">
        <f>$I$162</f>
        <v>50</v>
      </c>
      <c r="J305" s="207" t="s">
        <v>362</v>
      </c>
      <c r="K305" s="2">
        <f>ROUND(I305*$C305/100,0)</f>
        <v>0</v>
      </c>
      <c r="M305" s="20"/>
      <c r="N305" s="20"/>
      <c r="O305" s="71"/>
      <c r="P305" s="71"/>
      <c r="Q305" s="20"/>
      <c r="R305" s="20"/>
      <c r="S305" s="20"/>
      <c r="T305" s="20"/>
      <c r="U305" s="20"/>
      <c r="V305" s="20"/>
      <c r="W305" s="20"/>
      <c r="X305" s="20"/>
      <c r="Y305" s="20"/>
      <c r="Z305" s="20"/>
      <c r="AA305" s="20"/>
      <c r="AB305" s="20"/>
      <c r="AC305" s="20"/>
      <c r="AE305" s="81"/>
    </row>
    <row r="306" spans="1:31">
      <c r="A306" s="215" t="s">
        <v>389</v>
      </c>
      <c r="B306" s="1"/>
      <c r="C306" s="203"/>
      <c r="D306" s="203"/>
      <c r="E306" s="216">
        <v>-0.01</v>
      </c>
      <c r="F306" s="205"/>
      <c r="G306" s="2"/>
      <c r="H306" s="2"/>
      <c r="I306" s="216">
        <v>-0.01</v>
      </c>
      <c r="J306" s="207"/>
      <c r="K306" s="2"/>
      <c r="M306" s="20"/>
      <c r="N306" s="20"/>
      <c r="O306" s="71"/>
      <c r="P306" s="71"/>
      <c r="Q306" s="20"/>
      <c r="R306" s="20"/>
      <c r="S306" s="20"/>
      <c r="T306" s="20"/>
      <c r="U306" s="20"/>
      <c r="V306" s="20"/>
      <c r="W306" s="20"/>
      <c r="X306" s="20"/>
      <c r="Y306" s="20"/>
      <c r="Z306" s="20"/>
      <c r="AA306" s="20"/>
      <c r="AB306" s="20"/>
      <c r="AC306" s="20"/>
      <c r="AE306" s="81"/>
    </row>
    <row r="307" spans="1:31">
      <c r="A307" s="1" t="s">
        <v>378</v>
      </c>
      <c r="B307" s="1"/>
      <c r="C307" s="203">
        <v>0</v>
      </c>
      <c r="D307" s="203">
        <v>0</v>
      </c>
      <c r="E307" s="218">
        <f>E296</f>
        <v>7.53</v>
      </c>
      <c r="F307" s="205"/>
      <c r="G307" s="2">
        <f>-ROUND(E307*$C307/100,0)</f>
        <v>0</v>
      </c>
      <c r="H307" s="2">
        <f t="shared" ref="H307:H316" si="30">-ROUND(E307*$D307/100,0)</f>
        <v>0</v>
      </c>
      <c r="I307" s="218">
        <f>I296</f>
        <v>8</v>
      </c>
      <c r="J307" s="205"/>
      <c r="K307" s="2">
        <f>-ROUND(I307*$C307/100,0)</f>
        <v>0</v>
      </c>
      <c r="M307" s="20"/>
      <c r="N307" s="20"/>
      <c r="O307" s="71"/>
      <c r="P307" s="71"/>
      <c r="Q307" s="20"/>
      <c r="R307" s="20"/>
      <c r="S307" s="20"/>
      <c r="T307" s="20"/>
      <c r="U307" s="20"/>
      <c r="V307" s="20"/>
      <c r="W307" s="20"/>
      <c r="X307" s="20"/>
      <c r="Y307" s="20"/>
      <c r="Z307" s="20"/>
      <c r="AA307" s="20"/>
      <c r="AB307" s="20"/>
      <c r="AC307" s="20"/>
      <c r="AE307" s="81"/>
    </row>
    <row r="308" spans="1:31">
      <c r="A308" s="1" t="s">
        <v>379</v>
      </c>
      <c r="B308" s="1"/>
      <c r="C308" s="203">
        <v>0</v>
      </c>
      <c r="D308" s="203">
        <v>0</v>
      </c>
      <c r="E308" s="218">
        <f>E297</f>
        <v>11.18</v>
      </c>
      <c r="F308" s="205"/>
      <c r="G308" s="2">
        <f>-ROUND(E308*$C308/100,0)</f>
        <v>0</v>
      </c>
      <c r="H308" s="2">
        <f t="shared" si="30"/>
        <v>0</v>
      </c>
      <c r="I308" s="218">
        <f>I297</f>
        <v>11.877822045152721</v>
      </c>
      <c r="J308" s="205"/>
      <c r="K308" s="2">
        <f>-ROUND(I308*$C308/100,0)</f>
        <v>0</v>
      </c>
      <c r="M308" s="20"/>
      <c r="N308" s="20"/>
      <c r="O308" s="71"/>
      <c r="P308" s="71"/>
      <c r="Q308" s="20"/>
      <c r="R308" s="20"/>
      <c r="S308" s="20"/>
      <c r="T308" s="20"/>
      <c r="U308" s="20"/>
      <c r="V308" s="20"/>
      <c r="W308" s="20"/>
      <c r="X308" s="20"/>
      <c r="Y308" s="20"/>
      <c r="Z308" s="20"/>
      <c r="AA308" s="20"/>
      <c r="AB308" s="20"/>
      <c r="AC308" s="20"/>
      <c r="AE308" s="81"/>
    </row>
    <row r="309" spans="1:31">
      <c r="A309" s="1" t="s">
        <v>390</v>
      </c>
      <c r="B309" s="1"/>
      <c r="C309" s="203">
        <v>0</v>
      </c>
      <c r="D309" s="203">
        <f>ROUND(($D$317/'Billing Determinants (2)'!$C$317)*C309,0)</f>
        <v>0</v>
      </c>
      <c r="E309" s="218">
        <f>E298</f>
        <v>0.78</v>
      </c>
      <c r="F309" s="205"/>
      <c r="G309" s="2">
        <f>-ROUND(E309*$C309/100,0)</f>
        <v>0</v>
      </c>
      <c r="H309" s="2">
        <f t="shared" si="30"/>
        <v>0</v>
      </c>
      <c r="I309" s="218">
        <f>I298</f>
        <v>0.83</v>
      </c>
      <c r="J309" s="205"/>
      <c r="K309" s="2">
        <f>-ROUND(I309*$C309/100,0)</f>
        <v>0</v>
      </c>
      <c r="M309" s="20"/>
      <c r="N309" s="20"/>
      <c r="O309" s="71"/>
      <c r="P309" s="71"/>
      <c r="Q309" s="20"/>
      <c r="R309" s="20"/>
      <c r="S309" s="20"/>
      <c r="T309" s="20"/>
      <c r="U309" s="20"/>
      <c r="V309" s="20"/>
      <c r="W309" s="20"/>
      <c r="X309" s="20"/>
      <c r="Y309" s="20"/>
      <c r="Z309" s="20"/>
      <c r="AA309" s="20"/>
      <c r="AB309" s="20"/>
      <c r="AC309" s="20"/>
      <c r="AE309" s="81"/>
    </row>
    <row r="310" spans="1:31">
      <c r="A310" s="1" t="s">
        <v>391</v>
      </c>
      <c r="B310" s="1"/>
      <c r="C310" s="203">
        <v>0</v>
      </c>
      <c r="D310" s="203">
        <f>ROUND(($D$317/'Billing Determinants (2)'!$C$317)*C310,0)</f>
        <v>0</v>
      </c>
      <c r="E310" s="218">
        <f>E301</f>
        <v>2.88</v>
      </c>
      <c r="F310" s="207"/>
      <c r="G310" s="2">
        <f>-ROUND(E310*$C310/100,0)</f>
        <v>0</v>
      </c>
      <c r="H310" s="2">
        <f t="shared" si="30"/>
        <v>0</v>
      </c>
      <c r="I310" s="218">
        <f>I301</f>
        <v>2.97</v>
      </c>
      <c r="J310" s="207"/>
      <c r="K310" s="2">
        <f>-ROUND(I310*$C310/100,0)</f>
        <v>0</v>
      </c>
      <c r="M310" s="20"/>
      <c r="N310" s="20"/>
      <c r="O310" s="71"/>
      <c r="P310" s="71"/>
      <c r="Q310" s="20"/>
      <c r="R310" s="20"/>
      <c r="S310" s="20"/>
      <c r="T310" s="20"/>
      <c r="U310" s="20"/>
      <c r="V310" s="20"/>
      <c r="W310" s="20"/>
      <c r="X310" s="20"/>
      <c r="Y310" s="20"/>
      <c r="Z310" s="20"/>
      <c r="AA310" s="20"/>
      <c r="AB310" s="20"/>
      <c r="AC310" s="20"/>
      <c r="AE310" s="81"/>
    </row>
    <row r="311" spans="1:31">
      <c r="A311" s="1" t="s">
        <v>393</v>
      </c>
      <c r="B311" s="1"/>
      <c r="C311" s="203">
        <v>0</v>
      </c>
      <c r="D311" s="203">
        <f>ROUND(($D$317/'Billing Determinants (2)'!$C$317)*C311,0)</f>
        <v>0</v>
      </c>
      <c r="E311" s="219">
        <f>E302</f>
        <v>8.0890000000000004</v>
      </c>
      <c r="F311" s="207" t="s">
        <v>362</v>
      </c>
      <c r="G311" s="2">
        <f>ROUND(E311*$C311/100*E306,0)</f>
        <v>0</v>
      </c>
      <c r="H311" s="2">
        <f t="shared" si="30"/>
        <v>0</v>
      </c>
      <c r="I311" s="219">
        <f>I302</f>
        <v>8.8109999999999999</v>
      </c>
      <c r="J311" s="207" t="s">
        <v>362</v>
      </c>
      <c r="K311" s="2">
        <f>ROUND(I311*$C311/100*I306,0)</f>
        <v>0</v>
      </c>
      <c r="M311" s="20"/>
      <c r="N311" s="20"/>
      <c r="O311" s="71"/>
      <c r="P311" s="71"/>
      <c r="Q311" s="20"/>
      <c r="R311" s="20"/>
      <c r="S311" s="20"/>
      <c r="T311" s="20"/>
      <c r="U311" s="20"/>
      <c r="V311" s="20"/>
      <c r="W311" s="20"/>
      <c r="X311" s="20"/>
      <c r="Y311" s="20"/>
      <c r="Z311" s="20"/>
      <c r="AA311" s="20"/>
      <c r="AB311" s="20"/>
      <c r="AC311" s="20"/>
      <c r="AE311" s="81"/>
    </row>
    <row r="312" spans="1:31">
      <c r="A312" s="1" t="s">
        <v>386</v>
      </c>
      <c r="B312" s="1"/>
      <c r="C312" s="203">
        <v>0</v>
      </c>
      <c r="D312" s="203">
        <f>ROUND(($D$317/'Billing Determinants (2)'!$C$317)*C312,0)</f>
        <v>0</v>
      </c>
      <c r="E312" s="219">
        <f>E303</f>
        <v>5.5839999999999996</v>
      </c>
      <c r="F312" s="207" t="s">
        <v>362</v>
      </c>
      <c r="G312" s="2">
        <f>ROUND(E312*$C312/100*E306,0)</f>
        <v>0</v>
      </c>
      <c r="H312" s="2">
        <f t="shared" si="30"/>
        <v>0</v>
      </c>
      <c r="I312" s="219">
        <f>I303</f>
        <v>6.0819999999999999</v>
      </c>
      <c r="J312" s="207" t="s">
        <v>362</v>
      </c>
      <c r="K312" s="2">
        <f>ROUND(I312*$C312/100*I306,0)</f>
        <v>0</v>
      </c>
      <c r="M312" s="20"/>
      <c r="N312" s="20"/>
      <c r="O312" s="71"/>
      <c r="P312" s="71"/>
      <c r="Q312" s="20"/>
      <c r="R312" s="20"/>
      <c r="S312" s="20"/>
      <c r="T312" s="20"/>
      <c r="U312" s="20"/>
      <c r="V312" s="20"/>
      <c r="W312" s="20"/>
      <c r="X312" s="20"/>
      <c r="Y312" s="20"/>
      <c r="Z312" s="20"/>
      <c r="AA312" s="20"/>
      <c r="AB312" s="20"/>
      <c r="AC312" s="20"/>
      <c r="AE312" s="81"/>
    </row>
    <row r="313" spans="1:31">
      <c r="A313" s="1" t="s">
        <v>387</v>
      </c>
      <c r="B313" s="1"/>
      <c r="C313" s="203">
        <v>0</v>
      </c>
      <c r="D313" s="203">
        <f>ROUND(($D$317/'Billing Determinants (2)'!$C$317)*C313,0)</f>
        <v>0</v>
      </c>
      <c r="E313" s="219">
        <f>E304</f>
        <v>4.8099999999999996</v>
      </c>
      <c r="F313" s="207" t="s">
        <v>362</v>
      </c>
      <c r="G313" s="2">
        <f>ROUND(E313*$C313/100*E306,0)</f>
        <v>0</v>
      </c>
      <c r="H313" s="2">
        <f t="shared" si="30"/>
        <v>0</v>
      </c>
      <c r="I313" s="219">
        <f>I304</f>
        <v>5.24</v>
      </c>
      <c r="J313" s="207" t="s">
        <v>362</v>
      </c>
      <c r="K313" s="2">
        <f>ROUND(I313*$C313/100*I306,0)</f>
        <v>0</v>
      </c>
      <c r="M313" s="20"/>
      <c r="N313" s="20"/>
      <c r="O313" s="71"/>
      <c r="P313" s="71"/>
      <c r="Q313" s="20"/>
      <c r="R313" s="20"/>
      <c r="S313" s="20"/>
      <c r="T313" s="20"/>
      <c r="U313" s="20"/>
      <c r="V313" s="20"/>
      <c r="W313" s="20"/>
      <c r="X313" s="20"/>
      <c r="Y313" s="20"/>
      <c r="Z313" s="20"/>
      <c r="AA313" s="20"/>
      <c r="AB313" s="20"/>
      <c r="AC313" s="20"/>
      <c r="AE313" s="81"/>
    </row>
    <row r="314" spans="1:31">
      <c r="A314" s="1" t="s">
        <v>388</v>
      </c>
      <c r="B314" s="1"/>
      <c r="C314" s="203">
        <v>0</v>
      </c>
      <c r="D314" s="203">
        <f>ROUND(($D$317/'Billing Determinants (2)'!$C$317)*C314,0)</f>
        <v>0</v>
      </c>
      <c r="E314" s="220">
        <f>E305</f>
        <v>45</v>
      </c>
      <c r="F314" s="207" t="s">
        <v>362</v>
      </c>
      <c r="G314" s="2">
        <f>ROUND(E314*$C314/100*E306,0)</f>
        <v>0</v>
      </c>
      <c r="H314" s="2">
        <f t="shared" si="30"/>
        <v>0</v>
      </c>
      <c r="I314" s="220">
        <f>I305</f>
        <v>50</v>
      </c>
      <c r="J314" s="207" t="s">
        <v>362</v>
      </c>
      <c r="K314" s="2">
        <f>ROUND(I314*$C314/100*I306,0)</f>
        <v>0</v>
      </c>
      <c r="M314" s="20"/>
      <c r="N314" s="20"/>
      <c r="O314" s="71"/>
      <c r="P314" s="71"/>
      <c r="Q314" s="20"/>
      <c r="R314" s="20"/>
      <c r="S314" s="20"/>
      <c r="T314" s="20"/>
      <c r="U314" s="20"/>
      <c r="V314" s="20"/>
      <c r="W314" s="20"/>
      <c r="X314" s="20"/>
      <c r="Y314" s="20"/>
      <c r="Z314" s="20"/>
      <c r="AA314" s="20"/>
      <c r="AB314" s="20"/>
      <c r="AC314" s="20"/>
      <c r="AE314" s="81"/>
    </row>
    <row r="315" spans="1:31">
      <c r="A315" s="1" t="s">
        <v>395</v>
      </c>
      <c r="B315" s="1"/>
      <c r="C315" s="203">
        <v>0</v>
      </c>
      <c r="D315" s="203">
        <f>ROUND(($D$317/'Billing Determinants (2)'!$C$317)*C315,0)</f>
        <v>0</v>
      </c>
      <c r="E315" s="221">
        <f>$E$172</f>
        <v>60</v>
      </c>
      <c r="F315" s="205"/>
      <c r="G315" s="2">
        <f>ROUND(E315*$C315,0)</f>
        <v>0</v>
      </c>
      <c r="H315" s="2">
        <f t="shared" si="30"/>
        <v>0</v>
      </c>
      <c r="I315" s="221">
        <f>$I$172</f>
        <v>60</v>
      </c>
      <c r="J315" s="207"/>
      <c r="K315" s="2">
        <f>ROUND(I315*$C315,0)</f>
        <v>0</v>
      </c>
      <c r="M315" s="20"/>
      <c r="N315" s="20"/>
      <c r="O315" s="71"/>
      <c r="P315" s="71"/>
      <c r="Q315" s="20"/>
      <c r="R315" s="20"/>
      <c r="S315" s="20"/>
      <c r="T315" s="20"/>
      <c r="U315" s="20"/>
      <c r="V315" s="20"/>
      <c r="W315" s="20"/>
      <c r="X315" s="20"/>
      <c r="Y315" s="20"/>
      <c r="Z315" s="20"/>
      <c r="AA315" s="20"/>
      <c r="AB315" s="20"/>
      <c r="AC315" s="20"/>
      <c r="AE315" s="81"/>
    </row>
    <row r="316" spans="1:31">
      <c r="A316" s="1" t="s">
        <v>396</v>
      </c>
      <c r="B316" s="1"/>
      <c r="C316" s="203">
        <v>0</v>
      </c>
      <c r="D316" s="203">
        <f>ROUND(($D$317/'Billing Determinants (2)'!$C$317)*C316,0)</f>
        <v>0</v>
      </c>
      <c r="E316" s="223">
        <f>$E$173</f>
        <v>-30</v>
      </c>
      <c r="F316" s="205" t="s">
        <v>362</v>
      </c>
      <c r="G316" s="2">
        <f>ROUND(E316*$C316/100,0)</f>
        <v>0</v>
      </c>
      <c r="H316" s="2">
        <f t="shared" si="30"/>
        <v>0</v>
      </c>
      <c r="I316" s="223">
        <f>$I$173</f>
        <v>-30</v>
      </c>
      <c r="J316" s="207" t="s">
        <v>362</v>
      </c>
      <c r="K316" s="2">
        <f>ROUND(I316*$C316/100,0)</f>
        <v>0</v>
      </c>
      <c r="M316" s="20"/>
      <c r="N316" s="20"/>
      <c r="O316" s="71"/>
      <c r="P316" s="71"/>
      <c r="Q316" s="20"/>
      <c r="R316" s="20"/>
      <c r="S316" s="20"/>
      <c r="T316" s="20"/>
      <c r="U316" s="20"/>
      <c r="V316" s="20"/>
      <c r="W316" s="20"/>
      <c r="X316" s="20"/>
      <c r="Y316" s="20"/>
      <c r="Z316" s="20"/>
      <c r="AA316" s="20"/>
      <c r="AB316" s="20"/>
      <c r="AC316" s="20"/>
      <c r="AE316" s="81"/>
    </row>
    <row r="317" spans="1:31">
      <c r="A317" s="1" t="s">
        <v>369</v>
      </c>
      <c r="B317" s="1"/>
      <c r="C317" s="203">
        <f>SUM(C302:C304)</f>
        <v>1430324</v>
      </c>
      <c r="D317" s="203">
        <v>1473957.9193898283</v>
      </c>
      <c r="E317" s="214"/>
      <c r="F317" s="2"/>
      <c r="G317" s="2">
        <f>SUM(G296:G316)</f>
        <v>147267</v>
      </c>
      <c r="H317" s="2">
        <f>SUM(H296:H316)</f>
        <v>150665</v>
      </c>
      <c r="I317" s="214"/>
      <c r="J317" s="207"/>
      <c r="K317" s="2">
        <f>SUM(K296:K316)</f>
        <v>159521</v>
      </c>
      <c r="M317" s="20"/>
      <c r="N317" s="20"/>
      <c r="O317" s="71"/>
      <c r="P317" s="71"/>
      <c r="Q317" s="20"/>
      <c r="R317" s="20"/>
      <c r="S317" s="20"/>
      <c r="T317" s="20"/>
      <c r="U317" s="20"/>
      <c r="V317" s="20"/>
      <c r="W317" s="20"/>
      <c r="X317" s="20"/>
      <c r="Y317" s="20"/>
      <c r="Z317" s="20"/>
      <c r="AA317" s="20"/>
      <c r="AB317" s="20"/>
      <c r="AC317" s="20"/>
      <c r="AE317" s="81"/>
    </row>
    <row r="318" spans="1:31">
      <c r="A318" s="1" t="s">
        <v>351</v>
      </c>
      <c r="B318" s="1"/>
      <c r="C318" s="233" t="e">
        <f>#REF!</f>
        <v>#REF!</v>
      </c>
      <c r="D318" s="224">
        <v>0</v>
      </c>
      <c r="E318" s="193"/>
      <c r="F318" s="193"/>
      <c r="G318" s="225" t="e">
        <f>#REF!</f>
        <v>#REF!</v>
      </c>
      <c r="H318" s="225">
        <v>0</v>
      </c>
      <c r="I318" s="193"/>
      <c r="J318" s="193"/>
      <c r="K318" s="225" t="e">
        <f>G318</f>
        <v>#REF!</v>
      </c>
      <c r="M318" s="328"/>
      <c r="N318" s="328"/>
      <c r="O318" s="171"/>
      <c r="P318" s="71"/>
      <c r="Q318" s="20"/>
      <c r="R318" s="20"/>
      <c r="S318" s="20"/>
      <c r="T318" s="20"/>
      <c r="U318" s="20"/>
      <c r="V318" s="20"/>
      <c r="W318" s="20"/>
      <c r="X318" s="20"/>
      <c r="Y318" s="20"/>
      <c r="Z318" s="20"/>
      <c r="AA318" s="20"/>
      <c r="AB318" s="20"/>
      <c r="AC318" s="20"/>
      <c r="AE318" s="81"/>
    </row>
    <row r="319" spans="1:31" ht="16.5" thickBot="1">
      <c r="A319" s="1" t="s">
        <v>370</v>
      </c>
      <c r="B319" s="1"/>
      <c r="C319" s="195" t="e">
        <f>SUM(C317:C318)</f>
        <v>#REF!</v>
      </c>
      <c r="D319" s="195">
        <f>SUM(D317:D318)</f>
        <v>1473957.9193898283</v>
      </c>
      <c r="E319" s="226"/>
      <c r="F319" s="227"/>
      <c r="G319" s="228" t="e">
        <f>G317+G318</f>
        <v>#REF!</v>
      </c>
      <c r="H319" s="228">
        <f>H317+H318</f>
        <v>150665</v>
      </c>
      <c r="I319" s="226"/>
      <c r="J319" s="229"/>
      <c r="K319" s="228" t="e">
        <f>K317+K318</f>
        <v>#REF!</v>
      </c>
      <c r="M319" s="295"/>
      <c r="N319" s="295"/>
      <c r="O319" s="354"/>
      <c r="P319" s="71"/>
      <c r="Q319" s="20"/>
      <c r="R319" s="20"/>
      <c r="S319" s="20"/>
      <c r="T319" s="20"/>
      <c r="U319" s="20"/>
      <c r="V319" s="20"/>
      <c r="W319" s="20"/>
      <c r="X319" s="20"/>
      <c r="Y319" s="20"/>
      <c r="Z319" s="20"/>
      <c r="AA319" s="20"/>
      <c r="AB319" s="20"/>
      <c r="AC319" s="20"/>
      <c r="AE319" s="81"/>
    </row>
    <row r="320" spans="1:31" ht="16.5" thickTop="1">
      <c r="A320" s="1"/>
      <c r="B320" s="1"/>
      <c r="C320" s="21"/>
      <c r="D320" s="21"/>
      <c r="E320" s="221"/>
      <c r="F320" s="2"/>
      <c r="G320" s="2"/>
      <c r="H320" s="2"/>
      <c r="I320" s="221"/>
      <c r="J320" s="1"/>
      <c r="K320" s="2" t="s">
        <v>31</v>
      </c>
      <c r="M320" s="20"/>
      <c r="N320" s="20"/>
      <c r="O320" s="71"/>
      <c r="P320" s="71"/>
      <c r="Q320" s="20"/>
      <c r="R320" s="20"/>
      <c r="S320" s="20"/>
      <c r="T320" s="20"/>
      <c r="U320" s="20"/>
      <c r="V320" s="20"/>
      <c r="W320" s="20"/>
      <c r="X320" s="20"/>
      <c r="Y320" s="20"/>
      <c r="Z320" s="20"/>
      <c r="AA320" s="20"/>
      <c r="AB320" s="20"/>
      <c r="AC320" s="20"/>
      <c r="AE320" s="81"/>
    </row>
    <row r="321" spans="1:31">
      <c r="A321" s="177" t="s">
        <v>403</v>
      </c>
      <c r="B321" s="1"/>
      <c r="C321" s="1"/>
      <c r="D321" s="1"/>
      <c r="E321" s="2"/>
      <c r="F321" s="2"/>
      <c r="G321" s="1" t="s">
        <v>31</v>
      </c>
      <c r="H321" s="1"/>
      <c r="I321" s="2"/>
      <c r="J321" s="1"/>
      <c r="K321" s="1"/>
      <c r="M321" s="20"/>
      <c r="N321" s="20"/>
      <c r="O321" s="71"/>
      <c r="P321" s="71"/>
      <c r="Q321" s="20"/>
      <c r="R321" s="20"/>
      <c r="S321" s="20"/>
      <c r="T321" s="20"/>
      <c r="U321" s="20"/>
      <c r="V321" s="20"/>
      <c r="W321" s="20"/>
      <c r="X321" s="20"/>
      <c r="Y321" s="20"/>
      <c r="Z321" s="20"/>
      <c r="AA321" s="20"/>
      <c r="AB321" s="20"/>
      <c r="AC321" s="20"/>
      <c r="AE321" s="81"/>
    </row>
    <row r="322" spans="1:31">
      <c r="A322" s="1" t="s">
        <v>402</v>
      </c>
      <c r="B322" s="1"/>
      <c r="C322" s="1"/>
      <c r="D322" s="1"/>
      <c r="E322" s="2"/>
      <c r="F322" s="2"/>
      <c r="G322" s="1"/>
      <c r="H322" s="1"/>
      <c r="I322" s="2"/>
      <c r="J322" s="1"/>
      <c r="K322" s="1"/>
      <c r="M322" s="20"/>
      <c r="N322" s="20"/>
      <c r="O322" s="71"/>
      <c r="P322" s="71"/>
      <c r="Q322" s="20"/>
      <c r="R322" s="20"/>
      <c r="S322" s="20"/>
      <c r="T322" s="20"/>
      <c r="U322" s="20"/>
      <c r="V322" s="20"/>
      <c r="W322" s="20"/>
      <c r="X322" s="20"/>
      <c r="Y322" s="20"/>
      <c r="Z322" s="20"/>
      <c r="AA322" s="20"/>
      <c r="AB322" s="20"/>
      <c r="AC322" s="20"/>
      <c r="AE322" s="81"/>
    </row>
    <row r="323" spans="1:31">
      <c r="A323" s="1"/>
      <c r="B323" s="1"/>
      <c r="C323" s="1"/>
      <c r="D323" s="1"/>
      <c r="E323" s="2"/>
      <c r="F323" s="2"/>
      <c r="G323" s="1"/>
      <c r="H323" s="1"/>
      <c r="I323" s="2"/>
      <c r="J323" s="1"/>
      <c r="K323" s="1"/>
      <c r="M323" s="20"/>
      <c r="N323" s="20"/>
      <c r="O323" s="71"/>
      <c r="P323" s="71"/>
      <c r="Q323" s="20"/>
      <c r="R323" s="20"/>
      <c r="S323" s="20"/>
      <c r="T323" s="20"/>
      <c r="U323" s="20"/>
      <c r="V323" s="20"/>
      <c r="W323" s="20"/>
      <c r="X323" s="20"/>
      <c r="Y323" s="20"/>
      <c r="Z323" s="20"/>
      <c r="AA323" s="20"/>
      <c r="AB323" s="20"/>
      <c r="AC323" s="20"/>
      <c r="AE323" s="81"/>
    </row>
    <row r="324" spans="1:31">
      <c r="A324" s="1" t="s">
        <v>381</v>
      </c>
      <c r="B324" s="1"/>
      <c r="C324" s="203"/>
      <c r="D324" s="203"/>
      <c r="E324" s="2"/>
      <c r="F324" s="2"/>
      <c r="G324" s="1"/>
      <c r="H324" s="1"/>
      <c r="I324" s="2"/>
      <c r="J324" s="1"/>
      <c r="K324" s="1"/>
      <c r="M324" s="20"/>
      <c r="N324" s="20"/>
      <c r="O324" s="71"/>
      <c r="P324" s="71"/>
      <c r="Q324" s="20"/>
      <c r="R324" s="20"/>
      <c r="S324" s="20"/>
      <c r="T324" s="20"/>
      <c r="U324" s="20"/>
      <c r="V324" s="20"/>
      <c r="W324" s="20"/>
      <c r="X324" s="20"/>
      <c r="Y324" s="20"/>
      <c r="Z324" s="20"/>
      <c r="AA324" s="20"/>
      <c r="AB324" s="20"/>
      <c r="AC324" s="20"/>
      <c r="AE324" s="81"/>
    </row>
    <row r="325" spans="1:31">
      <c r="A325" s="1" t="s">
        <v>404</v>
      </c>
      <c r="B325" s="1"/>
      <c r="C325" s="203">
        <v>516</v>
      </c>
      <c r="D325" s="203">
        <f>ROUND((D329/C329)*C325,0)</f>
        <v>516</v>
      </c>
      <c r="E325" s="182">
        <f>$E$153</f>
        <v>7.53</v>
      </c>
      <c r="F325" s="205"/>
      <c r="G325" s="2">
        <f>ROUND(E325*$C325,0)</f>
        <v>3885</v>
      </c>
      <c r="H325" s="2">
        <f>ROUND(E325*$D325,0)</f>
        <v>3885</v>
      </c>
      <c r="I325" s="182">
        <f>$I$153</f>
        <v>8</v>
      </c>
      <c r="J325" s="207"/>
      <c r="K325" s="2">
        <f>ROUND(I325*$C325,0)</f>
        <v>4128</v>
      </c>
      <c r="M325" s="20"/>
      <c r="N325" s="20"/>
      <c r="O325" s="71"/>
      <c r="P325" s="71"/>
      <c r="Q325" s="20"/>
      <c r="R325" s="20"/>
      <c r="S325" s="20"/>
      <c r="T325" s="20"/>
      <c r="U325" s="20"/>
      <c r="V325" s="20"/>
      <c r="W325" s="20"/>
      <c r="X325" s="20"/>
      <c r="Y325" s="20"/>
      <c r="Z325" s="20"/>
      <c r="AA325" s="20"/>
      <c r="AB325" s="20"/>
      <c r="AC325" s="20"/>
      <c r="AE325" s="81"/>
    </row>
    <row r="326" spans="1:31">
      <c r="A326" s="1" t="s">
        <v>379</v>
      </c>
      <c r="B326" s="1"/>
      <c r="C326" s="203">
        <v>0</v>
      </c>
      <c r="D326" s="203">
        <v>0</v>
      </c>
      <c r="E326" s="182">
        <f>$E$154</f>
        <v>11.18</v>
      </c>
      <c r="F326" s="208"/>
      <c r="G326" s="2">
        <f>ROUND(E326*$C326,0)</f>
        <v>0</v>
      </c>
      <c r="H326" s="2">
        <f>ROUND(E326*$D326,0)</f>
        <v>0</v>
      </c>
      <c r="I326" s="182">
        <f>$I$154</f>
        <v>11.877822045152721</v>
      </c>
      <c r="J326" s="209"/>
      <c r="K326" s="2">
        <f>ROUND(I326*$C326,0)</f>
        <v>0</v>
      </c>
      <c r="M326" s="20"/>
      <c r="N326" s="20"/>
      <c r="O326" s="71"/>
      <c r="P326" s="71"/>
      <c r="Q326" s="20"/>
      <c r="R326" s="20"/>
      <c r="S326" s="20"/>
      <c r="T326" s="20"/>
      <c r="U326" s="20"/>
      <c r="V326" s="20"/>
      <c r="W326" s="20"/>
      <c r="X326" s="20"/>
      <c r="Y326" s="20"/>
      <c r="Z326" s="20"/>
      <c r="AA326" s="20"/>
      <c r="AB326" s="20"/>
      <c r="AC326" s="20"/>
      <c r="AE326" s="81"/>
    </row>
    <row r="327" spans="1:31">
      <c r="A327" s="1" t="s">
        <v>380</v>
      </c>
      <c r="B327" s="1"/>
      <c r="C327" s="203">
        <v>0</v>
      </c>
      <c r="D327" s="203">
        <v>0</v>
      </c>
      <c r="E327" s="182">
        <f>$E$155</f>
        <v>0.78</v>
      </c>
      <c r="F327" s="208"/>
      <c r="G327" s="2">
        <f>ROUND(E327*$C327,0)</f>
        <v>0</v>
      </c>
      <c r="H327" s="2">
        <f>ROUND(E327*$D327,0)</f>
        <v>0</v>
      </c>
      <c r="I327" s="182">
        <f>$I$155</f>
        <v>0.83</v>
      </c>
      <c r="J327" s="209"/>
      <c r="K327" s="2">
        <f>ROUND(I327*$C327,0)</f>
        <v>0</v>
      </c>
      <c r="M327" s="20"/>
      <c r="N327" s="20"/>
      <c r="O327" s="71"/>
      <c r="P327" s="71"/>
      <c r="Q327" s="20"/>
      <c r="R327" s="20"/>
      <c r="S327" s="20"/>
      <c r="T327" s="20"/>
      <c r="U327" s="20"/>
      <c r="V327" s="20"/>
      <c r="W327" s="20"/>
      <c r="X327" s="20"/>
      <c r="Y327" s="20"/>
      <c r="Z327" s="20"/>
      <c r="AA327" s="20"/>
      <c r="AB327" s="20"/>
      <c r="AC327" s="20"/>
      <c r="AE327" s="81"/>
    </row>
    <row r="328" spans="1:31">
      <c r="A328" s="1" t="s">
        <v>382</v>
      </c>
      <c r="B328" s="1"/>
      <c r="C328" s="203">
        <f>SUM(C325:C326)</f>
        <v>516</v>
      </c>
      <c r="D328" s="203">
        <f>ROUND((D329/C329)*C328,0)</f>
        <v>516</v>
      </c>
      <c r="E328" s="182"/>
      <c r="F328" s="205"/>
      <c r="G328" s="2"/>
      <c r="H328" s="2"/>
      <c r="I328" s="182"/>
      <c r="J328" s="207"/>
      <c r="K328" s="2"/>
      <c r="M328" s="20"/>
      <c r="N328" s="20"/>
      <c r="O328" s="71"/>
      <c r="P328" s="71"/>
      <c r="Q328" s="20"/>
      <c r="R328" s="20"/>
      <c r="S328" s="20"/>
      <c r="T328" s="20"/>
      <c r="U328" s="20"/>
      <c r="V328" s="20"/>
      <c r="W328" s="20"/>
      <c r="X328" s="20"/>
      <c r="Y328" s="20"/>
      <c r="Z328" s="20"/>
      <c r="AA328" s="20"/>
      <c r="AB328" s="20"/>
      <c r="AC328" s="20"/>
      <c r="AE328" s="81"/>
    </row>
    <row r="329" spans="1:31">
      <c r="A329" s="1" t="s">
        <v>350</v>
      </c>
      <c r="B329" s="1"/>
      <c r="C329" s="203">
        <v>48</v>
      </c>
      <c r="D329" s="203">
        <v>48</v>
      </c>
      <c r="E329" s="182"/>
      <c r="F329" s="205"/>
      <c r="G329" s="2"/>
      <c r="H329" s="2"/>
      <c r="I329" s="182"/>
      <c r="J329" s="207"/>
      <c r="K329" s="2"/>
      <c r="M329" s="20"/>
      <c r="N329" s="20"/>
      <c r="O329" s="71"/>
      <c r="P329" s="71"/>
      <c r="Q329" s="20"/>
      <c r="R329" s="20"/>
      <c r="S329" s="20"/>
      <c r="T329" s="20"/>
      <c r="U329" s="20"/>
      <c r="V329" s="20"/>
      <c r="W329" s="20"/>
      <c r="X329" s="20"/>
      <c r="Y329" s="20"/>
      <c r="Z329" s="20"/>
      <c r="AA329" s="20"/>
      <c r="AB329" s="20"/>
      <c r="AC329" s="20"/>
      <c r="AE329" s="81"/>
    </row>
    <row r="330" spans="1:31">
      <c r="A330" s="1" t="s">
        <v>383</v>
      </c>
      <c r="B330" s="1"/>
      <c r="C330" s="203">
        <v>0</v>
      </c>
      <c r="D330" s="203">
        <v>0</v>
      </c>
      <c r="E330" s="210">
        <f>$E$158</f>
        <v>2.88</v>
      </c>
      <c r="F330" s="207"/>
      <c r="G330" s="2">
        <f>ROUND(E330*$C330,0)</f>
        <v>0</v>
      </c>
      <c r="H330" s="2">
        <f>ROUND(E330*$D330,0)</f>
        <v>0</v>
      </c>
      <c r="I330" s="210">
        <f>$I$158</f>
        <v>2.97</v>
      </c>
      <c r="J330" s="207"/>
      <c r="K330" s="2">
        <f>ROUND(I330*$C330,0)</f>
        <v>0</v>
      </c>
      <c r="M330" s="20"/>
      <c r="N330" s="20"/>
      <c r="O330" s="71"/>
      <c r="P330" s="71"/>
      <c r="Q330" s="20"/>
      <c r="R330" s="20"/>
      <c r="S330" s="20"/>
      <c r="T330" s="20"/>
      <c r="U330" s="20"/>
      <c r="V330" s="20"/>
      <c r="W330" s="20"/>
      <c r="X330" s="20"/>
      <c r="Y330" s="20"/>
      <c r="Z330" s="20"/>
      <c r="AA330" s="20"/>
      <c r="AB330" s="20"/>
      <c r="AC330" s="20"/>
      <c r="AE330" s="81"/>
    </row>
    <row r="331" spans="1:31">
      <c r="A331" s="1" t="s">
        <v>385</v>
      </c>
      <c r="B331" s="1"/>
      <c r="C331" s="203">
        <f>33312</f>
        <v>33312</v>
      </c>
      <c r="D331" s="203">
        <f>ROUND(($D$346/'Billing Determinants (2)'!$C$346)*C331,0)</f>
        <v>38537</v>
      </c>
      <c r="E331" s="183">
        <f>$E$159</f>
        <v>8.0890000000000004</v>
      </c>
      <c r="F331" s="207" t="s">
        <v>362</v>
      </c>
      <c r="G331" s="2">
        <f>ROUND(E331*$C331/100,0)</f>
        <v>2695</v>
      </c>
      <c r="H331" s="2">
        <f>ROUND(E331*$D331/100,0)</f>
        <v>3117</v>
      </c>
      <c r="I331" s="183">
        <f>$I$159</f>
        <v>8.8109999999999999</v>
      </c>
      <c r="J331" s="207" t="s">
        <v>362</v>
      </c>
      <c r="K331" s="2">
        <f>ROUND(I331*$C331/100,0)</f>
        <v>2935</v>
      </c>
      <c r="M331" s="20"/>
      <c r="N331" s="20"/>
      <c r="O331" s="71"/>
      <c r="P331" s="71"/>
      <c r="Q331" s="20"/>
      <c r="R331" s="20"/>
      <c r="S331" s="20"/>
      <c r="T331" s="20"/>
      <c r="U331" s="20"/>
      <c r="V331" s="20"/>
      <c r="W331" s="20"/>
      <c r="X331" s="20"/>
      <c r="Y331" s="20"/>
      <c r="Z331" s="20"/>
      <c r="AA331" s="20"/>
      <c r="AB331" s="20"/>
      <c r="AC331" s="20"/>
      <c r="AE331" s="81"/>
    </row>
    <row r="332" spans="1:31">
      <c r="A332" s="1" t="s">
        <v>386</v>
      </c>
      <c r="B332" s="1"/>
      <c r="C332" s="203">
        <v>0</v>
      </c>
      <c r="D332" s="203">
        <v>0</v>
      </c>
      <c r="E332" s="183">
        <f>$E$160</f>
        <v>5.5839999999999996</v>
      </c>
      <c r="F332" s="207" t="s">
        <v>362</v>
      </c>
      <c r="G332" s="2">
        <f>ROUND(E332*$C332/100,0)</f>
        <v>0</v>
      </c>
      <c r="H332" s="2">
        <f>ROUND(E332*$D332/100,0)</f>
        <v>0</v>
      </c>
      <c r="I332" s="183">
        <f>$I$160</f>
        <v>6.0819999999999999</v>
      </c>
      <c r="J332" s="207" t="s">
        <v>362</v>
      </c>
      <c r="K332" s="2">
        <f>ROUND(I332*$C332/100,0)</f>
        <v>0</v>
      </c>
      <c r="M332" s="20"/>
      <c r="N332" s="20"/>
      <c r="O332" s="71"/>
      <c r="P332" s="71"/>
      <c r="Q332" s="20"/>
      <c r="R332" s="20"/>
      <c r="S332" s="20"/>
      <c r="T332" s="20"/>
      <c r="U332" s="20"/>
      <c r="V332" s="20"/>
      <c r="W332" s="20"/>
      <c r="X332" s="20"/>
      <c r="Y332" s="20"/>
      <c r="Z332" s="20"/>
      <c r="AA332" s="20"/>
      <c r="AB332" s="20"/>
      <c r="AC332" s="20"/>
      <c r="AE332" s="81"/>
    </row>
    <row r="333" spans="1:31">
      <c r="A333" s="1" t="s">
        <v>387</v>
      </c>
      <c r="B333" s="1"/>
      <c r="C333" s="203">
        <f>33312-C331</f>
        <v>0</v>
      </c>
      <c r="D333" s="203">
        <v>0</v>
      </c>
      <c r="E333" s="183">
        <f>$E$161</f>
        <v>4.8099999999999996</v>
      </c>
      <c r="F333" s="207" t="s">
        <v>362</v>
      </c>
      <c r="G333" s="2">
        <f>ROUND(E333*$C333/100,0)</f>
        <v>0</v>
      </c>
      <c r="H333" s="2">
        <f>ROUND(E333*$D333/100,0)</f>
        <v>0</v>
      </c>
      <c r="I333" s="183">
        <f>$I$161</f>
        <v>5.24</v>
      </c>
      <c r="J333" s="207" t="s">
        <v>362</v>
      </c>
      <c r="K333" s="2">
        <f>ROUND(I333*$C333/100,0)</f>
        <v>0</v>
      </c>
      <c r="M333" s="20"/>
      <c r="N333" s="20"/>
      <c r="O333" s="71"/>
      <c r="P333" s="71"/>
      <c r="Q333" s="20"/>
      <c r="R333" s="20"/>
      <c r="S333" s="20"/>
      <c r="T333" s="20"/>
      <c r="U333" s="20"/>
      <c r="V333" s="20"/>
      <c r="W333" s="20"/>
      <c r="X333" s="20"/>
      <c r="Y333" s="20"/>
      <c r="Z333" s="20"/>
      <c r="AA333" s="20"/>
      <c r="AB333" s="20"/>
      <c r="AC333" s="20"/>
      <c r="AE333" s="81"/>
    </row>
    <row r="334" spans="1:31">
      <c r="A334" s="1" t="s">
        <v>388</v>
      </c>
      <c r="B334" s="1"/>
      <c r="C334" s="203">
        <v>0</v>
      </c>
      <c r="D334" s="203">
        <v>0</v>
      </c>
      <c r="E334" s="214">
        <f>$E$162</f>
        <v>45</v>
      </c>
      <c r="F334" s="205" t="s">
        <v>362</v>
      </c>
      <c r="G334" s="2">
        <f>ROUND(E334*$C334/100,0)</f>
        <v>0</v>
      </c>
      <c r="H334" s="2">
        <f>ROUND(E334*$D334/100,0)</f>
        <v>0</v>
      </c>
      <c r="I334" s="214">
        <f>$I$162</f>
        <v>50</v>
      </c>
      <c r="J334" s="207" t="s">
        <v>362</v>
      </c>
      <c r="K334" s="2">
        <f>ROUND(I334*$C334/100,0)</f>
        <v>0</v>
      </c>
      <c r="M334" s="20"/>
      <c r="N334" s="20"/>
      <c r="O334" s="71"/>
      <c r="P334" s="71"/>
      <c r="Q334" s="20"/>
      <c r="R334" s="20"/>
      <c r="S334" s="20"/>
      <c r="T334" s="20"/>
      <c r="U334" s="20"/>
      <c r="V334" s="20"/>
      <c r="W334" s="20"/>
      <c r="X334" s="20"/>
      <c r="Y334" s="20"/>
      <c r="Z334" s="20"/>
      <c r="AA334" s="20"/>
      <c r="AB334" s="20"/>
      <c r="AC334" s="20"/>
      <c r="AE334" s="81"/>
    </row>
    <row r="335" spans="1:31">
      <c r="A335" s="215" t="s">
        <v>389</v>
      </c>
      <c r="B335" s="1"/>
      <c r="C335" s="203"/>
      <c r="D335" s="203"/>
      <c r="E335" s="216">
        <v>-0.01</v>
      </c>
      <c r="F335" s="205"/>
      <c r="G335" s="2"/>
      <c r="H335" s="2"/>
      <c r="I335" s="216">
        <v>-0.01</v>
      </c>
      <c r="J335" s="207"/>
      <c r="K335" s="2"/>
      <c r="M335" s="20"/>
      <c r="N335" s="20"/>
      <c r="O335" s="71"/>
      <c r="P335" s="71"/>
      <c r="Q335" s="20"/>
      <c r="R335" s="20"/>
      <c r="S335" s="20"/>
      <c r="T335" s="20"/>
      <c r="U335" s="20"/>
      <c r="V335" s="20"/>
      <c r="W335" s="20"/>
      <c r="X335" s="20"/>
      <c r="Y335" s="20"/>
      <c r="Z335" s="20"/>
      <c r="AA335" s="20"/>
      <c r="AB335" s="20"/>
      <c r="AC335" s="20"/>
      <c r="AE335" s="81"/>
    </row>
    <row r="336" spans="1:31">
      <c r="A336" s="1" t="s">
        <v>378</v>
      </c>
      <c r="B336" s="1"/>
      <c r="C336" s="203">
        <v>0</v>
      </c>
      <c r="D336" s="203">
        <v>0</v>
      </c>
      <c r="E336" s="218">
        <f>E325</f>
        <v>7.53</v>
      </c>
      <c r="F336" s="205"/>
      <c r="G336" s="2">
        <f>-ROUND(E336*$C336/100,0)</f>
        <v>0</v>
      </c>
      <c r="H336" s="2">
        <f t="shared" ref="H336:H345" si="31">-ROUND(E336*$D336/100,0)</f>
        <v>0</v>
      </c>
      <c r="I336" s="218">
        <f>I325</f>
        <v>8</v>
      </c>
      <c r="J336" s="205"/>
      <c r="K336" s="2">
        <f>-ROUND(I336*$C336/100,0)</f>
        <v>0</v>
      </c>
      <c r="M336" s="20"/>
      <c r="N336" s="20"/>
      <c r="O336" s="71"/>
      <c r="P336" s="71"/>
      <c r="Q336" s="20"/>
      <c r="R336" s="20"/>
      <c r="S336" s="20"/>
      <c r="T336" s="20"/>
      <c r="U336" s="20"/>
      <c r="V336" s="20"/>
      <c r="W336" s="20"/>
      <c r="X336" s="20"/>
      <c r="Y336" s="20"/>
      <c r="Z336" s="20"/>
      <c r="AA336" s="20"/>
      <c r="AB336" s="20"/>
      <c r="AC336" s="20"/>
      <c r="AE336" s="81"/>
    </row>
    <row r="337" spans="1:31">
      <c r="A337" s="1" t="s">
        <v>379</v>
      </c>
      <c r="B337" s="1"/>
      <c r="C337" s="203">
        <v>0</v>
      </c>
      <c r="D337" s="203">
        <v>0</v>
      </c>
      <c r="E337" s="218">
        <f>E326</f>
        <v>11.18</v>
      </c>
      <c r="F337" s="205"/>
      <c r="G337" s="2">
        <f>-ROUND(E337*$C337/100,0)</f>
        <v>0</v>
      </c>
      <c r="H337" s="2">
        <f t="shared" si="31"/>
        <v>0</v>
      </c>
      <c r="I337" s="218">
        <f>I326</f>
        <v>11.877822045152721</v>
      </c>
      <c r="J337" s="205"/>
      <c r="K337" s="2">
        <f>-ROUND(I337*$C337/100,0)</f>
        <v>0</v>
      </c>
      <c r="M337" s="20"/>
      <c r="N337" s="20"/>
      <c r="O337" s="71"/>
      <c r="P337" s="71"/>
      <c r="Q337" s="20"/>
      <c r="R337" s="20"/>
      <c r="S337" s="20"/>
      <c r="T337" s="20"/>
      <c r="U337" s="20"/>
      <c r="V337" s="20"/>
      <c r="W337" s="20"/>
      <c r="X337" s="20"/>
      <c r="Y337" s="20"/>
      <c r="Z337" s="20"/>
      <c r="AA337" s="20"/>
      <c r="AB337" s="20"/>
      <c r="AC337" s="20"/>
      <c r="AE337" s="81"/>
    </row>
    <row r="338" spans="1:31">
      <c r="A338" s="1" t="s">
        <v>390</v>
      </c>
      <c r="B338" s="1"/>
      <c r="C338" s="203">
        <v>0</v>
      </c>
      <c r="D338" s="203">
        <v>0</v>
      </c>
      <c r="E338" s="218">
        <f>E327</f>
        <v>0.78</v>
      </c>
      <c r="F338" s="205"/>
      <c r="G338" s="2">
        <f>-ROUND(E338*$C338/100,0)</f>
        <v>0</v>
      </c>
      <c r="H338" s="2">
        <f t="shared" si="31"/>
        <v>0</v>
      </c>
      <c r="I338" s="218">
        <f>I327</f>
        <v>0.83</v>
      </c>
      <c r="J338" s="205"/>
      <c r="K338" s="2">
        <f>-ROUND(I338*$C338/100,0)</f>
        <v>0</v>
      </c>
      <c r="M338" s="20"/>
      <c r="N338" s="20"/>
      <c r="O338" s="71"/>
      <c r="P338" s="71"/>
      <c r="Q338" s="20"/>
      <c r="R338" s="20"/>
      <c r="S338" s="20"/>
      <c r="T338" s="20"/>
      <c r="U338" s="20"/>
      <c r="V338" s="20"/>
      <c r="W338" s="20"/>
      <c r="X338" s="20"/>
      <c r="Y338" s="20"/>
      <c r="Z338" s="20"/>
      <c r="AA338" s="20"/>
      <c r="AB338" s="20"/>
      <c r="AC338" s="20"/>
      <c r="AE338" s="81"/>
    </row>
    <row r="339" spans="1:31">
      <c r="A339" s="1" t="s">
        <v>391</v>
      </c>
      <c r="B339" s="1"/>
      <c r="C339" s="203">
        <v>0</v>
      </c>
      <c r="D339" s="203">
        <v>0</v>
      </c>
      <c r="E339" s="218">
        <f>E330</f>
        <v>2.88</v>
      </c>
      <c r="F339" s="207"/>
      <c r="G339" s="2">
        <f>-ROUND(E339*$C339/100,0)</f>
        <v>0</v>
      </c>
      <c r="H339" s="2">
        <f t="shared" si="31"/>
        <v>0</v>
      </c>
      <c r="I339" s="218">
        <f>I330</f>
        <v>2.97</v>
      </c>
      <c r="J339" s="207"/>
      <c r="K339" s="2">
        <f>-ROUND(I339*$C339/100,0)</f>
        <v>0</v>
      </c>
      <c r="M339" s="20"/>
      <c r="N339" s="20"/>
      <c r="O339" s="71"/>
      <c r="P339" s="71"/>
      <c r="Q339" s="20"/>
      <c r="R339" s="20"/>
      <c r="S339" s="20"/>
      <c r="T339" s="20"/>
      <c r="U339" s="20"/>
      <c r="V339" s="20"/>
      <c r="W339" s="20"/>
      <c r="X339" s="20"/>
      <c r="Y339" s="20"/>
      <c r="Z339" s="20"/>
      <c r="AA339" s="20"/>
      <c r="AB339" s="20"/>
      <c r="AC339" s="20"/>
      <c r="AE339" s="81"/>
    </row>
    <row r="340" spans="1:31">
      <c r="A340" s="1" t="s">
        <v>393</v>
      </c>
      <c r="B340" s="1"/>
      <c r="C340" s="203">
        <v>0</v>
      </c>
      <c r="D340" s="203">
        <v>0</v>
      </c>
      <c r="E340" s="219">
        <f>E331</f>
        <v>8.0890000000000004</v>
      </c>
      <c r="F340" s="207" t="s">
        <v>362</v>
      </c>
      <c r="G340" s="2">
        <f>ROUND(E340*$C340/100*E335,0)</f>
        <v>0</v>
      </c>
      <c r="H340" s="2">
        <f t="shared" si="31"/>
        <v>0</v>
      </c>
      <c r="I340" s="219">
        <f>I331</f>
        <v>8.8109999999999999</v>
      </c>
      <c r="J340" s="207" t="s">
        <v>362</v>
      </c>
      <c r="K340" s="2">
        <f>ROUND(I340*$C340/100*I335,0)</f>
        <v>0</v>
      </c>
      <c r="M340" s="20"/>
      <c r="N340" s="20"/>
      <c r="O340" s="71"/>
      <c r="P340" s="71"/>
      <c r="Q340" s="20"/>
      <c r="R340" s="20"/>
      <c r="S340" s="20"/>
      <c r="T340" s="20"/>
      <c r="U340" s="20"/>
      <c r="V340" s="20"/>
      <c r="W340" s="20"/>
      <c r="X340" s="20"/>
      <c r="Y340" s="20"/>
      <c r="Z340" s="20"/>
      <c r="AA340" s="20"/>
      <c r="AB340" s="20"/>
      <c r="AC340" s="20"/>
      <c r="AE340" s="81"/>
    </row>
    <row r="341" spans="1:31">
      <c r="A341" s="1" t="s">
        <v>386</v>
      </c>
      <c r="B341" s="1"/>
      <c r="C341" s="203">
        <v>0</v>
      </c>
      <c r="D341" s="203">
        <v>0</v>
      </c>
      <c r="E341" s="219">
        <f>E332</f>
        <v>5.5839999999999996</v>
      </c>
      <c r="F341" s="207" t="s">
        <v>362</v>
      </c>
      <c r="G341" s="2">
        <f>ROUND(E341*$C341/100*E335,0)</f>
        <v>0</v>
      </c>
      <c r="H341" s="2">
        <f t="shared" si="31"/>
        <v>0</v>
      </c>
      <c r="I341" s="219">
        <f>I332</f>
        <v>6.0819999999999999</v>
      </c>
      <c r="J341" s="207" t="s">
        <v>362</v>
      </c>
      <c r="K341" s="2">
        <f>ROUND(I341*$C341/100*I335,0)</f>
        <v>0</v>
      </c>
      <c r="M341" s="20"/>
      <c r="N341" s="20"/>
      <c r="O341" s="71"/>
      <c r="P341" s="71"/>
      <c r="Q341" s="20"/>
      <c r="R341" s="20"/>
      <c r="S341" s="20"/>
      <c r="T341" s="20"/>
      <c r="U341" s="20"/>
      <c r="V341" s="20"/>
      <c r="W341" s="20"/>
      <c r="X341" s="20"/>
      <c r="Y341" s="20"/>
      <c r="Z341" s="20"/>
      <c r="AA341" s="20"/>
      <c r="AB341" s="20"/>
      <c r="AC341" s="20"/>
      <c r="AE341" s="81"/>
    </row>
    <row r="342" spans="1:31">
      <c r="A342" s="1" t="s">
        <v>387</v>
      </c>
      <c r="B342" s="1"/>
      <c r="C342" s="203">
        <v>0</v>
      </c>
      <c r="D342" s="203">
        <v>0</v>
      </c>
      <c r="E342" s="219">
        <f>E333</f>
        <v>4.8099999999999996</v>
      </c>
      <c r="F342" s="207" t="s">
        <v>362</v>
      </c>
      <c r="G342" s="2">
        <f>ROUND(E342*$C342/100*E335,0)</f>
        <v>0</v>
      </c>
      <c r="H342" s="2">
        <f t="shared" si="31"/>
        <v>0</v>
      </c>
      <c r="I342" s="219">
        <f>I333</f>
        <v>5.24</v>
      </c>
      <c r="J342" s="207" t="s">
        <v>362</v>
      </c>
      <c r="K342" s="2">
        <f>ROUND(I342*$C342/100*I335,0)</f>
        <v>0</v>
      </c>
      <c r="M342" s="20"/>
      <c r="N342" s="20"/>
      <c r="O342" s="71"/>
      <c r="P342" s="71"/>
      <c r="Q342" s="20"/>
      <c r="R342" s="20"/>
      <c r="S342" s="20"/>
      <c r="T342" s="20"/>
      <c r="U342" s="20"/>
      <c r="V342" s="20"/>
      <c r="W342" s="20"/>
      <c r="X342" s="20"/>
      <c r="Y342" s="20"/>
      <c r="Z342" s="20"/>
      <c r="AA342" s="20"/>
      <c r="AB342" s="20"/>
      <c r="AC342" s="20"/>
      <c r="AE342" s="81"/>
    </row>
    <row r="343" spans="1:31">
      <c r="A343" s="1" t="s">
        <v>388</v>
      </c>
      <c r="B343" s="1"/>
      <c r="C343" s="203">
        <v>0</v>
      </c>
      <c r="D343" s="203">
        <v>0</v>
      </c>
      <c r="E343" s="220">
        <f>E334</f>
        <v>45</v>
      </c>
      <c r="F343" s="207" t="s">
        <v>362</v>
      </c>
      <c r="G343" s="2">
        <f>ROUND(E343*$C343/100*E335,0)</f>
        <v>0</v>
      </c>
      <c r="H343" s="2">
        <f t="shared" si="31"/>
        <v>0</v>
      </c>
      <c r="I343" s="220">
        <f>I334</f>
        <v>50</v>
      </c>
      <c r="J343" s="207" t="s">
        <v>362</v>
      </c>
      <c r="K343" s="2">
        <f>ROUND(I343*$C343/100*I335,0)</f>
        <v>0</v>
      </c>
      <c r="M343" s="20"/>
      <c r="N343" s="20"/>
      <c r="O343" s="71"/>
      <c r="P343" s="71"/>
      <c r="Q343" s="20"/>
      <c r="R343" s="20"/>
      <c r="S343" s="20"/>
      <c r="T343" s="20"/>
      <c r="U343" s="20"/>
      <c r="V343" s="20"/>
      <c r="W343" s="20"/>
      <c r="X343" s="20"/>
      <c r="Y343" s="20"/>
      <c r="Z343" s="20"/>
      <c r="AA343" s="20"/>
      <c r="AB343" s="20"/>
      <c r="AC343" s="20"/>
      <c r="AE343" s="81"/>
    </row>
    <row r="344" spans="1:31">
      <c r="A344" s="1" t="s">
        <v>395</v>
      </c>
      <c r="B344" s="1"/>
      <c r="C344" s="203">
        <v>0</v>
      </c>
      <c r="D344" s="203">
        <v>0</v>
      </c>
      <c r="E344" s="221">
        <f>$E$172</f>
        <v>60</v>
      </c>
      <c r="F344" s="205"/>
      <c r="G344" s="2">
        <f>ROUND(E344*$C344,0)</f>
        <v>0</v>
      </c>
      <c r="H344" s="2">
        <f t="shared" si="31"/>
        <v>0</v>
      </c>
      <c r="I344" s="221">
        <f>$I$172</f>
        <v>60</v>
      </c>
      <c r="J344" s="207"/>
      <c r="K344" s="2">
        <f>ROUND(I344*$C344,0)</f>
        <v>0</v>
      </c>
      <c r="M344" s="20"/>
      <c r="N344" s="20"/>
      <c r="O344" s="71"/>
      <c r="P344" s="71"/>
      <c r="Q344" s="20"/>
      <c r="R344" s="20"/>
      <c r="S344" s="20"/>
      <c r="T344" s="20"/>
      <c r="U344" s="20"/>
      <c r="V344" s="20"/>
      <c r="W344" s="20"/>
      <c r="X344" s="20"/>
      <c r="Y344" s="20"/>
      <c r="Z344" s="20"/>
      <c r="AA344" s="20"/>
      <c r="AB344" s="20"/>
      <c r="AC344" s="20"/>
      <c r="AE344" s="81"/>
    </row>
    <row r="345" spans="1:31">
      <c r="A345" s="1" t="s">
        <v>396</v>
      </c>
      <c r="B345" s="1"/>
      <c r="C345" s="203">
        <v>0</v>
      </c>
      <c r="D345" s="203">
        <v>0</v>
      </c>
      <c r="E345" s="223">
        <f>$E$173</f>
        <v>-30</v>
      </c>
      <c r="F345" s="205" t="s">
        <v>362</v>
      </c>
      <c r="G345" s="2">
        <f>ROUND(E345*$C345/100,0)</f>
        <v>0</v>
      </c>
      <c r="H345" s="2">
        <f t="shared" si="31"/>
        <v>0</v>
      </c>
      <c r="I345" s="223">
        <f>$I$173</f>
        <v>-30</v>
      </c>
      <c r="J345" s="207" t="s">
        <v>362</v>
      </c>
      <c r="K345" s="2">
        <f>ROUND(I345*$C345/100,0)</f>
        <v>0</v>
      </c>
      <c r="M345" s="20"/>
      <c r="N345" s="20"/>
      <c r="O345" s="71"/>
      <c r="P345" s="71"/>
      <c r="Q345" s="20"/>
      <c r="R345" s="20"/>
      <c r="S345" s="20"/>
      <c r="T345" s="20"/>
      <c r="U345" s="20"/>
      <c r="V345" s="20"/>
      <c r="W345" s="20"/>
      <c r="X345" s="20"/>
      <c r="Y345" s="20"/>
      <c r="Z345" s="20"/>
      <c r="AA345" s="20"/>
      <c r="AB345" s="20"/>
      <c r="AC345" s="20"/>
      <c r="AE345" s="81"/>
    </row>
    <row r="346" spans="1:31">
      <c r="A346" s="1" t="s">
        <v>369</v>
      </c>
      <c r="B346" s="1"/>
      <c r="C346" s="203">
        <f>SUM(C331:C333)</f>
        <v>33312</v>
      </c>
      <c r="D346" s="203">
        <v>38537</v>
      </c>
      <c r="E346" s="214"/>
      <c r="F346" s="2"/>
      <c r="G346" s="2">
        <f>SUM(G325:G345)</f>
        <v>6580</v>
      </c>
      <c r="H346" s="2">
        <f>SUM(H325:H345)</f>
        <v>7002</v>
      </c>
      <c r="I346" s="214"/>
      <c r="J346" s="207"/>
      <c r="K346" s="2">
        <f>SUM(K325:K345)</f>
        <v>7063</v>
      </c>
      <c r="M346" s="20"/>
      <c r="N346" s="20"/>
      <c r="O346" s="71"/>
      <c r="P346" s="71"/>
      <c r="Q346" s="20"/>
      <c r="R346" s="20"/>
      <c r="S346" s="20"/>
      <c r="T346" s="20"/>
      <c r="U346" s="20"/>
      <c r="V346" s="20"/>
      <c r="W346" s="20"/>
      <c r="X346" s="20"/>
      <c r="Y346" s="20"/>
      <c r="Z346" s="20"/>
      <c r="AA346" s="20"/>
      <c r="AB346" s="20"/>
      <c r="AC346" s="20"/>
      <c r="AE346" s="81"/>
    </row>
    <row r="347" spans="1:31">
      <c r="A347" s="1" t="s">
        <v>351</v>
      </c>
      <c r="B347" s="1"/>
      <c r="C347" s="233" t="e">
        <f>#REF!</f>
        <v>#REF!</v>
      </c>
      <c r="D347" s="224">
        <v>0</v>
      </c>
      <c r="E347" s="193"/>
      <c r="F347" s="193"/>
      <c r="G347" s="225" t="e">
        <f>#REF!</f>
        <v>#REF!</v>
      </c>
      <c r="H347" s="225">
        <v>0</v>
      </c>
      <c r="I347" s="193"/>
      <c r="J347" s="193"/>
      <c r="K347" s="225" t="e">
        <f>G347</f>
        <v>#REF!</v>
      </c>
      <c r="M347" s="328"/>
      <c r="N347" s="328"/>
      <c r="O347" s="171"/>
      <c r="P347" s="71"/>
      <c r="Q347" s="20"/>
      <c r="R347" s="20"/>
      <c r="S347" s="20"/>
      <c r="T347" s="20"/>
      <c r="U347" s="20"/>
      <c r="V347" s="20"/>
      <c r="W347" s="20"/>
      <c r="X347" s="20"/>
      <c r="Y347" s="20"/>
      <c r="Z347" s="20"/>
      <c r="AA347" s="20"/>
      <c r="AB347" s="20"/>
      <c r="AC347" s="20"/>
      <c r="AE347" s="81"/>
    </row>
    <row r="348" spans="1:31" ht="16.5" thickBot="1">
      <c r="A348" s="1" t="s">
        <v>370</v>
      </c>
      <c r="B348" s="1"/>
      <c r="C348" s="195" t="e">
        <f>SUM(C346:C347)</f>
        <v>#REF!</v>
      </c>
      <c r="D348" s="195">
        <f>SUM(D346:D347)</f>
        <v>38537</v>
      </c>
      <c r="E348" s="226"/>
      <c r="F348" s="227"/>
      <c r="G348" s="228" t="e">
        <f>G346+G347</f>
        <v>#REF!</v>
      </c>
      <c r="H348" s="228">
        <f>H346+H347</f>
        <v>7002</v>
      </c>
      <c r="I348" s="226"/>
      <c r="J348" s="229"/>
      <c r="K348" s="228" t="e">
        <f>K346+K347</f>
        <v>#REF!</v>
      </c>
      <c r="M348" s="295"/>
      <c r="N348" s="295"/>
      <c r="O348" s="354"/>
      <c r="P348" s="71"/>
      <c r="Q348" s="20"/>
      <c r="R348" s="20"/>
      <c r="S348" s="20"/>
      <c r="T348" s="20"/>
      <c r="U348" s="20"/>
      <c r="V348" s="20"/>
      <c r="W348" s="20"/>
      <c r="X348" s="20"/>
      <c r="Y348" s="20"/>
      <c r="Z348" s="20"/>
      <c r="AA348" s="20"/>
      <c r="AB348" s="20"/>
      <c r="AC348" s="20"/>
      <c r="AE348" s="81"/>
    </row>
    <row r="349" spans="1:31" ht="16.5" thickTop="1">
      <c r="A349" s="1"/>
      <c r="B349" s="1"/>
      <c r="C349" s="21"/>
      <c r="D349" s="21"/>
      <c r="E349" s="221"/>
      <c r="F349" s="2"/>
      <c r="G349" s="2"/>
      <c r="H349" s="2"/>
      <c r="I349" s="237" t="s">
        <v>31</v>
      </c>
      <c r="J349" s="1"/>
      <c r="K349" s="2" t="s">
        <v>31</v>
      </c>
      <c r="M349" s="20"/>
      <c r="N349" s="20"/>
      <c r="O349" s="71"/>
      <c r="P349" s="71"/>
      <c r="Q349" s="20"/>
      <c r="R349" s="20"/>
      <c r="S349" s="20"/>
      <c r="T349" s="20"/>
      <c r="U349" s="20"/>
      <c r="V349" s="20"/>
      <c r="W349" s="20"/>
      <c r="X349" s="20"/>
      <c r="Y349" s="20"/>
      <c r="Z349" s="20"/>
      <c r="AA349" s="20"/>
      <c r="AB349" s="20"/>
      <c r="AC349" s="20"/>
      <c r="AE349" s="81"/>
    </row>
    <row r="350" spans="1:31">
      <c r="A350" s="1"/>
      <c r="B350" s="1"/>
      <c r="C350" s="21"/>
      <c r="D350" s="21"/>
      <c r="E350" s="221"/>
      <c r="F350" s="2"/>
      <c r="G350" s="2"/>
      <c r="H350" s="2"/>
      <c r="I350" s="237" t="s">
        <v>31</v>
      </c>
      <c r="J350" s="1"/>
      <c r="K350" s="2" t="s">
        <v>31</v>
      </c>
      <c r="M350" s="20"/>
      <c r="N350" s="20"/>
      <c r="O350" s="71"/>
      <c r="P350" s="71"/>
      <c r="Q350" s="20"/>
      <c r="R350" s="20"/>
      <c r="S350" s="20"/>
      <c r="T350" s="20"/>
      <c r="U350" s="20"/>
      <c r="V350" s="20"/>
      <c r="W350" s="20"/>
      <c r="X350" s="20"/>
      <c r="Y350" s="20"/>
      <c r="Z350" s="20"/>
      <c r="AA350" s="20"/>
      <c r="AB350" s="20"/>
      <c r="AC350" s="20"/>
      <c r="AE350" s="81"/>
    </row>
    <row r="351" spans="1:31">
      <c r="A351" s="177" t="s">
        <v>405</v>
      </c>
      <c r="B351" s="1"/>
      <c r="C351" s="1"/>
      <c r="D351" s="1"/>
      <c r="E351" s="2"/>
      <c r="F351" s="2"/>
      <c r="G351" s="1" t="s">
        <v>31</v>
      </c>
      <c r="H351" s="1"/>
      <c r="I351" s="2"/>
      <c r="J351" s="1"/>
      <c r="K351" s="1"/>
      <c r="M351" s="20"/>
      <c r="N351" s="20"/>
      <c r="O351" s="71"/>
      <c r="P351" s="71"/>
      <c r="Q351" s="20"/>
      <c r="R351" s="20"/>
      <c r="S351" s="20"/>
      <c r="T351" s="20"/>
      <c r="U351" s="20"/>
      <c r="V351" s="20"/>
      <c r="W351" s="20"/>
      <c r="X351" s="20"/>
      <c r="Y351" s="20"/>
      <c r="Z351" s="20"/>
      <c r="AA351" s="20"/>
      <c r="AB351" s="20"/>
      <c r="AC351" s="20"/>
      <c r="AE351" s="81"/>
    </row>
    <row r="352" spans="1:31">
      <c r="A352" s="1" t="s">
        <v>398</v>
      </c>
      <c r="B352" s="1"/>
      <c r="C352" s="1"/>
      <c r="D352" s="1"/>
      <c r="E352" s="2"/>
      <c r="F352" s="2"/>
      <c r="G352" s="1"/>
      <c r="H352" s="1"/>
      <c r="I352" s="2"/>
      <c r="J352" s="1"/>
      <c r="K352" s="1"/>
      <c r="M352" s="20"/>
      <c r="N352" s="20"/>
      <c r="O352" s="71"/>
      <c r="P352" s="71"/>
      <c r="Q352" s="20"/>
      <c r="R352" s="20"/>
      <c r="S352" s="20"/>
      <c r="T352" s="20"/>
      <c r="U352" s="20"/>
      <c r="V352" s="20"/>
      <c r="W352" s="20"/>
      <c r="X352" s="20"/>
      <c r="Y352" s="20"/>
      <c r="Z352" s="20"/>
      <c r="AA352" s="20"/>
      <c r="AB352" s="20"/>
      <c r="AC352" s="20"/>
    </row>
    <row r="353" spans="1:29">
      <c r="A353" s="1" t="s">
        <v>406</v>
      </c>
      <c r="B353" s="1"/>
      <c r="C353" s="1"/>
      <c r="D353" s="1"/>
      <c r="E353" s="2"/>
      <c r="F353" s="2"/>
      <c r="G353" s="1"/>
      <c r="H353" s="1"/>
      <c r="I353" s="2"/>
      <c r="J353" s="1"/>
      <c r="K353" s="1"/>
      <c r="M353" s="20"/>
      <c r="N353" s="20"/>
      <c r="O353" s="71"/>
      <c r="P353" s="71"/>
      <c r="Q353" s="20"/>
      <c r="R353" s="20"/>
      <c r="S353" s="20"/>
      <c r="T353" s="20"/>
      <c r="U353" s="20"/>
      <c r="V353" s="20"/>
      <c r="W353" s="20"/>
      <c r="X353" s="20"/>
      <c r="Y353" s="20"/>
      <c r="Z353" s="20"/>
      <c r="AA353" s="20"/>
      <c r="AB353" s="20"/>
      <c r="AC353" s="20"/>
    </row>
    <row r="354" spans="1:29">
      <c r="A354" s="1" t="s">
        <v>381</v>
      </c>
      <c r="B354" s="1"/>
      <c r="C354" s="203"/>
      <c r="D354" s="203"/>
      <c r="E354" s="2"/>
      <c r="F354" s="2"/>
      <c r="G354" s="1"/>
      <c r="H354" s="1"/>
      <c r="I354" s="2"/>
      <c r="J354" s="1"/>
      <c r="K354" s="1"/>
      <c r="M354" s="20"/>
      <c r="N354" s="20"/>
      <c r="O354" s="71"/>
      <c r="P354" s="71"/>
      <c r="Q354" s="20"/>
      <c r="R354" s="20"/>
      <c r="S354" s="20"/>
      <c r="T354" s="20"/>
      <c r="U354" s="20"/>
      <c r="V354" s="20"/>
      <c r="W354" s="20"/>
      <c r="X354" s="20"/>
      <c r="Y354" s="20"/>
      <c r="Z354" s="20"/>
      <c r="AA354" s="20"/>
      <c r="AB354" s="20"/>
      <c r="AC354" s="20"/>
    </row>
    <row r="355" spans="1:29">
      <c r="A355" s="1" t="s">
        <v>378</v>
      </c>
      <c r="B355" s="1"/>
      <c r="C355" s="203">
        <f t="shared" ref="C355:D364" si="32">C384+C413</f>
        <v>1</v>
      </c>
      <c r="D355" s="203">
        <f t="shared" si="32"/>
        <v>1</v>
      </c>
      <c r="E355" s="182">
        <f>$E$149</f>
        <v>90.36</v>
      </c>
      <c r="F355" s="205"/>
      <c r="G355" s="2">
        <f t="shared" ref="G355:H357" si="33">G384+G413</f>
        <v>90</v>
      </c>
      <c r="H355" s="2">
        <f t="shared" si="33"/>
        <v>90</v>
      </c>
      <c r="I355" s="182">
        <f>$I$149</f>
        <v>96</v>
      </c>
      <c r="J355" s="207"/>
      <c r="K355" s="2">
        <f>K384+K413</f>
        <v>96</v>
      </c>
      <c r="M355" s="20"/>
      <c r="N355" s="20"/>
      <c r="O355" s="71"/>
      <c r="P355" s="71"/>
      <c r="Q355" s="20"/>
      <c r="R355" s="20"/>
      <c r="S355" s="20"/>
      <c r="T355" s="20"/>
      <c r="U355" s="20"/>
      <c r="V355" s="20"/>
      <c r="W355" s="20"/>
      <c r="X355" s="20"/>
      <c r="Y355" s="20"/>
      <c r="Z355" s="20"/>
      <c r="AA355" s="20"/>
      <c r="AB355" s="20"/>
      <c r="AC355" s="20"/>
    </row>
    <row r="356" spans="1:29">
      <c r="A356" s="1" t="s">
        <v>379</v>
      </c>
      <c r="B356" s="1"/>
      <c r="C356" s="203">
        <f t="shared" si="32"/>
        <v>107</v>
      </c>
      <c r="D356" s="203">
        <f t="shared" si="32"/>
        <v>109.09090909090909</v>
      </c>
      <c r="E356" s="182">
        <f>$E$150</f>
        <v>134.16</v>
      </c>
      <c r="F356" s="208"/>
      <c r="G356" s="2">
        <f t="shared" si="33"/>
        <v>14355</v>
      </c>
      <c r="H356" s="2">
        <f t="shared" si="33"/>
        <v>14635</v>
      </c>
      <c r="I356" s="182">
        <f>$I$150</f>
        <v>142.53386454183266</v>
      </c>
      <c r="J356" s="209"/>
      <c r="K356" s="2">
        <f>K385+K414</f>
        <v>15252</v>
      </c>
      <c r="M356" s="20"/>
      <c r="N356" s="20"/>
      <c r="O356" s="71"/>
      <c r="P356" s="71"/>
      <c r="Q356" s="20"/>
      <c r="R356" s="20"/>
      <c r="S356" s="20"/>
      <c r="T356" s="20"/>
      <c r="U356" s="20"/>
      <c r="V356" s="20"/>
      <c r="W356" s="20"/>
      <c r="X356" s="20"/>
      <c r="Y356" s="20"/>
      <c r="Z356" s="20"/>
      <c r="AA356" s="20"/>
      <c r="AB356" s="20"/>
      <c r="AC356" s="20"/>
    </row>
    <row r="357" spans="1:29">
      <c r="A357" s="1" t="s">
        <v>380</v>
      </c>
      <c r="B357" s="1"/>
      <c r="C357" s="203">
        <f t="shared" si="32"/>
        <v>4321</v>
      </c>
      <c r="D357" s="203">
        <f t="shared" si="32"/>
        <v>1974</v>
      </c>
      <c r="E357" s="182">
        <f>$E$151</f>
        <v>9.36</v>
      </c>
      <c r="F357" s="208"/>
      <c r="G357" s="2">
        <f t="shared" si="33"/>
        <v>40445</v>
      </c>
      <c r="H357" s="2">
        <f t="shared" si="33"/>
        <v>18476</v>
      </c>
      <c r="I357" s="182">
        <f>$I$151</f>
        <v>9.94</v>
      </c>
      <c r="J357" s="209"/>
      <c r="K357" s="2">
        <f>K386+K415</f>
        <v>42951</v>
      </c>
      <c r="M357" s="20"/>
      <c r="N357" s="20"/>
      <c r="O357" s="71"/>
      <c r="P357" s="71"/>
      <c r="Q357" s="20"/>
      <c r="R357" s="20"/>
      <c r="S357" s="20"/>
      <c r="T357" s="20"/>
      <c r="U357" s="20"/>
      <c r="V357" s="20"/>
      <c r="W357" s="20"/>
      <c r="X357" s="20"/>
      <c r="Y357" s="20"/>
      <c r="Z357" s="20"/>
      <c r="AA357" s="20"/>
      <c r="AB357" s="20"/>
      <c r="AC357" s="20"/>
    </row>
    <row r="358" spans="1:29">
      <c r="A358" s="1" t="s">
        <v>382</v>
      </c>
      <c r="B358" s="1"/>
      <c r="C358" s="203">
        <f t="shared" si="32"/>
        <v>108</v>
      </c>
      <c r="D358" s="203">
        <f t="shared" si="32"/>
        <v>109.84090909090909</v>
      </c>
      <c r="E358" s="182"/>
      <c r="F358" s="205"/>
      <c r="G358" s="2"/>
      <c r="H358" s="2"/>
      <c r="I358" s="182"/>
      <c r="J358" s="207"/>
      <c r="K358" s="2"/>
      <c r="M358" s="20"/>
      <c r="N358" s="20"/>
      <c r="O358" s="71"/>
      <c r="P358" s="71"/>
      <c r="Q358" s="20"/>
      <c r="R358" s="20"/>
      <c r="S358" s="20"/>
      <c r="T358" s="20"/>
      <c r="U358" s="20"/>
      <c r="V358" s="20"/>
      <c r="W358" s="20"/>
      <c r="X358" s="20"/>
      <c r="Y358" s="20"/>
      <c r="Z358" s="20"/>
      <c r="AA358" s="20"/>
      <c r="AB358" s="20"/>
      <c r="AC358" s="20"/>
    </row>
    <row r="359" spans="1:29">
      <c r="A359" s="1" t="s">
        <v>407</v>
      </c>
      <c r="B359" s="1"/>
      <c r="C359" s="203">
        <f t="shared" si="32"/>
        <v>1258</v>
      </c>
      <c r="D359" s="203">
        <f t="shared" si="32"/>
        <v>1279</v>
      </c>
      <c r="E359" s="182"/>
      <c r="F359" s="205"/>
      <c r="G359" s="2"/>
      <c r="H359" s="2"/>
      <c r="I359" s="182"/>
      <c r="J359" s="207"/>
      <c r="K359" s="2"/>
      <c r="M359" s="20"/>
      <c r="N359" s="20"/>
      <c r="O359" s="71"/>
      <c r="P359" s="71"/>
      <c r="Q359" s="20"/>
      <c r="R359" s="20"/>
      <c r="S359" s="20"/>
      <c r="T359" s="20"/>
      <c r="U359" s="20"/>
      <c r="V359" s="20"/>
      <c r="W359" s="20"/>
      <c r="X359" s="20"/>
      <c r="Y359" s="20"/>
      <c r="Z359" s="20"/>
      <c r="AA359" s="20"/>
      <c r="AB359" s="20"/>
      <c r="AC359" s="20"/>
    </row>
    <row r="360" spans="1:29">
      <c r="A360" s="1" t="s">
        <v>383</v>
      </c>
      <c r="B360" s="1"/>
      <c r="C360" s="203">
        <f t="shared" si="32"/>
        <v>11960</v>
      </c>
      <c r="D360" s="203">
        <f t="shared" si="32"/>
        <v>5447</v>
      </c>
      <c r="E360" s="210">
        <f>$E$158</f>
        <v>2.88</v>
      </c>
      <c r="F360" s="207"/>
      <c r="G360" s="2">
        <f t="shared" ref="G360:H364" si="34">G389+G418</f>
        <v>34445</v>
      </c>
      <c r="H360" s="2">
        <f t="shared" si="34"/>
        <v>15687</v>
      </c>
      <c r="I360" s="210">
        <f>$I$158</f>
        <v>2.97</v>
      </c>
      <c r="J360" s="207"/>
      <c r="K360" s="2">
        <f>K389+K418</f>
        <v>35521</v>
      </c>
      <c r="M360" s="20"/>
      <c r="N360" s="20"/>
      <c r="O360" s="71"/>
      <c r="P360" s="71"/>
      <c r="Q360" s="20"/>
      <c r="R360" s="20"/>
      <c r="S360" s="20"/>
      <c r="T360" s="20"/>
      <c r="U360" s="20"/>
      <c r="V360" s="20"/>
      <c r="W360" s="20"/>
      <c r="X360" s="20"/>
      <c r="Y360" s="20"/>
      <c r="Z360" s="20"/>
      <c r="AA360" s="20"/>
      <c r="AB360" s="20"/>
      <c r="AC360" s="20"/>
    </row>
    <row r="361" spans="1:29">
      <c r="A361" s="1" t="s">
        <v>385</v>
      </c>
      <c r="B361" s="1"/>
      <c r="C361" s="203">
        <f t="shared" si="32"/>
        <v>212823</v>
      </c>
      <c r="D361" s="203">
        <f t="shared" si="32"/>
        <v>96758</v>
      </c>
      <c r="E361" s="183">
        <f>$E$159</f>
        <v>8.0890000000000004</v>
      </c>
      <c r="F361" s="207" t="s">
        <v>362</v>
      </c>
      <c r="G361" s="2">
        <f t="shared" si="34"/>
        <v>17216</v>
      </c>
      <c r="H361" s="2">
        <f t="shared" si="34"/>
        <v>7826</v>
      </c>
      <c r="I361" s="183">
        <f>$I$159</f>
        <v>8.8109999999999999</v>
      </c>
      <c r="J361" s="207" t="s">
        <v>362</v>
      </c>
      <c r="K361" s="2">
        <f>K390+K419</f>
        <v>18752</v>
      </c>
      <c r="M361" s="20"/>
      <c r="N361" s="20"/>
      <c r="O361" s="71"/>
      <c r="P361" s="71"/>
      <c r="Q361" s="20"/>
      <c r="R361" s="20"/>
      <c r="S361" s="20"/>
      <c r="T361" s="20"/>
      <c r="U361" s="20"/>
      <c r="V361" s="20"/>
      <c r="W361" s="20"/>
      <c r="X361" s="20"/>
      <c r="Y361" s="20"/>
      <c r="Z361" s="20"/>
      <c r="AA361" s="20"/>
      <c r="AB361" s="20"/>
      <c r="AC361" s="20"/>
    </row>
    <row r="362" spans="1:29">
      <c r="A362" s="1" t="s">
        <v>386</v>
      </c>
      <c r="B362" s="1"/>
      <c r="C362" s="203">
        <f t="shared" si="32"/>
        <v>426085</v>
      </c>
      <c r="D362" s="203">
        <f t="shared" si="32"/>
        <v>194138</v>
      </c>
      <c r="E362" s="183">
        <f>$E$189</f>
        <v>5.5839999999999996</v>
      </c>
      <c r="F362" s="207" t="s">
        <v>362</v>
      </c>
      <c r="G362" s="2">
        <f t="shared" si="34"/>
        <v>23793</v>
      </c>
      <c r="H362" s="2">
        <f t="shared" si="34"/>
        <v>10841</v>
      </c>
      <c r="I362" s="183">
        <f>$I$160</f>
        <v>6.0819999999999999</v>
      </c>
      <c r="J362" s="207" t="s">
        <v>362</v>
      </c>
      <c r="K362" s="2">
        <f>K391+K420</f>
        <v>25915</v>
      </c>
      <c r="M362" s="20"/>
      <c r="N362" s="20"/>
      <c r="O362" s="71"/>
      <c r="P362" s="71"/>
      <c r="Q362" s="20"/>
      <c r="R362" s="20"/>
      <c r="S362" s="20"/>
      <c r="T362" s="20"/>
      <c r="U362" s="20"/>
      <c r="V362" s="20"/>
      <c r="W362" s="20"/>
      <c r="X362" s="20"/>
      <c r="Y362" s="20"/>
      <c r="Z362" s="20"/>
      <c r="AA362" s="20"/>
      <c r="AB362" s="20"/>
      <c r="AC362" s="20"/>
    </row>
    <row r="363" spans="1:29">
      <c r="A363" s="1" t="s">
        <v>387</v>
      </c>
      <c r="B363" s="1"/>
      <c r="C363" s="203">
        <f t="shared" si="32"/>
        <v>20189</v>
      </c>
      <c r="D363" s="203">
        <f t="shared" si="32"/>
        <v>9223</v>
      </c>
      <c r="E363" s="183">
        <f>$E$161</f>
        <v>4.8099999999999996</v>
      </c>
      <c r="F363" s="207" t="s">
        <v>362</v>
      </c>
      <c r="G363" s="2">
        <f t="shared" si="34"/>
        <v>971</v>
      </c>
      <c r="H363" s="2">
        <f t="shared" si="34"/>
        <v>444</v>
      </c>
      <c r="I363" s="183">
        <f>$I$161</f>
        <v>5.24</v>
      </c>
      <c r="J363" s="207" t="s">
        <v>362</v>
      </c>
      <c r="K363" s="2">
        <f>K392+K421</f>
        <v>1058</v>
      </c>
      <c r="M363" s="20"/>
      <c r="N363" s="20"/>
      <c r="O363" s="71"/>
      <c r="P363" s="71"/>
      <c r="Q363" s="20"/>
      <c r="R363" s="20"/>
      <c r="S363" s="20"/>
      <c r="T363" s="20"/>
      <c r="U363" s="20"/>
      <c r="V363" s="20"/>
      <c r="W363" s="20"/>
      <c r="X363" s="20"/>
      <c r="Y363" s="20"/>
      <c r="Z363" s="20"/>
      <c r="AA363" s="20"/>
      <c r="AB363" s="20"/>
      <c r="AC363" s="20"/>
    </row>
    <row r="364" spans="1:29">
      <c r="A364" s="1" t="s">
        <v>388</v>
      </c>
      <c r="B364" s="1"/>
      <c r="C364" s="203">
        <f t="shared" si="32"/>
        <v>1540</v>
      </c>
      <c r="D364" s="203">
        <f t="shared" si="32"/>
        <v>704</v>
      </c>
      <c r="E364" s="214">
        <f>$E$162</f>
        <v>45</v>
      </c>
      <c r="F364" s="205" t="s">
        <v>362</v>
      </c>
      <c r="G364" s="2">
        <f t="shared" si="34"/>
        <v>693</v>
      </c>
      <c r="H364" s="2">
        <f t="shared" si="34"/>
        <v>317</v>
      </c>
      <c r="I364" s="214">
        <f>$I$162</f>
        <v>50</v>
      </c>
      <c r="J364" s="207" t="s">
        <v>362</v>
      </c>
      <c r="K364" s="2">
        <f>K393+K422</f>
        <v>770</v>
      </c>
      <c r="M364" s="20"/>
      <c r="N364" s="20"/>
      <c r="O364" s="71"/>
      <c r="P364" s="71"/>
      <c r="Q364" s="20"/>
      <c r="R364" s="20"/>
      <c r="S364" s="20"/>
      <c r="T364" s="20"/>
      <c r="U364" s="20"/>
      <c r="V364" s="20"/>
      <c r="W364" s="20"/>
      <c r="X364" s="20"/>
      <c r="Y364" s="20"/>
      <c r="Z364" s="20"/>
      <c r="AA364" s="20"/>
      <c r="AB364" s="20"/>
      <c r="AC364" s="20"/>
    </row>
    <row r="365" spans="1:29">
      <c r="A365" s="215" t="s">
        <v>389</v>
      </c>
      <c r="B365" s="1"/>
      <c r="C365" s="203"/>
      <c r="D365" s="203"/>
      <c r="E365" s="216">
        <v>-0.01</v>
      </c>
      <c r="F365" s="205"/>
      <c r="G365" s="2"/>
      <c r="H365" s="2"/>
      <c r="I365" s="216">
        <v>-0.01</v>
      </c>
      <c r="J365" s="207"/>
      <c r="K365" s="2"/>
      <c r="M365" s="20"/>
      <c r="N365" s="20"/>
      <c r="O365" s="71"/>
      <c r="P365" s="71"/>
      <c r="Q365" s="20"/>
      <c r="R365" s="20"/>
      <c r="S365" s="20"/>
      <c r="T365" s="20"/>
      <c r="U365" s="20"/>
      <c r="V365" s="20"/>
      <c r="W365" s="20"/>
      <c r="X365" s="20"/>
      <c r="Y365" s="20"/>
      <c r="Z365" s="20"/>
      <c r="AA365" s="20"/>
      <c r="AB365" s="20"/>
      <c r="AC365" s="20"/>
    </row>
    <row r="366" spans="1:29">
      <c r="A366" s="1" t="s">
        <v>378</v>
      </c>
      <c r="B366" s="1"/>
      <c r="C366" s="203">
        <v>0</v>
      </c>
      <c r="D366" s="203">
        <v>0</v>
      </c>
      <c r="E366" s="218">
        <f>E355</f>
        <v>90.36</v>
      </c>
      <c r="F366" s="205"/>
      <c r="G366" s="2">
        <f t="shared" ref="G366:H377" si="35">G395+G424</f>
        <v>0</v>
      </c>
      <c r="H366" s="2">
        <f t="shared" si="35"/>
        <v>0</v>
      </c>
      <c r="I366" s="218">
        <f>I355</f>
        <v>96</v>
      </c>
      <c r="J366" s="205"/>
      <c r="K366" s="2">
        <f t="shared" ref="K366:K376" si="36">K395+K424</f>
        <v>0</v>
      </c>
      <c r="M366" s="20"/>
      <c r="N366" s="20"/>
      <c r="O366" s="71"/>
      <c r="P366" s="71"/>
      <c r="Q366" s="20"/>
      <c r="R366" s="20"/>
      <c r="S366" s="20"/>
      <c r="T366" s="20"/>
      <c r="U366" s="20"/>
      <c r="V366" s="20"/>
      <c r="W366" s="20"/>
      <c r="X366" s="20"/>
      <c r="Y366" s="20"/>
      <c r="Z366" s="20"/>
      <c r="AA366" s="20"/>
      <c r="AB366" s="20"/>
      <c r="AC366" s="20"/>
    </row>
    <row r="367" spans="1:29">
      <c r="A367" s="1" t="s">
        <v>379</v>
      </c>
      <c r="B367" s="1"/>
      <c r="C367" s="203">
        <v>0</v>
      </c>
      <c r="D367" s="203">
        <v>0</v>
      </c>
      <c r="E367" s="218">
        <f>E356</f>
        <v>134.16</v>
      </c>
      <c r="F367" s="205"/>
      <c r="G367" s="2">
        <f t="shared" si="35"/>
        <v>0</v>
      </c>
      <c r="H367" s="2">
        <f t="shared" si="35"/>
        <v>0</v>
      </c>
      <c r="I367" s="218">
        <f>I356</f>
        <v>142.53386454183266</v>
      </c>
      <c r="J367" s="205"/>
      <c r="K367" s="2">
        <f t="shared" si="36"/>
        <v>0</v>
      </c>
      <c r="M367" s="20"/>
      <c r="N367" s="20"/>
      <c r="O367" s="71"/>
      <c r="P367" s="71"/>
      <c r="Q367" s="20"/>
      <c r="R367" s="20"/>
      <c r="S367" s="20"/>
      <c r="T367" s="20"/>
      <c r="U367" s="20"/>
      <c r="V367" s="20"/>
      <c r="W367" s="20"/>
      <c r="X367" s="20"/>
      <c r="Y367" s="20"/>
      <c r="Z367" s="20"/>
      <c r="AA367" s="20"/>
      <c r="AB367" s="20"/>
      <c r="AC367" s="20"/>
    </row>
    <row r="368" spans="1:29">
      <c r="A368" s="1" t="s">
        <v>390</v>
      </c>
      <c r="B368" s="1"/>
      <c r="C368" s="203">
        <v>0</v>
      </c>
      <c r="D368" s="203">
        <v>0</v>
      </c>
      <c r="E368" s="218">
        <f>E357</f>
        <v>9.36</v>
      </c>
      <c r="F368" s="205"/>
      <c r="G368" s="2">
        <f t="shared" si="35"/>
        <v>0</v>
      </c>
      <c r="H368" s="2">
        <f t="shared" si="35"/>
        <v>0</v>
      </c>
      <c r="I368" s="218">
        <f>I357</f>
        <v>9.94</v>
      </c>
      <c r="J368" s="205"/>
      <c r="K368" s="2">
        <f t="shared" si="36"/>
        <v>0</v>
      </c>
      <c r="M368" s="20"/>
      <c r="N368" s="20"/>
      <c r="O368" s="71"/>
      <c r="P368" s="71"/>
      <c r="Q368" s="20"/>
      <c r="R368" s="20"/>
      <c r="S368" s="20"/>
      <c r="T368" s="20"/>
      <c r="U368" s="20"/>
      <c r="V368" s="20"/>
      <c r="W368" s="20"/>
      <c r="X368" s="20"/>
      <c r="Y368" s="20"/>
      <c r="Z368" s="20"/>
      <c r="AA368" s="20"/>
      <c r="AB368" s="20"/>
      <c r="AC368" s="20"/>
    </row>
    <row r="369" spans="1:29">
      <c r="A369" s="1" t="s">
        <v>391</v>
      </c>
      <c r="B369" s="1"/>
      <c r="C369" s="203">
        <v>0</v>
      </c>
      <c r="D369" s="203">
        <v>0</v>
      </c>
      <c r="E369" s="218">
        <f>E360</f>
        <v>2.88</v>
      </c>
      <c r="F369" s="207"/>
      <c r="G369" s="2">
        <f t="shared" si="35"/>
        <v>0</v>
      </c>
      <c r="H369" s="2">
        <f t="shared" si="35"/>
        <v>0</v>
      </c>
      <c r="I369" s="218">
        <f>I360</f>
        <v>2.97</v>
      </c>
      <c r="J369" s="207"/>
      <c r="K369" s="2">
        <f t="shared" si="36"/>
        <v>0</v>
      </c>
      <c r="M369" s="20"/>
      <c r="N369" s="20"/>
      <c r="O369" s="71"/>
      <c r="P369" s="71"/>
      <c r="Q369" s="20"/>
      <c r="R369" s="20"/>
      <c r="S369" s="20"/>
      <c r="T369" s="20"/>
      <c r="U369" s="20"/>
      <c r="V369" s="20"/>
      <c r="W369" s="20"/>
      <c r="X369" s="20"/>
      <c r="Y369" s="20"/>
      <c r="Z369" s="20"/>
      <c r="AA369" s="20"/>
      <c r="AB369" s="20"/>
      <c r="AC369" s="20"/>
    </row>
    <row r="370" spans="1:29">
      <c r="A370" s="1" t="s">
        <v>393</v>
      </c>
      <c r="B370" s="1"/>
      <c r="C370" s="203">
        <v>0</v>
      </c>
      <c r="D370" s="203">
        <v>0</v>
      </c>
      <c r="E370" s="219">
        <f>E361</f>
        <v>8.0890000000000004</v>
      </c>
      <c r="F370" s="207" t="s">
        <v>362</v>
      </c>
      <c r="G370" s="2">
        <f t="shared" si="35"/>
        <v>0</v>
      </c>
      <c r="H370" s="2">
        <f t="shared" si="35"/>
        <v>0</v>
      </c>
      <c r="I370" s="219">
        <f>I361</f>
        <v>8.8109999999999999</v>
      </c>
      <c r="J370" s="207" t="s">
        <v>362</v>
      </c>
      <c r="K370" s="2">
        <f t="shared" si="36"/>
        <v>0</v>
      </c>
      <c r="M370" s="20"/>
      <c r="N370" s="20"/>
      <c r="O370" s="71"/>
      <c r="P370" s="71"/>
      <c r="Q370" s="20"/>
      <c r="R370" s="20"/>
      <c r="S370" s="20"/>
      <c r="T370" s="20"/>
      <c r="U370" s="20"/>
      <c r="V370" s="20"/>
      <c r="W370" s="20"/>
      <c r="X370" s="20"/>
      <c r="Y370" s="20"/>
      <c r="Z370" s="20"/>
      <c r="AA370" s="20"/>
      <c r="AB370" s="20"/>
      <c r="AC370" s="20"/>
    </row>
    <row r="371" spans="1:29">
      <c r="A371" s="1" t="s">
        <v>386</v>
      </c>
      <c r="B371" s="1"/>
      <c r="C371" s="203">
        <v>0</v>
      </c>
      <c r="D371" s="203">
        <v>0</v>
      </c>
      <c r="E371" s="219">
        <f>E362</f>
        <v>5.5839999999999996</v>
      </c>
      <c r="F371" s="207" t="s">
        <v>362</v>
      </c>
      <c r="G371" s="2">
        <f t="shared" si="35"/>
        <v>0</v>
      </c>
      <c r="H371" s="2">
        <f t="shared" si="35"/>
        <v>0</v>
      </c>
      <c r="I371" s="219">
        <f>I362</f>
        <v>6.0819999999999999</v>
      </c>
      <c r="J371" s="207" t="s">
        <v>362</v>
      </c>
      <c r="K371" s="2">
        <f t="shared" si="36"/>
        <v>0</v>
      </c>
      <c r="M371" s="20"/>
      <c r="N371" s="20"/>
      <c r="O371" s="71"/>
      <c r="P371" s="71"/>
      <c r="Q371" s="20"/>
      <c r="R371" s="20"/>
      <c r="S371" s="20"/>
      <c r="T371" s="20"/>
      <c r="U371" s="20"/>
      <c r="V371" s="20"/>
      <c r="W371" s="20"/>
      <c r="X371" s="20"/>
      <c r="Y371" s="20"/>
      <c r="Z371" s="20"/>
      <c r="AA371" s="20"/>
      <c r="AB371" s="20"/>
      <c r="AC371" s="20"/>
    </row>
    <row r="372" spans="1:29">
      <c r="A372" s="1" t="s">
        <v>387</v>
      </c>
      <c r="B372" s="1"/>
      <c r="C372" s="203">
        <v>0</v>
      </c>
      <c r="D372" s="203">
        <v>0</v>
      </c>
      <c r="E372" s="219">
        <f>E363</f>
        <v>4.8099999999999996</v>
      </c>
      <c r="F372" s="207" t="s">
        <v>362</v>
      </c>
      <c r="G372" s="2">
        <f t="shared" si="35"/>
        <v>0</v>
      </c>
      <c r="H372" s="2">
        <f t="shared" si="35"/>
        <v>0</v>
      </c>
      <c r="I372" s="219">
        <f>I363</f>
        <v>5.24</v>
      </c>
      <c r="J372" s="207" t="s">
        <v>362</v>
      </c>
      <c r="K372" s="2">
        <f t="shared" si="36"/>
        <v>0</v>
      </c>
      <c r="M372" s="20"/>
      <c r="N372" s="20"/>
      <c r="O372" s="71"/>
      <c r="P372" s="71"/>
      <c r="Q372" s="20"/>
      <c r="R372" s="20"/>
      <c r="S372" s="20"/>
      <c r="T372" s="20"/>
      <c r="U372" s="20"/>
      <c r="V372" s="20"/>
      <c r="W372" s="20"/>
      <c r="X372" s="20"/>
      <c r="Y372" s="20"/>
      <c r="Z372" s="20"/>
      <c r="AA372" s="20"/>
      <c r="AB372" s="20"/>
      <c r="AC372" s="20"/>
    </row>
    <row r="373" spans="1:29">
      <c r="A373" s="1" t="s">
        <v>388</v>
      </c>
      <c r="B373" s="1"/>
      <c r="C373" s="203">
        <v>0</v>
      </c>
      <c r="D373" s="203">
        <v>0</v>
      </c>
      <c r="E373" s="220">
        <f>E364</f>
        <v>45</v>
      </c>
      <c r="F373" s="207" t="s">
        <v>362</v>
      </c>
      <c r="G373" s="2">
        <f t="shared" si="35"/>
        <v>0</v>
      </c>
      <c r="H373" s="2">
        <f t="shared" si="35"/>
        <v>0</v>
      </c>
      <c r="I373" s="220">
        <f>I364</f>
        <v>50</v>
      </c>
      <c r="J373" s="207" t="s">
        <v>362</v>
      </c>
      <c r="K373" s="2">
        <f t="shared" si="36"/>
        <v>0</v>
      </c>
      <c r="M373" s="20"/>
      <c r="N373" s="20"/>
      <c r="O373" s="71"/>
      <c r="P373" s="71"/>
      <c r="Q373" s="20"/>
      <c r="R373" s="20"/>
      <c r="S373" s="20"/>
      <c r="T373" s="20"/>
      <c r="U373" s="20"/>
      <c r="V373" s="20"/>
      <c r="W373" s="20"/>
      <c r="X373" s="20"/>
      <c r="Y373" s="20"/>
      <c r="Z373" s="20"/>
      <c r="AA373" s="20"/>
      <c r="AB373" s="20"/>
      <c r="AC373" s="20"/>
    </row>
    <row r="374" spans="1:29">
      <c r="A374" s="1" t="s">
        <v>395</v>
      </c>
      <c r="B374" s="1"/>
      <c r="C374" s="203">
        <v>0</v>
      </c>
      <c r="D374" s="203">
        <v>0</v>
      </c>
      <c r="E374" s="221">
        <f>$E$172</f>
        <v>60</v>
      </c>
      <c r="F374" s="205"/>
      <c r="G374" s="2">
        <f t="shared" si="35"/>
        <v>0</v>
      </c>
      <c r="H374" s="2">
        <f t="shared" si="35"/>
        <v>0</v>
      </c>
      <c r="I374" s="221">
        <f>$I$172</f>
        <v>60</v>
      </c>
      <c r="J374" s="207"/>
      <c r="K374" s="2">
        <f t="shared" si="36"/>
        <v>0</v>
      </c>
      <c r="M374" s="20"/>
      <c r="N374" s="20"/>
      <c r="O374" s="71"/>
      <c r="P374" s="71"/>
      <c r="Q374" s="20"/>
      <c r="R374" s="20"/>
      <c r="S374" s="20"/>
      <c r="T374" s="20"/>
      <c r="U374" s="20"/>
      <c r="V374" s="20"/>
      <c r="W374" s="20"/>
      <c r="X374" s="20"/>
      <c r="Y374" s="20"/>
      <c r="Z374" s="20"/>
      <c r="AA374" s="20"/>
      <c r="AB374" s="20"/>
      <c r="AC374" s="20"/>
    </row>
    <row r="375" spans="1:29">
      <c r="A375" s="1" t="s">
        <v>396</v>
      </c>
      <c r="B375" s="1"/>
      <c r="C375" s="203">
        <v>0</v>
      </c>
      <c r="D375" s="203">
        <v>0</v>
      </c>
      <c r="E375" s="223">
        <f>$E$173</f>
        <v>-30</v>
      </c>
      <c r="F375" s="205" t="s">
        <v>362</v>
      </c>
      <c r="G375" s="2">
        <f t="shared" si="35"/>
        <v>0</v>
      </c>
      <c r="H375" s="2">
        <f t="shared" si="35"/>
        <v>0</v>
      </c>
      <c r="I375" s="223">
        <f>$I$173</f>
        <v>-30</v>
      </c>
      <c r="J375" s="207" t="s">
        <v>362</v>
      </c>
      <c r="K375" s="2">
        <f t="shared" si="36"/>
        <v>0</v>
      </c>
      <c r="M375" s="20"/>
      <c r="N375" s="20"/>
      <c r="O375" s="71"/>
      <c r="P375" s="71"/>
      <c r="Q375" s="20"/>
      <c r="R375" s="20"/>
      <c r="S375" s="20"/>
      <c r="T375" s="20"/>
      <c r="U375" s="20"/>
      <c r="V375" s="20"/>
      <c r="W375" s="20"/>
      <c r="X375" s="20"/>
      <c r="Y375" s="20"/>
      <c r="Z375" s="20"/>
      <c r="AA375" s="20"/>
      <c r="AB375" s="20"/>
      <c r="AC375" s="20"/>
    </row>
    <row r="376" spans="1:29">
      <c r="A376" s="1" t="s">
        <v>369</v>
      </c>
      <c r="B376" s="1"/>
      <c r="C376" s="203">
        <f>C405+C434</f>
        <v>659097</v>
      </c>
      <c r="D376" s="203">
        <f>D405+D434</f>
        <v>300118.64975971833</v>
      </c>
      <c r="E376" s="214"/>
      <c r="F376" s="2"/>
      <c r="G376" s="2">
        <f t="shared" si="35"/>
        <v>132008</v>
      </c>
      <c r="H376" s="2">
        <f t="shared" si="35"/>
        <v>68316</v>
      </c>
      <c r="I376" s="2"/>
      <c r="J376" s="207"/>
      <c r="K376" s="2">
        <f t="shared" si="36"/>
        <v>140315</v>
      </c>
      <c r="M376" s="20"/>
      <c r="N376" s="20"/>
      <c r="O376" s="71"/>
      <c r="P376" s="71"/>
      <c r="Q376" s="20"/>
      <c r="R376" s="20"/>
      <c r="S376" s="20"/>
      <c r="T376" s="20"/>
      <c r="U376" s="20"/>
      <c r="V376" s="20"/>
      <c r="W376" s="20"/>
      <c r="X376" s="20"/>
      <c r="Y376" s="20"/>
      <c r="Z376" s="20"/>
      <c r="AA376" s="20"/>
      <c r="AB376" s="20"/>
      <c r="AC376" s="20"/>
    </row>
    <row r="377" spans="1:29">
      <c r="A377" s="1" t="s">
        <v>351</v>
      </c>
      <c r="B377" s="1"/>
      <c r="C377" s="224" t="e">
        <f>C406+C435</f>
        <v>#REF!</v>
      </c>
      <c r="D377" s="224">
        <f>D406+D435</f>
        <v>0</v>
      </c>
      <c r="E377" s="193"/>
      <c r="F377" s="193"/>
      <c r="G377" s="225" t="e">
        <f t="shared" si="35"/>
        <v>#REF!</v>
      </c>
      <c r="H377" s="225">
        <f t="shared" si="35"/>
        <v>0</v>
      </c>
      <c r="I377" s="193"/>
      <c r="J377" s="193"/>
      <c r="K377" s="225" t="e">
        <f>G377</f>
        <v>#REF!</v>
      </c>
      <c r="M377" s="328"/>
      <c r="N377" s="328"/>
      <c r="O377" s="171"/>
      <c r="P377" s="71"/>
      <c r="Q377" s="20"/>
      <c r="R377" s="20"/>
      <c r="S377" s="20"/>
      <c r="T377" s="20"/>
      <c r="U377" s="20"/>
      <c r="V377" s="20"/>
      <c r="W377" s="20"/>
      <c r="X377" s="20"/>
      <c r="Y377" s="20"/>
      <c r="Z377" s="20"/>
      <c r="AA377" s="20"/>
      <c r="AB377" s="20"/>
      <c r="AC377" s="20"/>
    </row>
    <row r="378" spans="1:29" ht="16.5" thickBot="1">
      <c r="A378" s="1" t="s">
        <v>370</v>
      </c>
      <c r="B378" s="1"/>
      <c r="C378" s="195" t="e">
        <f>SUM(C376:C377)</f>
        <v>#REF!</v>
      </c>
      <c r="D378" s="195">
        <f>SUM(D376:D377)</f>
        <v>300118.64975971833</v>
      </c>
      <c r="E378" s="226"/>
      <c r="F378" s="227"/>
      <c r="G378" s="228" t="e">
        <f>G376+G377</f>
        <v>#REF!</v>
      </c>
      <c r="H378" s="228">
        <f>H376+H377</f>
        <v>68316</v>
      </c>
      <c r="I378" s="226"/>
      <c r="J378" s="229"/>
      <c r="K378" s="228" t="e">
        <f>K376+K377</f>
        <v>#REF!</v>
      </c>
      <c r="M378" s="295"/>
      <c r="N378" s="295"/>
      <c r="O378" s="354"/>
      <c r="P378" s="71"/>
      <c r="Q378" s="20"/>
      <c r="R378" s="20"/>
      <c r="S378" s="20"/>
      <c r="T378" s="20"/>
      <c r="U378" s="20"/>
      <c r="V378" s="20"/>
      <c r="W378" s="20"/>
      <c r="X378" s="20"/>
      <c r="Y378" s="20"/>
      <c r="Z378" s="20"/>
      <c r="AA378" s="20"/>
      <c r="AB378" s="20"/>
      <c r="AC378" s="20"/>
    </row>
    <row r="379" spans="1:29" ht="16.5" thickTop="1">
      <c r="A379" s="1"/>
      <c r="B379" s="1"/>
      <c r="C379" s="21"/>
      <c r="D379" s="21"/>
      <c r="E379" s="221"/>
      <c r="F379" s="2"/>
      <c r="G379" s="2"/>
      <c r="H379" s="2"/>
      <c r="I379" s="237" t="s">
        <v>31</v>
      </c>
      <c r="J379" s="1"/>
      <c r="K379" s="2" t="s">
        <v>31</v>
      </c>
      <c r="M379" s="20"/>
      <c r="N379" s="20"/>
      <c r="O379" s="71"/>
      <c r="P379" s="71"/>
      <c r="Q379" s="20"/>
      <c r="R379" s="20"/>
      <c r="S379" s="20"/>
      <c r="T379" s="20"/>
      <c r="U379" s="20"/>
      <c r="V379" s="20"/>
      <c r="W379" s="20"/>
      <c r="X379" s="20"/>
      <c r="Y379" s="20"/>
      <c r="Z379" s="20"/>
      <c r="AA379" s="20"/>
      <c r="AB379" s="20"/>
      <c r="AC379" s="20"/>
    </row>
    <row r="380" spans="1:29">
      <c r="A380" s="177" t="s">
        <v>405</v>
      </c>
      <c r="B380" s="1"/>
      <c r="C380" s="1"/>
      <c r="D380" s="1"/>
      <c r="E380" s="2"/>
      <c r="F380" s="2"/>
      <c r="G380" s="1" t="s">
        <v>31</v>
      </c>
      <c r="H380" s="1"/>
      <c r="I380" s="2"/>
      <c r="J380" s="1"/>
      <c r="K380" s="1"/>
      <c r="M380" s="20"/>
      <c r="N380" s="20"/>
      <c r="O380" s="71"/>
      <c r="P380" s="71"/>
      <c r="Q380" s="20"/>
      <c r="R380" s="20"/>
      <c r="S380" s="20"/>
      <c r="T380" s="20"/>
      <c r="U380" s="20"/>
      <c r="V380" s="20"/>
      <c r="W380" s="20"/>
      <c r="X380" s="20"/>
      <c r="Y380" s="20"/>
      <c r="Z380" s="20"/>
      <c r="AA380" s="20"/>
      <c r="AB380" s="20"/>
      <c r="AC380" s="20"/>
    </row>
    <row r="381" spans="1:29">
      <c r="A381" s="1" t="s">
        <v>399</v>
      </c>
      <c r="B381" s="1"/>
      <c r="C381" s="1"/>
      <c r="D381" s="1"/>
      <c r="E381" s="2"/>
      <c r="F381" s="2"/>
      <c r="G381" s="1"/>
      <c r="H381" s="1"/>
      <c r="I381" s="2"/>
      <c r="J381" s="1"/>
      <c r="K381" s="1"/>
      <c r="M381" s="20"/>
      <c r="N381" s="20"/>
      <c r="O381" s="71"/>
      <c r="P381" s="71"/>
      <c r="Q381" s="20"/>
      <c r="R381" s="20"/>
      <c r="S381" s="20"/>
      <c r="T381" s="20"/>
      <c r="U381" s="20"/>
      <c r="V381" s="20"/>
      <c r="W381" s="20"/>
      <c r="X381" s="20"/>
      <c r="Y381" s="20"/>
      <c r="Z381" s="20"/>
      <c r="AA381" s="20"/>
      <c r="AB381" s="20"/>
      <c r="AC381" s="20"/>
    </row>
    <row r="382" spans="1:29">
      <c r="A382" s="1" t="s">
        <v>406</v>
      </c>
      <c r="B382" s="1"/>
      <c r="C382" s="1"/>
      <c r="D382" s="1"/>
      <c r="E382" s="2"/>
      <c r="F382" s="2"/>
      <c r="G382" s="1"/>
      <c r="H382" s="1"/>
      <c r="I382" s="2"/>
      <c r="J382" s="1"/>
      <c r="K382" s="1"/>
      <c r="M382" s="20"/>
      <c r="N382" s="20"/>
      <c r="O382" s="71"/>
      <c r="P382" s="71"/>
      <c r="Q382" s="20"/>
      <c r="R382" s="20"/>
      <c r="S382" s="20"/>
      <c r="T382" s="20"/>
      <c r="U382" s="20"/>
      <c r="V382" s="20"/>
      <c r="W382" s="20"/>
      <c r="X382" s="20"/>
      <c r="Y382" s="20"/>
      <c r="Z382" s="20"/>
      <c r="AA382" s="20"/>
      <c r="AB382" s="20"/>
      <c r="AC382" s="20"/>
    </row>
    <row r="383" spans="1:29">
      <c r="A383" s="1" t="s">
        <v>381</v>
      </c>
      <c r="B383" s="1"/>
      <c r="C383" s="203"/>
      <c r="D383" s="203"/>
      <c r="E383" s="2"/>
      <c r="F383" s="2"/>
      <c r="G383" s="1"/>
      <c r="H383" s="1"/>
      <c r="I383" s="2"/>
      <c r="J383" s="1"/>
      <c r="K383" s="1"/>
      <c r="M383" s="20"/>
      <c r="N383" s="20"/>
      <c r="O383" s="71"/>
      <c r="P383" s="71"/>
      <c r="Q383" s="20"/>
      <c r="R383" s="20"/>
      <c r="S383" s="20"/>
      <c r="T383" s="20"/>
      <c r="U383" s="20"/>
      <c r="V383" s="20"/>
      <c r="W383" s="20"/>
      <c r="X383" s="20"/>
      <c r="Y383" s="20"/>
      <c r="Z383" s="20"/>
      <c r="AA383" s="20"/>
      <c r="AB383" s="20"/>
      <c r="AC383" s="20"/>
    </row>
    <row r="384" spans="1:29">
      <c r="A384" s="1" t="s">
        <v>378</v>
      </c>
      <c r="B384" s="1"/>
      <c r="C384" s="203">
        <v>1</v>
      </c>
      <c r="D384" s="203">
        <f>ROUND(($D$387/$C$387)*C384,0)</f>
        <v>1</v>
      </c>
      <c r="E384" s="182">
        <f>$E$149</f>
        <v>90.36</v>
      </c>
      <c r="F384" s="205"/>
      <c r="G384" s="2">
        <f>ROUND(E384*$C384,0)</f>
        <v>90</v>
      </c>
      <c r="H384" s="2">
        <f>ROUND(E384*$D384,0)</f>
        <v>90</v>
      </c>
      <c r="I384" s="182">
        <f>$I$149</f>
        <v>96</v>
      </c>
      <c r="J384" s="207"/>
      <c r="K384" s="2">
        <f>ROUND(I384*$C384,0)</f>
        <v>96</v>
      </c>
      <c r="M384" s="20"/>
      <c r="N384" s="20"/>
      <c r="O384" s="71"/>
      <c r="P384" s="71"/>
      <c r="Q384" s="20"/>
      <c r="R384" s="20"/>
      <c r="S384" s="20"/>
      <c r="T384" s="20"/>
      <c r="U384" s="20"/>
      <c r="V384" s="20"/>
      <c r="W384" s="20"/>
      <c r="X384" s="20"/>
      <c r="Y384" s="20"/>
      <c r="Z384" s="20"/>
      <c r="AA384" s="20"/>
      <c r="AB384" s="20"/>
      <c r="AC384" s="20"/>
    </row>
    <row r="385" spans="1:29">
      <c r="A385" s="1" t="s">
        <v>379</v>
      </c>
      <c r="B385" s="1"/>
      <c r="C385" s="203">
        <v>106</v>
      </c>
      <c r="D385" s="203">
        <f>ROUND(($D$387/$C$387)*C385,0)</f>
        <v>108</v>
      </c>
      <c r="E385" s="182">
        <f>$E$150</f>
        <v>134.16</v>
      </c>
      <c r="F385" s="208"/>
      <c r="G385" s="2">
        <f>ROUND(E385*$C385,0)</f>
        <v>14221</v>
      </c>
      <c r="H385" s="2">
        <f>ROUND(E385*$D385,0)</f>
        <v>14489</v>
      </c>
      <c r="I385" s="182">
        <f>$I$150</f>
        <v>142.53386454183266</v>
      </c>
      <c r="J385" s="209"/>
      <c r="K385" s="2">
        <f>ROUND(I385*$C385,0)</f>
        <v>15109</v>
      </c>
      <c r="M385" s="20"/>
      <c r="N385" s="20"/>
      <c r="O385" s="71"/>
      <c r="P385" s="71"/>
      <c r="Q385" s="20"/>
      <c r="R385" s="20"/>
      <c r="S385" s="20"/>
      <c r="T385" s="20"/>
      <c r="U385" s="20"/>
      <c r="V385" s="20"/>
      <c r="W385" s="20"/>
      <c r="X385" s="20"/>
      <c r="Y385" s="20"/>
      <c r="Z385" s="20"/>
      <c r="AA385" s="20"/>
      <c r="AB385" s="20"/>
      <c r="AC385" s="20"/>
    </row>
    <row r="386" spans="1:29">
      <c r="A386" s="1" t="s">
        <v>380</v>
      </c>
      <c r="B386" s="1"/>
      <c r="C386" s="203">
        <v>4246</v>
      </c>
      <c r="D386" s="203">
        <f>ROUND(($D$405/$C$405)*C386,0)</f>
        <v>1940</v>
      </c>
      <c r="E386" s="182">
        <f>$E$151</f>
        <v>9.36</v>
      </c>
      <c r="F386" s="208"/>
      <c r="G386" s="2">
        <f>ROUND(E386*$C386,0)</f>
        <v>39743</v>
      </c>
      <c r="H386" s="2">
        <f>ROUND(E386*$D386,0)</f>
        <v>18158</v>
      </c>
      <c r="I386" s="182">
        <f>$I$151</f>
        <v>9.94</v>
      </c>
      <c r="J386" s="209"/>
      <c r="K386" s="2">
        <f>ROUND(I386*$C386,0)</f>
        <v>42205</v>
      </c>
      <c r="M386" s="20"/>
      <c r="N386" s="20"/>
      <c r="O386" s="71"/>
      <c r="P386" s="71"/>
      <c r="Q386" s="20"/>
      <c r="R386" s="20"/>
      <c r="S386" s="20"/>
      <c r="T386" s="20"/>
      <c r="U386" s="20"/>
      <c r="V386" s="20"/>
      <c r="W386" s="20"/>
      <c r="X386" s="20"/>
      <c r="Y386" s="20"/>
      <c r="Z386" s="20"/>
      <c r="AA386" s="20"/>
      <c r="AB386" s="20"/>
      <c r="AC386" s="20"/>
    </row>
    <row r="387" spans="1:29">
      <c r="A387" s="1" t="s">
        <v>382</v>
      </c>
      <c r="B387" s="1"/>
      <c r="C387" s="203">
        <f>SUM(C384:C385)</f>
        <v>107</v>
      </c>
      <c r="D387" s="203">
        <v>108.75</v>
      </c>
      <c r="E387" s="182"/>
      <c r="F387" s="205"/>
      <c r="G387" s="2"/>
      <c r="H387" s="2"/>
      <c r="I387" s="182"/>
      <c r="J387" s="207"/>
      <c r="K387" s="2"/>
      <c r="M387" s="20"/>
      <c r="N387" s="20"/>
      <c r="O387" s="71"/>
      <c r="P387" s="71"/>
      <c r="Q387" s="20"/>
      <c r="R387" s="20"/>
      <c r="S387" s="20"/>
      <c r="T387" s="20"/>
      <c r="U387" s="20"/>
      <c r="V387" s="20"/>
      <c r="W387" s="20"/>
      <c r="X387" s="20"/>
      <c r="Y387" s="20"/>
      <c r="Z387" s="20"/>
      <c r="AA387" s="20"/>
      <c r="AB387" s="20"/>
      <c r="AC387" s="20"/>
    </row>
    <row r="388" spans="1:29">
      <c r="A388" s="1" t="s">
        <v>407</v>
      </c>
      <c r="B388" s="1"/>
      <c r="C388" s="203">
        <f>11+1236</f>
        <v>1247</v>
      </c>
      <c r="D388" s="203">
        <f>ROUND(($D$387/$C$387)*C388,0)</f>
        <v>1267</v>
      </c>
      <c r="E388" s="182"/>
      <c r="F388" s="205"/>
      <c r="G388" s="2"/>
      <c r="H388" s="2"/>
      <c r="I388" s="182"/>
      <c r="J388" s="207"/>
      <c r="K388" s="2"/>
      <c r="M388" s="20"/>
      <c r="N388" s="20"/>
      <c r="O388" s="71"/>
      <c r="P388" s="71"/>
      <c r="Q388" s="20"/>
      <c r="R388" s="20"/>
      <c r="S388" s="20"/>
      <c r="T388" s="20"/>
      <c r="U388" s="20"/>
      <c r="V388" s="20"/>
      <c r="W388" s="20"/>
      <c r="X388" s="20"/>
      <c r="Y388" s="20"/>
      <c r="Z388" s="20"/>
      <c r="AA388" s="20"/>
      <c r="AB388" s="20"/>
      <c r="AC388" s="20"/>
    </row>
    <row r="389" spans="1:29">
      <c r="A389" s="1" t="s">
        <v>383</v>
      </c>
      <c r="B389" s="1"/>
      <c r="C389" s="203">
        <v>11707</v>
      </c>
      <c r="D389" s="203">
        <f>ROUND(($D$405/$C$405)*C389,0)</f>
        <v>5348</v>
      </c>
      <c r="E389" s="210">
        <f>$E$158</f>
        <v>2.88</v>
      </c>
      <c r="F389" s="207"/>
      <c r="G389" s="2">
        <f>ROUND(E389*$C389,0)</f>
        <v>33716</v>
      </c>
      <c r="H389" s="2">
        <f>ROUND(E389*$D389,0)</f>
        <v>15402</v>
      </c>
      <c r="I389" s="210">
        <f>$I$158</f>
        <v>2.97</v>
      </c>
      <c r="J389" s="207"/>
      <c r="K389" s="2">
        <f>ROUND(I389*$C389,0)</f>
        <v>34770</v>
      </c>
      <c r="M389" s="20"/>
      <c r="N389" s="20"/>
      <c r="O389" s="71"/>
      <c r="P389" s="71"/>
      <c r="Q389" s="20"/>
      <c r="R389" s="20"/>
      <c r="S389" s="20"/>
      <c r="T389" s="20"/>
      <c r="U389" s="20"/>
      <c r="V389" s="20"/>
      <c r="W389" s="20"/>
      <c r="X389" s="20"/>
      <c r="Y389" s="20"/>
      <c r="Z389" s="20"/>
      <c r="AA389" s="20"/>
      <c r="AB389" s="20"/>
      <c r="AC389" s="20"/>
    </row>
    <row r="390" spans="1:29">
      <c r="A390" s="1" t="s">
        <v>385</v>
      </c>
      <c r="B390" s="1"/>
      <c r="C390" s="203">
        <f>4783+201108</f>
        <v>205891</v>
      </c>
      <c r="D390" s="203">
        <f>ROUND(($D$405/$C$405)*C390,0)</f>
        <v>94057</v>
      </c>
      <c r="E390" s="183">
        <f>$E$159</f>
        <v>8.0890000000000004</v>
      </c>
      <c r="F390" s="207" t="s">
        <v>362</v>
      </c>
      <c r="G390" s="2">
        <f>ROUND(E390*$C390/100,0)</f>
        <v>16655</v>
      </c>
      <c r="H390" s="2">
        <f>ROUND(E390*$D390/100,0)</f>
        <v>7608</v>
      </c>
      <c r="I390" s="183">
        <f>$I$159</f>
        <v>8.8109999999999999</v>
      </c>
      <c r="J390" s="207" t="s">
        <v>362</v>
      </c>
      <c r="K390" s="2">
        <f>ROUND(I390*$C390/100,0)</f>
        <v>18141</v>
      </c>
      <c r="M390" s="20"/>
      <c r="N390" s="20"/>
      <c r="O390" s="71"/>
      <c r="P390" s="71"/>
      <c r="Q390" s="20"/>
      <c r="R390" s="20"/>
      <c r="S390" s="20"/>
      <c r="T390" s="20"/>
      <c r="U390" s="20"/>
      <c r="V390" s="20"/>
      <c r="W390" s="20"/>
      <c r="X390" s="20"/>
      <c r="Y390" s="20"/>
      <c r="Z390" s="20"/>
      <c r="AA390" s="20"/>
      <c r="AB390" s="20"/>
      <c r="AC390" s="20"/>
    </row>
    <row r="391" spans="1:29">
      <c r="A391" s="1" t="s">
        <v>386</v>
      </c>
      <c r="B391" s="1"/>
      <c r="C391" s="203">
        <f>417691+806</f>
        <v>418497</v>
      </c>
      <c r="D391" s="203">
        <f>ROUND(($D$405/$C$405)*C391,0)</f>
        <v>191182</v>
      </c>
      <c r="E391" s="183">
        <f>$E$189</f>
        <v>5.5839999999999996</v>
      </c>
      <c r="F391" s="207" t="s">
        <v>362</v>
      </c>
      <c r="G391" s="2">
        <f>ROUND(E391*$C391/100,0)</f>
        <v>23369</v>
      </c>
      <c r="H391" s="2">
        <f>ROUND(E391*$D391/100,0)</f>
        <v>10676</v>
      </c>
      <c r="I391" s="183">
        <f>$I$160</f>
        <v>6.0819999999999999</v>
      </c>
      <c r="J391" s="207" t="s">
        <v>362</v>
      </c>
      <c r="K391" s="2">
        <f>ROUND(I391*$C391/100,0)</f>
        <v>25453</v>
      </c>
      <c r="M391" s="20"/>
      <c r="N391" s="20"/>
      <c r="O391" s="71"/>
      <c r="P391" s="71"/>
      <c r="Q391" s="20"/>
      <c r="R391" s="20"/>
      <c r="S391" s="20"/>
      <c r="T391" s="20"/>
      <c r="U391" s="20"/>
      <c r="V391" s="20"/>
      <c r="W391" s="20"/>
      <c r="X391" s="20"/>
      <c r="Y391" s="20"/>
      <c r="Z391" s="20"/>
      <c r="AA391" s="20"/>
      <c r="AB391" s="20"/>
      <c r="AC391" s="20"/>
    </row>
    <row r="392" spans="1:29">
      <c r="A392" s="1" t="s">
        <v>387</v>
      </c>
      <c r="B392" s="1"/>
      <c r="C392" s="203">
        <v>20189</v>
      </c>
      <c r="D392" s="203">
        <f>ROUND(($D$405/$C$405)*C392,0)</f>
        <v>9223</v>
      </c>
      <c r="E392" s="183">
        <f>$E$161</f>
        <v>4.8099999999999996</v>
      </c>
      <c r="F392" s="207" t="s">
        <v>362</v>
      </c>
      <c r="G392" s="2">
        <f>ROUND(E392*$C392/100,0)</f>
        <v>971</v>
      </c>
      <c r="H392" s="2">
        <f>ROUND(E392*$D392/100,0)</f>
        <v>444</v>
      </c>
      <c r="I392" s="183">
        <f>$I$161</f>
        <v>5.24</v>
      </c>
      <c r="J392" s="207" t="s">
        <v>362</v>
      </c>
      <c r="K392" s="2">
        <f>ROUND(I392*$C392/100,0)</f>
        <v>1058</v>
      </c>
      <c r="M392" s="20"/>
      <c r="N392" s="20"/>
      <c r="O392" s="71"/>
      <c r="P392" s="71"/>
      <c r="Q392" s="20"/>
      <c r="R392" s="20"/>
      <c r="S392" s="20"/>
      <c r="T392" s="20"/>
      <c r="U392" s="20"/>
      <c r="V392" s="20"/>
      <c r="W392" s="20"/>
      <c r="X392" s="20"/>
      <c r="Y392" s="20"/>
      <c r="Z392" s="20"/>
      <c r="AA392" s="20"/>
      <c r="AB392" s="20"/>
      <c r="AC392" s="20"/>
    </row>
    <row r="393" spans="1:29">
      <c r="A393" s="1" t="s">
        <v>388</v>
      </c>
      <c r="B393" s="1"/>
      <c r="C393" s="203">
        <v>1540</v>
      </c>
      <c r="D393" s="203">
        <f>ROUND(($D$405/$C$405)*C393,0)</f>
        <v>704</v>
      </c>
      <c r="E393" s="214">
        <f>$E$162</f>
        <v>45</v>
      </c>
      <c r="F393" s="205" t="s">
        <v>362</v>
      </c>
      <c r="G393" s="2">
        <f>ROUND(E393*$C393/100,0)</f>
        <v>693</v>
      </c>
      <c r="H393" s="2">
        <f>ROUND(E393*$D393/100,0)</f>
        <v>317</v>
      </c>
      <c r="I393" s="214">
        <f>$I$162</f>
        <v>50</v>
      </c>
      <c r="J393" s="207" t="s">
        <v>362</v>
      </c>
      <c r="K393" s="2">
        <f>ROUND(I393*$C393/100,0)</f>
        <v>770</v>
      </c>
      <c r="M393" s="20"/>
      <c r="N393" s="20"/>
      <c r="O393" s="71"/>
      <c r="P393" s="71"/>
      <c r="Q393" s="20"/>
      <c r="R393" s="20"/>
      <c r="S393" s="20"/>
      <c r="T393" s="20"/>
      <c r="U393" s="20"/>
      <c r="V393" s="20"/>
      <c r="W393" s="20"/>
      <c r="X393" s="20"/>
      <c r="Y393" s="20"/>
      <c r="Z393" s="20"/>
      <c r="AA393" s="20"/>
      <c r="AB393" s="20"/>
      <c r="AC393" s="20"/>
    </row>
    <row r="394" spans="1:29">
      <c r="A394" s="215" t="s">
        <v>389</v>
      </c>
      <c r="B394" s="1"/>
      <c r="C394" s="203"/>
      <c r="D394" s="203"/>
      <c r="E394" s="216">
        <v>-0.01</v>
      </c>
      <c r="F394" s="205"/>
      <c r="G394" s="2"/>
      <c r="H394" s="2"/>
      <c r="I394" s="216">
        <v>-0.01</v>
      </c>
      <c r="J394" s="207"/>
      <c r="K394" s="2"/>
      <c r="M394" s="20"/>
      <c r="N394" s="20"/>
      <c r="O394" s="71"/>
      <c r="P394" s="71"/>
      <c r="Q394" s="20"/>
      <c r="R394" s="20"/>
      <c r="S394" s="20"/>
      <c r="T394" s="20"/>
      <c r="U394" s="20"/>
      <c r="V394" s="20"/>
      <c r="W394" s="20"/>
      <c r="X394" s="20"/>
      <c r="Y394" s="20"/>
      <c r="Z394" s="20"/>
      <c r="AA394" s="20"/>
      <c r="AB394" s="20"/>
      <c r="AC394" s="20"/>
    </row>
    <row r="395" spans="1:29">
      <c r="A395" s="1" t="s">
        <v>378</v>
      </c>
      <c r="B395" s="1"/>
      <c r="C395" s="203">
        <v>0</v>
      </c>
      <c r="D395" s="203">
        <f>ROUND(($D$387/$C$387)*C395,0)</f>
        <v>0</v>
      </c>
      <c r="E395" s="218">
        <f>E384</f>
        <v>90.36</v>
      </c>
      <c r="F395" s="205"/>
      <c r="G395" s="2">
        <f>-ROUND(E395*$C395/100,0)</f>
        <v>0</v>
      </c>
      <c r="H395" s="2">
        <f>-ROUND(E395*$D395/100,0)</f>
        <v>0</v>
      </c>
      <c r="I395" s="218">
        <f>I384</f>
        <v>96</v>
      </c>
      <c r="J395" s="205"/>
      <c r="K395" s="2">
        <f>-ROUND(I395*$C395/100,0)</f>
        <v>0</v>
      </c>
      <c r="M395" s="20"/>
      <c r="N395" s="20"/>
      <c r="O395" s="71"/>
      <c r="P395" s="71"/>
      <c r="Q395" s="20"/>
      <c r="R395" s="20"/>
      <c r="S395" s="20"/>
      <c r="T395" s="20"/>
      <c r="U395" s="20"/>
      <c r="V395" s="20"/>
      <c r="W395" s="20"/>
      <c r="X395" s="20"/>
      <c r="Y395" s="20"/>
      <c r="Z395" s="20"/>
      <c r="AA395" s="20"/>
      <c r="AB395" s="20"/>
      <c r="AC395" s="20"/>
    </row>
    <row r="396" spans="1:29">
      <c r="A396" s="1" t="s">
        <v>379</v>
      </c>
      <c r="B396" s="1"/>
      <c r="C396" s="203">
        <v>0</v>
      </c>
      <c r="D396" s="203">
        <f>ROUND(($D$387/$C$387)*C396,0)</f>
        <v>0</v>
      </c>
      <c r="E396" s="218">
        <f>E385</f>
        <v>134.16</v>
      </c>
      <c r="F396" s="205"/>
      <c r="G396" s="2">
        <f>-ROUND(E396*$C396/100,0)</f>
        <v>0</v>
      </c>
      <c r="H396" s="2">
        <f>-ROUND(E396*$D396/100,0)</f>
        <v>0</v>
      </c>
      <c r="I396" s="218">
        <f>I385</f>
        <v>142.53386454183266</v>
      </c>
      <c r="J396" s="205"/>
      <c r="K396" s="2">
        <f>-ROUND(I396*$C396/100,0)</f>
        <v>0</v>
      </c>
      <c r="M396" s="20"/>
      <c r="N396" s="20"/>
      <c r="O396" s="71"/>
      <c r="P396" s="71"/>
      <c r="Q396" s="20"/>
      <c r="R396" s="20"/>
      <c r="S396" s="20"/>
      <c r="T396" s="20"/>
      <c r="U396" s="20"/>
      <c r="V396" s="20"/>
      <c r="W396" s="20"/>
      <c r="X396" s="20"/>
      <c r="Y396" s="20"/>
      <c r="Z396" s="20"/>
      <c r="AA396" s="20"/>
      <c r="AB396" s="20"/>
      <c r="AC396" s="20"/>
    </row>
    <row r="397" spans="1:29">
      <c r="A397" s="1" t="s">
        <v>390</v>
      </c>
      <c r="B397" s="1"/>
      <c r="C397" s="203">
        <v>0</v>
      </c>
      <c r="D397" s="203">
        <f t="shared" ref="D397:D402" si="37">ROUND(($D$405/$C$405)*C397,0)</f>
        <v>0</v>
      </c>
      <c r="E397" s="218">
        <f>E386</f>
        <v>9.36</v>
      </c>
      <c r="F397" s="205"/>
      <c r="G397" s="2">
        <f>-ROUND(E397*$C397/100,0)</f>
        <v>0</v>
      </c>
      <c r="H397" s="2">
        <f>-ROUND(E397*$D397/100,0)</f>
        <v>0</v>
      </c>
      <c r="I397" s="218">
        <f>I386</f>
        <v>9.94</v>
      </c>
      <c r="J397" s="205"/>
      <c r="K397" s="2">
        <f>-ROUND(I397*$C397/100,0)</f>
        <v>0</v>
      </c>
      <c r="M397" s="20"/>
      <c r="N397" s="20"/>
      <c r="O397" s="71"/>
      <c r="P397" s="71"/>
      <c r="Q397" s="20"/>
      <c r="R397" s="20"/>
      <c r="S397" s="20"/>
      <c r="T397" s="20"/>
      <c r="U397" s="20"/>
      <c r="V397" s="20"/>
      <c r="W397" s="20"/>
      <c r="X397" s="20"/>
      <c r="Y397" s="20"/>
      <c r="Z397" s="20"/>
      <c r="AA397" s="20"/>
      <c r="AB397" s="20"/>
      <c r="AC397" s="20"/>
    </row>
    <row r="398" spans="1:29">
      <c r="A398" s="1" t="s">
        <v>391</v>
      </c>
      <c r="B398" s="1"/>
      <c r="C398" s="203">
        <v>0</v>
      </c>
      <c r="D398" s="203">
        <f t="shared" si="37"/>
        <v>0</v>
      </c>
      <c r="E398" s="218">
        <f>E389</f>
        <v>2.88</v>
      </c>
      <c r="F398" s="207"/>
      <c r="G398" s="2">
        <f>-ROUND(E398*$C398/100,0)</f>
        <v>0</v>
      </c>
      <c r="H398" s="2">
        <f>-ROUND(E398*$D398/100,0)</f>
        <v>0</v>
      </c>
      <c r="I398" s="218">
        <f>I389</f>
        <v>2.97</v>
      </c>
      <c r="J398" s="207"/>
      <c r="K398" s="2">
        <f>-ROUND(I398*$C398/100,0)</f>
        <v>0</v>
      </c>
      <c r="M398" s="20"/>
      <c r="N398" s="20"/>
      <c r="O398" s="71"/>
      <c r="P398" s="71"/>
      <c r="Q398" s="20"/>
      <c r="R398" s="20"/>
      <c r="S398" s="20"/>
      <c r="T398" s="20"/>
      <c r="U398" s="20"/>
      <c r="V398" s="20"/>
      <c r="W398" s="20"/>
      <c r="X398" s="20"/>
      <c r="Y398" s="20"/>
      <c r="Z398" s="20"/>
      <c r="AA398" s="20"/>
      <c r="AB398" s="20"/>
      <c r="AC398" s="20"/>
    </row>
    <row r="399" spans="1:29">
      <c r="A399" s="1" t="s">
        <v>393</v>
      </c>
      <c r="B399" s="1"/>
      <c r="C399" s="203">
        <v>0</v>
      </c>
      <c r="D399" s="203">
        <f t="shared" si="37"/>
        <v>0</v>
      </c>
      <c r="E399" s="219">
        <f>E390</f>
        <v>8.0890000000000004</v>
      </c>
      <c r="F399" s="207" t="s">
        <v>362</v>
      </c>
      <c r="G399" s="2">
        <f>ROUND(E399*$C399/100*E394,0)</f>
        <v>0</v>
      </c>
      <c r="H399" s="2">
        <f>ROUND(E399*$D399/100*E394,0)</f>
        <v>0</v>
      </c>
      <c r="I399" s="219">
        <f>I390</f>
        <v>8.8109999999999999</v>
      </c>
      <c r="J399" s="207" t="s">
        <v>362</v>
      </c>
      <c r="K399" s="2">
        <f>ROUND(I399*$C399/100*I394,0)</f>
        <v>0</v>
      </c>
      <c r="M399" s="20"/>
      <c r="N399" s="20"/>
      <c r="O399" s="71"/>
      <c r="P399" s="71"/>
      <c r="Q399" s="20"/>
      <c r="R399" s="20"/>
      <c r="S399" s="20"/>
      <c r="T399" s="20"/>
      <c r="U399" s="20"/>
      <c r="V399" s="20"/>
      <c r="W399" s="20"/>
      <c r="X399" s="20"/>
      <c r="Y399" s="20"/>
      <c r="Z399" s="20"/>
      <c r="AA399" s="20"/>
      <c r="AB399" s="20"/>
      <c r="AC399" s="20"/>
    </row>
    <row r="400" spans="1:29">
      <c r="A400" s="1" t="s">
        <v>386</v>
      </c>
      <c r="B400" s="1"/>
      <c r="C400" s="203">
        <v>0</v>
      </c>
      <c r="D400" s="203">
        <f t="shared" si="37"/>
        <v>0</v>
      </c>
      <c r="E400" s="219">
        <f>E391</f>
        <v>5.5839999999999996</v>
      </c>
      <c r="F400" s="207" t="s">
        <v>362</v>
      </c>
      <c r="G400" s="2">
        <f>ROUND(E400*$C400/100*E394,0)</f>
        <v>0</v>
      </c>
      <c r="H400" s="2">
        <f>ROUND(E400*$D400/100*E394,0)</f>
        <v>0</v>
      </c>
      <c r="I400" s="219">
        <f>I391</f>
        <v>6.0819999999999999</v>
      </c>
      <c r="J400" s="207" t="s">
        <v>362</v>
      </c>
      <c r="K400" s="2">
        <f>ROUND(I400*$C400/100*I394,0)</f>
        <v>0</v>
      </c>
      <c r="M400" s="20"/>
      <c r="N400" s="20"/>
      <c r="O400" s="71"/>
      <c r="P400" s="71"/>
      <c r="Q400" s="20"/>
      <c r="R400" s="20"/>
      <c r="S400" s="20"/>
      <c r="T400" s="20"/>
      <c r="U400" s="20"/>
      <c r="V400" s="20"/>
      <c r="W400" s="20"/>
      <c r="X400" s="20"/>
      <c r="Y400" s="20"/>
      <c r="Z400" s="20"/>
      <c r="AA400" s="20"/>
      <c r="AB400" s="20"/>
      <c r="AC400" s="20"/>
    </row>
    <row r="401" spans="1:29">
      <c r="A401" s="1" t="s">
        <v>387</v>
      </c>
      <c r="B401" s="1"/>
      <c r="C401" s="203">
        <v>0</v>
      </c>
      <c r="D401" s="203">
        <f t="shared" si="37"/>
        <v>0</v>
      </c>
      <c r="E401" s="219">
        <f>E392</f>
        <v>4.8099999999999996</v>
      </c>
      <c r="F401" s="207" t="s">
        <v>362</v>
      </c>
      <c r="G401" s="2">
        <f>ROUND(E401*$C401/100*E394,0)</f>
        <v>0</v>
      </c>
      <c r="H401" s="2">
        <f>ROUND(E401*$D401/100*E394,0)</f>
        <v>0</v>
      </c>
      <c r="I401" s="219">
        <f>I392</f>
        <v>5.24</v>
      </c>
      <c r="J401" s="207" t="s">
        <v>362</v>
      </c>
      <c r="K401" s="2">
        <f>ROUND(I401*$C401/100*I394,0)</f>
        <v>0</v>
      </c>
      <c r="M401" s="20"/>
      <c r="N401" s="20"/>
      <c r="O401" s="71"/>
      <c r="P401" s="71"/>
      <c r="Q401" s="20"/>
      <c r="R401" s="20"/>
      <c r="S401" s="20"/>
      <c r="T401" s="20"/>
      <c r="U401" s="20"/>
      <c r="V401" s="20"/>
      <c r="W401" s="20"/>
      <c r="X401" s="20"/>
      <c r="Y401" s="20"/>
      <c r="Z401" s="20"/>
      <c r="AA401" s="20"/>
      <c r="AB401" s="20"/>
      <c r="AC401" s="20"/>
    </row>
    <row r="402" spans="1:29">
      <c r="A402" s="1" t="s">
        <v>388</v>
      </c>
      <c r="B402" s="1"/>
      <c r="C402" s="203">
        <v>0</v>
      </c>
      <c r="D402" s="203">
        <f t="shared" si="37"/>
        <v>0</v>
      </c>
      <c r="E402" s="220">
        <f>E393</f>
        <v>45</v>
      </c>
      <c r="F402" s="207" t="s">
        <v>362</v>
      </c>
      <c r="G402" s="2">
        <f>ROUND(E402*$C402/100*E394,0)</f>
        <v>0</v>
      </c>
      <c r="H402" s="2">
        <f>ROUND(E402*$D402/100*E394,0)</f>
        <v>0</v>
      </c>
      <c r="I402" s="220">
        <f>I393</f>
        <v>50</v>
      </c>
      <c r="J402" s="207" t="s">
        <v>362</v>
      </c>
      <c r="K402" s="2">
        <f>ROUND(I402*$C402/100*I394,0)</f>
        <v>0</v>
      </c>
      <c r="M402" s="20"/>
      <c r="N402" s="20"/>
      <c r="O402" s="71"/>
      <c r="P402" s="71"/>
      <c r="Q402" s="20"/>
      <c r="R402" s="20"/>
      <c r="S402" s="20"/>
      <c r="T402" s="20"/>
      <c r="U402" s="20"/>
      <c r="V402" s="20"/>
      <c r="W402" s="20"/>
      <c r="X402" s="20"/>
      <c r="Y402" s="20"/>
      <c r="Z402" s="20"/>
      <c r="AA402" s="20"/>
      <c r="AB402" s="20"/>
      <c r="AC402" s="20"/>
    </row>
    <row r="403" spans="1:29">
      <c r="A403" s="1" t="s">
        <v>395</v>
      </c>
      <c r="B403" s="1"/>
      <c r="C403" s="203">
        <v>0</v>
      </c>
      <c r="D403" s="203">
        <f>ROUND(($D$387/$C$387)*C403,0)</f>
        <v>0</v>
      </c>
      <c r="E403" s="221">
        <f>$E$172</f>
        <v>60</v>
      </c>
      <c r="F403" s="205"/>
      <c r="G403" s="2">
        <f>ROUND(E403*$C403,0)</f>
        <v>0</v>
      </c>
      <c r="H403" s="2">
        <f>ROUND(E403*$D403,0)</f>
        <v>0</v>
      </c>
      <c r="I403" s="221">
        <f>$I$172</f>
        <v>60</v>
      </c>
      <c r="J403" s="207"/>
      <c r="K403" s="2">
        <f>ROUND(I403*$C403,0)</f>
        <v>0</v>
      </c>
      <c r="M403" s="20"/>
      <c r="N403" s="20"/>
      <c r="O403" s="71"/>
      <c r="P403" s="71"/>
      <c r="Q403" s="20"/>
      <c r="R403" s="20"/>
      <c r="S403" s="20"/>
      <c r="T403" s="20"/>
      <c r="U403" s="20"/>
      <c r="V403" s="20"/>
      <c r="W403" s="20"/>
      <c r="X403" s="20"/>
      <c r="Y403" s="20"/>
      <c r="Z403" s="20"/>
      <c r="AA403" s="20"/>
      <c r="AB403" s="20"/>
      <c r="AC403" s="20"/>
    </row>
    <row r="404" spans="1:29">
      <c r="A404" s="1" t="s">
        <v>396</v>
      </c>
      <c r="B404" s="1"/>
      <c r="C404" s="203">
        <v>0</v>
      </c>
      <c r="D404" s="203">
        <f>ROUND(($D$405/$C$405)*C404,0)</f>
        <v>0</v>
      </c>
      <c r="E404" s="223">
        <f>$E$173</f>
        <v>-30</v>
      </c>
      <c r="F404" s="205" t="s">
        <v>362</v>
      </c>
      <c r="G404" s="2">
        <f>ROUND(E404*$C404/100,0)</f>
        <v>0</v>
      </c>
      <c r="H404" s="2">
        <f>ROUND(E404*$D404/100,0)</f>
        <v>0</v>
      </c>
      <c r="I404" s="223">
        <f>$I$173</f>
        <v>-30</v>
      </c>
      <c r="J404" s="207" t="s">
        <v>362</v>
      </c>
      <c r="K404" s="2">
        <f>ROUND(I404*$C404/100,0)</f>
        <v>0</v>
      </c>
      <c r="M404" s="20"/>
      <c r="N404" s="20"/>
      <c r="O404" s="71"/>
      <c r="P404" s="71"/>
      <c r="Q404" s="20"/>
      <c r="R404" s="20"/>
      <c r="S404" s="20"/>
      <c r="T404" s="20"/>
      <c r="U404" s="20"/>
      <c r="V404" s="20"/>
      <c r="W404" s="20"/>
      <c r="X404" s="20"/>
      <c r="Y404" s="20"/>
      <c r="Z404" s="20"/>
      <c r="AA404" s="20"/>
      <c r="AB404" s="20"/>
      <c r="AC404" s="20"/>
    </row>
    <row r="405" spans="1:29">
      <c r="A405" s="1" t="s">
        <v>369</v>
      </c>
      <c r="B405" s="1"/>
      <c r="C405" s="203">
        <f>SUM(C390:C392)</f>
        <v>644577</v>
      </c>
      <c r="D405" s="203">
        <v>294461.5</v>
      </c>
      <c r="E405" s="214"/>
      <c r="F405" s="2"/>
      <c r="G405" s="2">
        <f>SUM(G384:G404)</f>
        <v>129458</v>
      </c>
      <c r="H405" s="2">
        <f>SUM(H384:H404)</f>
        <v>67184</v>
      </c>
      <c r="I405" s="214"/>
      <c r="J405" s="207"/>
      <c r="K405" s="2">
        <f>SUM(K384:K404)</f>
        <v>137602</v>
      </c>
      <c r="M405" s="20"/>
      <c r="N405" s="20"/>
      <c r="O405" s="71"/>
      <c r="P405" s="71"/>
      <c r="Q405" s="20"/>
      <c r="R405" s="20"/>
      <c r="S405" s="20"/>
      <c r="T405" s="20"/>
      <c r="U405" s="20"/>
      <c r="V405" s="20"/>
      <c r="W405" s="20"/>
      <c r="X405" s="20"/>
      <c r="Y405" s="20"/>
      <c r="Z405" s="20"/>
      <c r="AA405" s="20"/>
      <c r="AB405" s="20"/>
      <c r="AC405" s="20"/>
    </row>
    <row r="406" spans="1:29">
      <c r="A406" s="1" t="s">
        <v>351</v>
      </c>
      <c r="B406" s="1"/>
      <c r="C406" s="233" t="e">
        <f>#REF!</f>
        <v>#REF!</v>
      </c>
      <c r="D406" s="233">
        <v>0</v>
      </c>
      <c r="E406" s="193"/>
      <c r="F406" s="193"/>
      <c r="G406" s="225" t="e">
        <f>#REF!</f>
        <v>#REF!</v>
      </c>
      <c r="H406" s="225">
        <v>0</v>
      </c>
      <c r="I406" s="193"/>
      <c r="J406" s="193"/>
      <c r="K406" s="225" t="e">
        <f>G406</f>
        <v>#REF!</v>
      </c>
      <c r="M406" s="328"/>
      <c r="N406" s="328"/>
      <c r="O406" s="171"/>
      <c r="P406" s="71"/>
      <c r="Q406" s="20"/>
      <c r="R406" s="20"/>
      <c r="S406" s="20"/>
      <c r="T406" s="20"/>
      <c r="U406" s="20"/>
      <c r="V406" s="20"/>
      <c r="W406" s="20"/>
      <c r="X406" s="20"/>
      <c r="Y406" s="20"/>
      <c r="Z406" s="20"/>
      <c r="AA406" s="20"/>
      <c r="AB406" s="20"/>
      <c r="AC406" s="20"/>
    </row>
    <row r="407" spans="1:29" ht="16.5" thickBot="1">
      <c r="A407" s="1" t="s">
        <v>370</v>
      </c>
      <c r="B407" s="1"/>
      <c r="C407" s="195" t="e">
        <f>SUM(C405:C406)</f>
        <v>#REF!</v>
      </c>
      <c r="D407" s="195">
        <f>SUM(D405:D406)</f>
        <v>294461.5</v>
      </c>
      <c r="E407" s="226"/>
      <c r="F407" s="227"/>
      <c r="G407" s="228" t="e">
        <f>G405+G406</f>
        <v>#REF!</v>
      </c>
      <c r="H407" s="228">
        <f>H405+H406</f>
        <v>67184</v>
      </c>
      <c r="I407" s="226"/>
      <c r="J407" s="229"/>
      <c r="K407" s="228" t="e">
        <f>K405+K406</f>
        <v>#REF!</v>
      </c>
      <c r="M407" s="295"/>
      <c r="N407" s="295"/>
      <c r="O407" s="354"/>
      <c r="P407" s="71"/>
      <c r="Q407" s="20"/>
      <c r="R407" s="20"/>
      <c r="S407" s="20"/>
      <c r="T407" s="20"/>
      <c r="U407" s="20"/>
      <c r="V407" s="20"/>
      <c r="W407" s="20"/>
      <c r="X407" s="20"/>
      <c r="Y407" s="20"/>
      <c r="Z407" s="20"/>
      <c r="AA407" s="20"/>
      <c r="AB407" s="20"/>
      <c r="AC407" s="20"/>
    </row>
    <row r="408" spans="1:29" ht="16.5" thickTop="1">
      <c r="A408" s="1"/>
      <c r="B408" s="1"/>
      <c r="C408" s="21"/>
      <c r="D408" s="21"/>
      <c r="E408" s="221"/>
      <c r="F408" s="2"/>
      <c r="G408" s="2"/>
      <c r="H408" s="2"/>
      <c r="I408" s="237" t="s">
        <v>31</v>
      </c>
      <c r="J408" s="1"/>
      <c r="K408" s="2" t="s">
        <v>31</v>
      </c>
      <c r="M408" s="20"/>
      <c r="N408" s="20"/>
      <c r="O408" s="71"/>
      <c r="P408" s="71"/>
      <c r="Q408" s="20"/>
      <c r="R408" s="20"/>
      <c r="S408" s="20"/>
      <c r="T408" s="20"/>
      <c r="U408" s="20"/>
      <c r="V408" s="20"/>
      <c r="W408" s="20"/>
      <c r="X408" s="20"/>
      <c r="Y408" s="20"/>
      <c r="Z408" s="20"/>
      <c r="AA408" s="20"/>
      <c r="AB408" s="20"/>
      <c r="AC408" s="20"/>
    </row>
    <row r="409" spans="1:29">
      <c r="A409" s="177" t="s">
        <v>405</v>
      </c>
      <c r="B409" s="1"/>
      <c r="C409" s="1"/>
      <c r="D409" s="1"/>
      <c r="E409" s="2"/>
      <c r="F409" s="2"/>
      <c r="G409" s="1" t="s">
        <v>31</v>
      </c>
      <c r="H409" s="1"/>
      <c r="I409" s="2"/>
      <c r="J409" s="1"/>
      <c r="K409" s="1"/>
      <c r="M409" s="20"/>
      <c r="N409" s="20"/>
      <c r="O409" s="71"/>
      <c r="P409" s="71"/>
      <c r="Q409" s="20"/>
      <c r="R409" s="20"/>
      <c r="S409" s="20"/>
      <c r="T409" s="20"/>
      <c r="U409" s="20"/>
      <c r="V409" s="20"/>
      <c r="W409" s="20"/>
      <c r="X409" s="20"/>
      <c r="Y409" s="20"/>
      <c r="Z409" s="20"/>
      <c r="AA409" s="20"/>
      <c r="AB409" s="20"/>
      <c r="AC409" s="20"/>
    </row>
    <row r="410" spans="1:29">
      <c r="A410" s="1" t="s">
        <v>402</v>
      </c>
      <c r="B410" s="1"/>
      <c r="C410" s="1"/>
      <c r="D410" s="1"/>
      <c r="E410" s="2"/>
      <c r="F410" s="2"/>
      <c r="G410" s="1"/>
      <c r="H410" s="1"/>
      <c r="I410" s="2"/>
      <c r="J410" s="1"/>
      <c r="K410" s="1"/>
      <c r="M410" s="20"/>
      <c r="N410" s="20"/>
      <c r="O410" s="71"/>
      <c r="P410" s="71"/>
      <c r="Q410" s="20"/>
      <c r="R410" s="20"/>
      <c r="S410" s="20"/>
      <c r="T410" s="20"/>
      <c r="U410" s="20"/>
      <c r="V410" s="20"/>
      <c r="W410" s="20"/>
      <c r="X410" s="20"/>
      <c r="Y410" s="20"/>
      <c r="Z410" s="20"/>
      <c r="AA410" s="20"/>
      <c r="AB410" s="20"/>
      <c r="AC410" s="20"/>
    </row>
    <row r="411" spans="1:29">
      <c r="A411" s="1" t="s">
        <v>406</v>
      </c>
      <c r="B411" s="1"/>
      <c r="C411" s="1"/>
      <c r="D411" s="1"/>
      <c r="E411" s="2"/>
      <c r="F411" s="2"/>
      <c r="G411" s="1"/>
      <c r="H411" s="1"/>
      <c r="I411" s="2"/>
      <c r="J411" s="1"/>
      <c r="K411" s="1"/>
      <c r="M411" s="20"/>
      <c r="N411" s="20"/>
      <c r="O411" s="71"/>
      <c r="P411" s="71"/>
      <c r="Q411" s="20"/>
      <c r="R411" s="20"/>
      <c r="S411" s="20"/>
      <c r="T411" s="20"/>
      <c r="U411" s="20"/>
      <c r="V411" s="20"/>
      <c r="W411" s="20"/>
      <c r="X411" s="20"/>
      <c r="Y411" s="20"/>
      <c r="Z411" s="20"/>
      <c r="AA411" s="20"/>
      <c r="AB411" s="20"/>
      <c r="AC411" s="20"/>
    </row>
    <row r="412" spans="1:29">
      <c r="A412" s="1" t="s">
        <v>381</v>
      </c>
      <c r="B412" s="1"/>
      <c r="C412" s="203"/>
      <c r="D412" s="203"/>
      <c r="E412" s="2"/>
      <c r="F412" s="2"/>
      <c r="G412" s="1"/>
      <c r="H412" s="1"/>
      <c r="I412" s="2"/>
      <c r="J412" s="1"/>
      <c r="K412" s="1"/>
      <c r="M412" s="20"/>
      <c r="N412" s="20"/>
      <c r="O412" s="71"/>
      <c r="P412" s="71"/>
      <c r="Q412" s="20"/>
      <c r="R412" s="20"/>
      <c r="S412" s="20"/>
      <c r="T412" s="20"/>
      <c r="U412" s="20"/>
      <c r="V412" s="20"/>
      <c r="W412" s="20"/>
      <c r="X412" s="20"/>
      <c r="Y412" s="20"/>
      <c r="Z412" s="20"/>
      <c r="AA412" s="20"/>
      <c r="AB412" s="20"/>
      <c r="AC412" s="20"/>
    </row>
    <row r="413" spans="1:29">
      <c r="A413" s="1" t="s">
        <v>378</v>
      </c>
      <c r="B413" s="1"/>
      <c r="C413" s="203">
        <v>0</v>
      </c>
      <c r="D413" s="203">
        <f>$D$417/$C$417*C413</f>
        <v>0</v>
      </c>
      <c r="E413" s="182">
        <f>$E$149</f>
        <v>90.36</v>
      </c>
      <c r="F413" s="205"/>
      <c r="G413" s="2">
        <f>ROUND(E413*$C413,0)</f>
        <v>0</v>
      </c>
      <c r="H413" s="2">
        <f>ROUND(E413*$D413,0)</f>
        <v>0</v>
      </c>
      <c r="I413" s="182">
        <f>$I$149</f>
        <v>96</v>
      </c>
      <c r="J413" s="207"/>
      <c r="K413" s="2">
        <f>ROUND(I413*$C413,0)</f>
        <v>0</v>
      </c>
      <c r="M413" s="20"/>
      <c r="N413" s="20"/>
      <c r="O413" s="71"/>
      <c r="P413" s="71"/>
      <c r="Q413" s="20"/>
      <c r="R413" s="20"/>
      <c r="S413" s="20"/>
      <c r="T413" s="20"/>
      <c r="U413" s="20"/>
      <c r="V413" s="20"/>
      <c r="W413" s="20"/>
      <c r="X413" s="20"/>
      <c r="Y413" s="20"/>
      <c r="Z413" s="20"/>
      <c r="AA413" s="20"/>
      <c r="AB413" s="20"/>
      <c r="AC413" s="20"/>
    </row>
    <row r="414" spans="1:29">
      <c r="A414" s="1" t="s">
        <v>379</v>
      </c>
      <c r="B414" s="1"/>
      <c r="C414" s="203">
        <v>1</v>
      </c>
      <c r="D414" s="203">
        <f>$D$417/$C$417*C414</f>
        <v>1.0909090909090908</v>
      </c>
      <c r="E414" s="182">
        <f>$E$150</f>
        <v>134.16</v>
      </c>
      <c r="F414" s="208"/>
      <c r="G414" s="2">
        <f>ROUND(E414*$C414,0)</f>
        <v>134</v>
      </c>
      <c r="H414" s="2">
        <f>ROUND(E414*$D414,0)</f>
        <v>146</v>
      </c>
      <c r="I414" s="182">
        <f>$I$150</f>
        <v>142.53386454183266</v>
      </c>
      <c r="J414" s="209"/>
      <c r="K414" s="2">
        <f>ROUND(I414*$C414,0)</f>
        <v>143</v>
      </c>
      <c r="M414" s="20"/>
      <c r="N414" s="20"/>
      <c r="O414" s="71"/>
      <c r="P414" s="71"/>
      <c r="Q414" s="20"/>
      <c r="R414" s="20"/>
      <c r="S414" s="20"/>
      <c r="T414" s="20"/>
      <c r="U414" s="20"/>
      <c r="V414" s="20"/>
      <c r="W414" s="20"/>
      <c r="X414" s="20"/>
      <c r="Y414" s="20"/>
      <c r="Z414" s="20"/>
      <c r="AA414" s="20"/>
      <c r="AB414" s="20"/>
      <c r="AC414" s="20"/>
    </row>
    <row r="415" spans="1:29">
      <c r="A415" s="1" t="s">
        <v>380</v>
      </c>
      <c r="B415" s="1"/>
      <c r="C415" s="203">
        <v>75</v>
      </c>
      <c r="D415" s="203">
        <v>34</v>
      </c>
      <c r="E415" s="182">
        <f>$E$151</f>
        <v>9.36</v>
      </c>
      <c r="F415" s="208"/>
      <c r="G415" s="2">
        <f>ROUND(E415*$C415,0)</f>
        <v>702</v>
      </c>
      <c r="H415" s="2">
        <f>ROUND(E415*$D415,0)</f>
        <v>318</v>
      </c>
      <c r="I415" s="182">
        <f>$I$151</f>
        <v>9.94</v>
      </c>
      <c r="J415" s="209"/>
      <c r="K415" s="2">
        <f>ROUND(I415*$C415,0)</f>
        <v>746</v>
      </c>
      <c r="M415" s="20"/>
      <c r="N415" s="20"/>
      <c r="O415" s="71"/>
      <c r="P415" s="71"/>
      <c r="Q415" s="20"/>
      <c r="R415" s="20"/>
      <c r="S415" s="20"/>
      <c r="T415" s="20"/>
      <c r="U415" s="20"/>
      <c r="V415" s="20"/>
      <c r="W415" s="20"/>
      <c r="X415" s="20"/>
      <c r="Y415" s="20"/>
      <c r="Z415" s="20"/>
      <c r="AA415" s="20"/>
      <c r="AB415" s="20"/>
      <c r="AC415" s="20"/>
    </row>
    <row r="416" spans="1:29">
      <c r="A416" s="1" t="s">
        <v>382</v>
      </c>
      <c r="B416" s="1"/>
      <c r="C416" s="203">
        <f>SUM(C413:C414)</f>
        <v>1</v>
      </c>
      <c r="D416" s="203">
        <f>SUM(D413:D414)</f>
        <v>1.0909090909090908</v>
      </c>
      <c r="E416" s="182"/>
      <c r="F416" s="205"/>
      <c r="G416" s="2"/>
      <c r="H416" s="2"/>
      <c r="I416" s="182"/>
      <c r="J416" s="207"/>
      <c r="K416" s="2"/>
      <c r="M416" s="20"/>
      <c r="N416" s="20"/>
      <c r="O416" s="71"/>
      <c r="P416" s="71"/>
      <c r="Q416" s="20"/>
      <c r="R416" s="20"/>
      <c r="S416" s="20"/>
      <c r="T416" s="20"/>
      <c r="U416" s="20"/>
      <c r="V416" s="20"/>
      <c r="W416" s="20"/>
      <c r="X416" s="20"/>
      <c r="Y416" s="20"/>
      <c r="Z416" s="20"/>
      <c r="AA416" s="20"/>
      <c r="AB416" s="20"/>
      <c r="AC416" s="20"/>
    </row>
    <row r="417" spans="1:29">
      <c r="A417" s="1" t="s">
        <v>407</v>
      </c>
      <c r="B417" s="1"/>
      <c r="C417" s="203">
        <v>11</v>
      </c>
      <c r="D417" s="203">
        <v>12</v>
      </c>
      <c r="E417" s="182"/>
      <c r="F417" s="205"/>
      <c r="G417" s="2"/>
      <c r="H417" s="2"/>
      <c r="I417" s="182"/>
      <c r="J417" s="207"/>
      <c r="K417" s="2"/>
      <c r="M417" s="20"/>
      <c r="N417" s="20"/>
      <c r="O417" s="71"/>
      <c r="P417" s="71"/>
      <c r="Q417" s="20"/>
      <c r="R417" s="20"/>
      <c r="S417" s="20"/>
      <c r="T417" s="20"/>
      <c r="U417" s="20"/>
      <c r="V417" s="20"/>
      <c r="W417" s="20"/>
      <c r="X417" s="20"/>
      <c r="Y417" s="20"/>
      <c r="Z417" s="20"/>
      <c r="AA417" s="20"/>
      <c r="AB417" s="20"/>
      <c r="AC417" s="20"/>
    </row>
    <row r="418" spans="1:29">
      <c r="A418" s="1" t="s">
        <v>383</v>
      </c>
      <c r="B418" s="1"/>
      <c r="C418" s="203">
        <v>253</v>
      </c>
      <c r="D418" s="203">
        <f>ROUND(($D$434/$C$434)*C418,0)</f>
        <v>99</v>
      </c>
      <c r="E418" s="210">
        <f>$E$158</f>
        <v>2.88</v>
      </c>
      <c r="F418" s="207"/>
      <c r="G418" s="2">
        <f>ROUND(E418*$C418,0)</f>
        <v>729</v>
      </c>
      <c r="H418" s="2">
        <f>ROUND(E418*$D418,0)</f>
        <v>285</v>
      </c>
      <c r="I418" s="210">
        <f>$I$158</f>
        <v>2.97</v>
      </c>
      <c r="J418" s="207"/>
      <c r="K418" s="2">
        <f>ROUND(I418*$C418,0)</f>
        <v>751</v>
      </c>
      <c r="M418" s="20"/>
      <c r="N418" s="20"/>
      <c r="O418" s="71"/>
      <c r="P418" s="71"/>
      <c r="Q418" s="20"/>
      <c r="R418" s="20"/>
      <c r="S418" s="20"/>
      <c r="T418" s="20"/>
      <c r="U418" s="20"/>
      <c r="V418" s="20"/>
      <c r="W418" s="20"/>
      <c r="X418" s="20"/>
      <c r="Y418" s="20"/>
      <c r="Z418" s="20"/>
      <c r="AA418" s="20"/>
      <c r="AB418" s="20"/>
      <c r="AC418" s="20"/>
    </row>
    <row r="419" spans="1:29">
      <c r="A419" s="1" t="s">
        <v>385</v>
      </c>
      <c r="B419" s="1"/>
      <c r="C419" s="203">
        <v>6932</v>
      </c>
      <c r="D419" s="203">
        <f>ROUND(($D$434/$C$434)*C419,0)</f>
        <v>2701</v>
      </c>
      <c r="E419" s="183">
        <f>$E$159</f>
        <v>8.0890000000000004</v>
      </c>
      <c r="F419" s="207" t="s">
        <v>362</v>
      </c>
      <c r="G419" s="2">
        <f>ROUND(E419*$C419/100,0)</f>
        <v>561</v>
      </c>
      <c r="H419" s="2">
        <f>ROUND(E419*$D419/100,0)</f>
        <v>218</v>
      </c>
      <c r="I419" s="183">
        <f>$I$159</f>
        <v>8.8109999999999999</v>
      </c>
      <c r="J419" s="207" t="s">
        <v>362</v>
      </c>
      <c r="K419" s="2">
        <f>ROUND(I419*$C419/100,0)</f>
        <v>611</v>
      </c>
      <c r="M419" s="20"/>
      <c r="N419" s="20"/>
      <c r="O419" s="71"/>
      <c r="P419" s="71"/>
      <c r="Q419" s="20"/>
      <c r="R419" s="20"/>
      <c r="S419" s="20"/>
      <c r="T419" s="20"/>
      <c r="U419" s="20"/>
      <c r="V419" s="20"/>
      <c r="W419" s="20"/>
      <c r="X419" s="20"/>
      <c r="Y419" s="20"/>
      <c r="Z419" s="20"/>
      <c r="AA419" s="20"/>
      <c r="AB419" s="20"/>
      <c r="AC419" s="20"/>
    </row>
    <row r="420" spans="1:29">
      <c r="A420" s="1" t="s">
        <v>386</v>
      </c>
      <c r="B420" s="1"/>
      <c r="C420" s="203">
        <v>7588</v>
      </c>
      <c r="D420" s="203">
        <f>ROUND(($D$434/$C$434)*C420,0)</f>
        <v>2956</v>
      </c>
      <c r="E420" s="183">
        <f>$E$189</f>
        <v>5.5839999999999996</v>
      </c>
      <c r="F420" s="207" t="s">
        <v>362</v>
      </c>
      <c r="G420" s="2">
        <f>ROUND(E420*$C420/100,0)</f>
        <v>424</v>
      </c>
      <c r="H420" s="2">
        <f>ROUND(E420*$D420/100,0)</f>
        <v>165</v>
      </c>
      <c r="I420" s="183">
        <f>$I$160</f>
        <v>6.0819999999999999</v>
      </c>
      <c r="J420" s="207" t="s">
        <v>362</v>
      </c>
      <c r="K420" s="2">
        <f>ROUND(I420*$C420/100,0)</f>
        <v>462</v>
      </c>
      <c r="M420" s="20"/>
      <c r="N420" s="20"/>
      <c r="O420" s="71"/>
      <c r="P420" s="71"/>
      <c r="Q420" s="20"/>
      <c r="R420" s="20"/>
      <c r="S420" s="20"/>
      <c r="T420" s="20"/>
      <c r="U420" s="20"/>
      <c r="V420" s="20"/>
      <c r="W420" s="20"/>
      <c r="X420" s="20"/>
      <c r="Y420" s="20"/>
      <c r="Z420" s="20"/>
      <c r="AA420" s="20"/>
      <c r="AB420" s="20"/>
      <c r="AC420" s="20"/>
    </row>
    <row r="421" spans="1:29">
      <c r="A421" s="1" t="s">
        <v>387</v>
      </c>
      <c r="B421" s="1"/>
      <c r="C421" s="203">
        <v>0</v>
      </c>
      <c r="D421" s="203">
        <f>ROUND(($D$434/$C$434)*C421,0)</f>
        <v>0</v>
      </c>
      <c r="E421" s="183">
        <f>$E$161</f>
        <v>4.8099999999999996</v>
      </c>
      <c r="F421" s="207" t="s">
        <v>362</v>
      </c>
      <c r="G421" s="2">
        <f>ROUND(E421*$C421/100,0)</f>
        <v>0</v>
      </c>
      <c r="H421" s="2">
        <f>ROUND(E421*$D421/100,0)</f>
        <v>0</v>
      </c>
      <c r="I421" s="183">
        <f>$I$161</f>
        <v>5.24</v>
      </c>
      <c r="J421" s="207" t="s">
        <v>362</v>
      </c>
      <c r="K421" s="2">
        <f>ROUND(I421*$C421/100,0)</f>
        <v>0</v>
      </c>
      <c r="M421" s="20"/>
      <c r="N421" s="20"/>
      <c r="O421" s="71"/>
      <c r="P421" s="71"/>
      <c r="Q421" s="20"/>
      <c r="R421" s="20"/>
      <c r="S421" s="20"/>
      <c r="T421" s="20"/>
      <c r="U421" s="20"/>
      <c r="V421" s="20"/>
      <c r="W421" s="20"/>
      <c r="X421" s="20"/>
      <c r="Y421" s="20"/>
      <c r="Z421" s="20"/>
      <c r="AA421" s="20"/>
      <c r="AB421" s="20"/>
      <c r="AC421" s="20"/>
    </row>
    <row r="422" spans="1:29">
      <c r="A422" s="1" t="s">
        <v>388</v>
      </c>
      <c r="B422" s="1"/>
      <c r="C422" s="203">
        <v>0</v>
      </c>
      <c r="D422" s="203">
        <f>ROUND(($D$434/$C$434)*C422,0)</f>
        <v>0</v>
      </c>
      <c r="E422" s="214">
        <f>$E$162</f>
        <v>45</v>
      </c>
      <c r="F422" s="205" t="s">
        <v>362</v>
      </c>
      <c r="G422" s="2">
        <f>ROUND(E422*$C422/100,0)</f>
        <v>0</v>
      </c>
      <c r="H422" s="2">
        <f>ROUND(E422*$D422/100,0)</f>
        <v>0</v>
      </c>
      <c r="I422" s="214">
        <f>$I$162</f>
        <v>50</v>
      </c>
      <c r="J422" s="207" t="s">
        <v>362</v>
      </c>
      <c r="K422" s="2">
        <f>ROUND(I422*$C422/100,0)</f>
        <v>0</v>
      </c>
      <c r="M422" s="20"/>
      <c r="N422" s="20"/>
      <c r="O422" s="71"/>
      <c r="P422" s="71"/>
      <c r="Q422" s="20"/>
      <c r="R422" s="20"/>
      <c r="S422" s="20"/>
      <c r="T422" s="20"/>
      <c r="U422" s="20"/>
      <c r="V422" s="20"/>
      <c r="W422" s="20"/>
      <c r="X422" s="20"/>
      <c r="Y422" s="20"/>
      <c r="Z422" s="20"/>
      <c r="AA422" s="20"/>
      <c r="AB422" s="20"/>
      <c r="AC422" s="20"/>
    </row>
    <row r="423" spans="1:29">
      <c r="A423" s="215" t="s">
        <v>389</v>
      </c>
      <c r="B423" s="1"/>
      <c r="C423" s="203"/>
      <c r="D423" s="203"/>
      <c r="E423" s="216">
        <v>-0.01</v>
      </c>
      <c r="F423" s="205"/>
      <c r="G423" s="2"/>
      <c r="H423" s="2"/>
      <c r="I423" s="216">
        <v>-0.01</v>
      </c>
      <c r="J423" s="207"/>
      <c r="K423" s="2"/>
      <c r="M423" s="20"/>
      <c r="N423" s="20"/>
      <c r="O423" s="71"/>
      <c r="P423" s="71"/>
      <c r="Q423" s="20"/>
      <c r="R423" s="20"/>
      <c r="S423" s="20"/>
      <c r="T423" s="20"/>
      <c r="U423" s="20"/>
      <c r="V423" s="20"/>
      <c r="W423" s="20"/>
      <c r="X423" s="20"/>
      <c r="Y423" s="20"/>
      <c r="Z423" s="20"/>
      <c r="AA423" s="20"/>
      <c r="AB423" s="20"/>
      <c r="AC423" s="20"/>
    </row>
    <row r="424" spans="1:29">
      <c r="A424" s="1" t="s">
        <v>378</v>
      </c>
      <c r="B424" s="1"/>
      <c r="C424" s="203">
        <v>0</v>
      </c>
      <c r="D424" s="203">
        <f>$D$417/$C$417*C424</f>
        <v>0</v>
      </c>
      <c r="E424" s="218">
        <f>E413</f>
        <v>90.36</v>
      </c>
      <c r="F424" s="205"/>
      <c r="G424" s="2">
        <f>-ROUND(E424*$C424/100,0)</f>
        <v>0</v>
      </c>
      <c r="H424" s="2">
        <f>-ROUND(E424*$D424/100,0)</f>
        <v>0</v>
      </c>
      <c r="I424" s="218">
        <f>I413</f>
        <v>96</v>
      </c>
      <c r="J424" s="205"/>
      <c r="K424" s="2">
        <f>-ROUND(I424*$C424/100,0)</f>
        <v>0</v>
      </c>
      <c r="M424" s="20"/>
      <c r="N424" s="20"/>
      <c r="O424" s="71"/>
      <c r="P424" s="71"/>
      <c r="Q424" s="20"/>
      <c r="R424" s="20"/>
      <c r="S424" s="20"/>
      <c r="T424" s="20"/>
      <c r="U424" s="20"/>
      <c r="V424" s="20"/>
      <c r="W424" s="20"/>
      <c r="X424" s="20"/>
      <c r="Y424" s="20"/>
      <c r="Z424" s="20"/>
      <c r="AA424" s="20"/>
      <c r="AB424" s="20"/>
      <c r="AC424" s="20"/>
    </row>
    <row r="425" spans="1:29">
      <c r="A425" s="1" t="s">
        <v>379</v>
      </c>
      <c r="B425" s="1"/>
      <c r="C425" s="203">
        <v>0</v>
      </c>
      <c r="D425" s="203">
        <f>$D$417/$C$417*C425</f>
        <v>0</v>
      </c>
      <c r="E425" s="218">
        <f>E414</f>
        <v>134.16</v>
      </c>
      <c r="F425" s="205"/>
      <c r="G425" s="2">
        <f>-ROUND(E425*$C425/100,0)</f>
        <v>0</v>
      </c>
      <c r="H425" s="2">
        <f>-ROUND(E425*$D425/100,0)</f>
        <v>0</v>
      </c>
      <c r="I425" s="218">
        <f>I414</f>
        <v>142.53386454183266</v>
      </c>
      <c r="J425" s="205"/>
      <c r="K425" s="2">
        <f>-ROUND(I425*$C425/100,0)</f>
        <v>0</v>
      </c>
      <c r="M425" s="20"/>
      <c r="N425" s="20"/>
      <c r="O425" s="71"/>
      <c r="P425" s="71"/>
      <c r="Q425" s="20"/>
      <c r="R425" s="20"/>
      <c r="S425" s="20"/>
      <c r="T425" s="20"/>
      <c r="U425" s="20"/>
      <c r="V425" s="20"/>
      <c r="W425" s="20"/>
      <c r="X425" s="20"/>
      <c r="Y425" s="20"/>
      <c r="Z425" s="20"/>
      <c r="AA425" s="20"/>
      <c r="AB425" s="20"/>
      <c r="AC425" s="20"/>
    </row>
    <row r="426" spans="1:29">
      <c r="A426" s="1" t="s">
        <v>390</v>
      </c>
      <c r="B426" s="1"/>
      <c r="C426" s="203">
        <v>0</v>
      </c>
      <c r="D426" s="203">
        <f t="shared" ref="D426:D431" si="38">ROUND(($D$434/$C$434)*C426,0)</f>
        <v>0</v>
      </c>
      <c r="E426" s="218">
        <f>E415</f>
        <v>9.36</v>
      </c>
      <c r="F426" s="205"/>
      <c r="G426" s="2">
        <f>-ROUND(E426*$C426/100,0)</f>
        <v>0</v>
      </c>
      <c r="H426" s="2">
        <f>-ROUND(E426*$D426/100,0)</f>
        <v>0</v>
      </c>
      <c r="I426" s="218">
        <f>I415</f>
        <v>9.94</v>
      </c>
      <c r="J426" s="205"/>
      <c r="K426" s="2">
        <f>-ROUND(I426*$C426/100,0)</f>
        <v>0</v>
      </c>
      <c r="M426" s="20"/>
      <c r="N426" s="20"/>
      <c r="O426" s="71"/>
      <c r="P426" s="71"/>
      <c r="Q426" s="20"/>
      <c r="R426" s="20"/>
      <c r="S426" s="20"/>
      <c r="T426" s="20"/>
      <c r="U426" s="20"/>
      <c r="V426" s="20"/>
      <c r="W426" s="20"/>
      <c r="X426" s="20"/>
      <c r="Y426" s="20"/>
      <c r="Z426" s="20"/>
      <c r="AA426" s="20"/>
      <c r="AB426" s="20"/>
      <c r="AC426" s="20"/>
    </row>
    <row r="427" spans="1:29">
      <c r="A427" s="1" t="s">
        <v>391</v>
      </c>
      <c r="B427" s="1"/>
      <c r="C427" s="203">
        <v>0</v>
      </c>
      <c r="D427" s="203">
        <f t="shared" si="38"/>
        <v>0</v>
      </c>
      <c r="E427" s="218">
        <f>E418</f>
        <v>2.88</v>
      </c>
      <c r="F427" s="207"/>
      <c r="G427" s="2">
        <f>-ROUND(E427*$C427/100,0)</f>
        <v>0</v>
      </c>
      <c r="H427" s="2">
        <f>-ROUND(E427*$D427/100,0)</f>
        <v>0</v>
      </c>
      <c r="I427" s="218">
        <f>I418</f>
        <v>2.97</v>
      </c>
      <c r="J427" s="207"/>
      <c r="K427" s="2">
        <f>-ROUND(I427*$C427/100,0)</f>
        <v>0</v>
      </c>
      <c r="M427" s="20"/>
      <c r="N427" s="20"/>
      <c r="O427" s="71"/>
      <c r="P427" s="71"/>
      <c r="Q427" s="20"/>
      <c r="R427" s="20"/>
      <c r="S427" s="20"/>
      <c r="T427" s="20"/>
      <c r="U427" s="20"/>
      <c r="V427" s="20"/>
      <c r="W427" s="20"/>
      <c r="X427" s="20"/>
      <c r="Y427" s="20"/>
      <c r="Z427" s="20"/>
      <c r="AA427" s="20"/>
      <c r="AB427" s="20"/>
      <c r="AC427" s="20"/>
    </row>
    <row r="428" spans="1:29">
      <c r="A428" s="1" t="s">
        <v>393</v>
      </c>
      <c r="B428" s="1"/>
      <c r="C428" s="203">
        <v>0</v>
      </c>
      <c r="D428" s="203">
        <f t="shared" si="38"/>
        <v>0</v>
      </c>
      <c r="E428" s="219">
        <f>E419</f>
        <v>8.0890000000000004</v>
      </c>
      <c r="F428" s="207" t="s">
        <v>362</v>
      </c>
      <c r="G428" s="2">
        <f>ROUND(E428*$C428/100*E423,0)</f>
        <v>0</v>
      </c>
      <c r="H428" s="2">
        <f>ROUND(E428*$D428/100*E423,0)</f>
        <v>0</v>
      </c>
      <c r="I428" s="219">
        <f>I419</f>
        <v>8.8109999999999999</v>
      </c>
      <c r="J428" s="207" t="s">
        <v>362</v>
      </c>
      <c r="K428" s="2">
        <f>ROUND(I428*$C428/100*I423,0)</f>
        <v>0</v>
      </c>
      <c r="M428" s="20"/>
      <c r="N428" s="20"/>
      <c r="O428" s="71"/>
      <c r="P428" s="71"/>
      <c r="Q428" s="20"/>
      <c r="R428" s="20"/>
      <c r="S428" s="20"/>
      <c r="T428" s="20"/>
      <c r="U428" s="20"/>
      <c r="V428" s="20"/>
      <c r="W428" s="20"/>
      <c r="X428" s="20"/>
      <c r="Y428" s="20"/>
      <c r="Z428" s="20"/>
      <c r="AA428" s="20"/>
      <c r="AB428" s="20"/>
      <c r="AC428" s="20"/>
    </row>
    <row r="429" spans="1:29">
      <c r="A429" s="1" t="s">
        <v>386</v>
      </c>
      <c r="B429" s="1"/>
      <c r="C429" s="203">
        <v>0</v>
      </c>
      <c r="D429" s="203">
        <f t="shared" si="38"/>
        <v>0</v>
      </c>
      <c r="E429" s="219">
        <f>E420</f>
        <v>5.5839999999999996</v>
      </c>
      <c r="F429" s="207" t="s">
        <v>362</v>
      </c>
      <c r="G429" s="2">
        <f>ROUND(E429*$C429/100*E423,0)</f>
        <v>0</v>
      </c>
      <c r="H429" s="2">
        <f>ROUND(E429*$D429/100*E423,0)</f>
        <v>0</v>
      </c>
      <c r="I429" s="219">
        <f>I420</f>
        <v>6.0819999999999999</v>
      </c>
      <c r="J429" s="207" t="s">
        <v>362</v>
      </c>
      <c r="K429" s="2">
        <f>ROUND(I429*$C429/100*I423,0)</f>
        <v>0</v>
      </c>
      <c r="M429" s="20"/>
      <c r="N429" s="20"/>
      <c r="O429" s="71"/>
      <c r="P429" s="71"/>
      <c r="Q429" s="20"/>
      <c r="R429" s="20"/>
      <c r="S429" s="20"/>
      <c r="T429" s="20"/>
      <c r="U429" s="20"/>
      <c r="V429" s="20"/>
      <c r="W429" s="20"/>
      <c r="X429" s="20"/>
      <c r="Y429" s="20"/>
      <c r="Z429" s="20"/>
      <c r="AA429" s="20"/>
      <c r="AB429" s="20"/>
      <c r="AC429" s="20"/>
    </row>
    <row r="430" spans="1:29">
      <c r="A430" s="1" t="s">
        <v>387</v>
      </c>
      <c r="B430" s="1"/>
      <c r="C430" s="203">
        <v>0</v>
      </c>
      <c r="D430" s="203">
        <f t="shared" si="38"/>
        <v>0</v>
      </c>
      <c r="E430" s="219">
        <f>E421</f>
        <v>4.8099999999999996</v>
      </c>
      <c r="F430" s="207" t="s">
        <v>362</v>
      </c>
      <c r="G430" s="2">
        <f>ROUND(E430*$C430/100*E423,0)</f>
        <v>0</v>
      </c>
      <c r="H430" s="2">
        <f>ROUND(E430*$D430/100*E423,0)</f>
        <v>0</v>
      </c>
      <c r="I430" s="219">
        <f>I421</f>
        <v>5.24</v>
      </c>
      <c r="J430" s="207" t="s">
        <v>362</v>
      </c>
      <c r="K430" s="2">
        <f>ROUND(I430*$C430/100*I423,0)</f>
        <v>0</v>
      </c>
      <c r="M430" s="20"/>
      <c r="N430" s="20"/>
      <c r="O430" s="71"/>
      <c r="P430" s="71"/>
      <c r="Q430" s="20"/>
      <c r="R430" s="20"/>
      <c r="S430" s="20"/>
      <c r="T430" s="20"/>
      <c r="U430" s="20"/>
      <c r="V430" s="20"/>
      <c r="W430" s="20"/>
      <c r="X430" s="20"/>
      <c r="Y430" s="20"/>
      <c r="Z430" s="20"/>
      <c r="AA430" s="20"/>
      <c r="AB430" s="20"/>
      <c r="AC430" s="20"/>
    </row>
    <row r="431" spans="1:29">
      <c r="A431" s="1" t="s">
        <v>388</v>
      </c>
      <c r="B431" s="1"/>
      <c r="C431" s="203">
        <v>0</v>
      </c>
      <c r="D431" s="203">
        <f t="shared" si="38"/>
        <v>0</v>
      </c>
      <c r="E431" s="220">
        <f>E422</f>
        <v>45</v>
      </c>
      <c r="F431" s="207" t="s">
        <v>362</v>
      </c>
      <c r="G431" s="2">
        <f>ROUND(E431*$C431/100*E423,0)</f>
        <v>0</v>
      </c>
      <c r="H431" s="2">
        <f>ROUND(E431*$D431/100*E423,0)</f>
        <v>0</v>
      </c>
      <c r="I431" s="220">
        <f>I422</f>
        <v>50</v>
      </c>
      <c r="J431" s="207" t="s">
        <v>362</v>
      </c>
      <c r="K431" s="2">
        <f>ROUND(I431*$C431/100*I423,0)</f>
        <v>0</v>
      </c>
      <c r="M431" s="20"/>
      <c r="N431" s="20"/>
      <c r="O431" s="71"/>
      <c r="P431" s="71"/>
      <c r="Q431" s="20"/>
      <c r="R431" s="20"/>
      <c r="S431" s="20"/>
      <c r="T431" s="20"/>
      <c r="U431" s="20"/>
      <c r="V431" s="20"/>
      <c r="W431" s="20"/>
      <c r="X431" s="20"/>
      <c r="Y431" s="20"/>
      <c r="Z431" s="20"/>
      <c r="AA431" s="20"/>
      <c r="AB431" s="20"/>
      <c r="AC431" s="20"/>
    </row>
    <row r="432" spans="1:29">
      <c r="A432" s="1" t="s">
        <v>395</v>
      </c>
      <c r="B432" s="1"/>
      <c r="C432" s="203">
        <v>0</v>
      </c>
      <c r="D432" s="203">
        <f>$D$417/$C$417*C432</f>
        <v>0</v>
      </c>
      <c r="E432" s="221">
        <f>$E$172</f>
        <v>60</v>
      </c>
      <c r="F432" s="205"/>
      <c r="G432" s="2">
        <f>ROUND(E432*$C432,0)</f>
        <v>0</v>
      </c>
      <c r="H432" s="2">
        <f>ROUND(E432*$D432,0)</f>
        <v>0</v>
      </c>
      <c r="I432" s="221">
        <f>$I$172</f>
        <v>60</v>
      </c>
      <c r="J432" s="207"/>
      <c r="K432" s="2">
        <f>ROUND(I432*$C432,0)</f>
        <v>0</v>
      </c>
      <c r="M432" s="20"/>
      <c r="N432" s="20"/>
      <c r="O432" s="71"/>
      <c r="P432" s="71"/>
      <c r="Q432" s="20"/>
      <c r="R432" s="20"/>
      <c r="S432" s="20"/>
      <c r="T432" s="20"/>
      <c r="U432" s="20"/>
      <c r="V432" s="20"/>
      <c r="W432" s="20"/>
      <c r="X432" s="20"/>
      <c r="Y432" s="20"/>
      <c r="Z432" s="20"/>
      <c r="AA432" s="20"/>
      <c r="AB432" s="20"/>
      <c r="AC432" s="20"/>
    </row>
    <row r="433" spans="1:29">
      <c r="A433" s="1" t="s">
        <v>396</v>
      </c>
      <c r="B433" s="1"/>
      <c r="C433" s="203">
        <v>0</v>
      </c>
      <c r="D433" s="203">
        <f>ROUND(($D$434/$C$434)*C433,0)</f>
        <v>0</v>
      </c>
      <c r="E433" s="223">
        <f>$E$173</f>
        <v>-30</v>
      </c>
      <c r="F433" s="205" t="s">
        <v>362</v>
      </c>
      <c r="G433" s="2">
        <f>ROUND(E433*$C433/100,0)</f>
        <v>0</v>
      </c>
      <c r="H433" s="2">
        <f>ROUND(E433*$D433/100,0)</f>
        <v>0</v>
      </c>
      <c r="I433" s="223">
        <f>$I$173</f>
        <v>-30</v>
      </c>
      <c r="J433" s="207" t="s">
        <v>362</v>
      </c>
      <c r="K433" s="2">
        <f>ROUND(I433*$C433/100,0)</f>
        <v>0</v>
      </c>
      <c r="M433" s="20"/>
      <c r="N433" s="20"/>
      <c r="O433" s="71"/>
      <c r="P433" s="71"/>
      <c r="Q433" s="20"/>
      <c r="R433" s="20"/>
      <c r="S433" s="20"/>
      <c r="T433" s="20"/>
      <c r="U433" s="20"/>
      <c r="V433" s="20"/>
      <c r="W433" s="20"/>
      <c r="X433" s="20"/>
      <c r="Y433" s="20"/>
      <c r="Z433" s="20"/>
      <c r="AA433" s="20"/>
      <c r="AB433" s="20"/>
      <c r="AC433" s="20"/>
    </row>
    <row r="434" spans="1:29">
      <c r="A434" s="1" t="s">
        <v>369</v>
      </c>
      <c r="B434" s="1"/>
      <c r="C434" s="203">
        <f>SUM(C419:C421)</f>
        <v>14520</v>
      </c>
      <c r="D434" s="203">
        <v>5657.1497597183234</v>
      </c>
      <c r="E434" s="214"/>
      <c r="F434" s="2"/>
      <c r="G434" s="2">
        <f>SUM(G413:G433)</f>
        <v>2550</v>
      </c>
      <c r="H434" s="2">
        <f>SUM(H413:H433)</f>
        <v>1132</v>
      </c>
      <c r="I434" s="214"/>
      <c r="J434" s="207"/>
      <c r="K434" s="2">
        <f>SUM(K413:K433)</f>
        <v>2713</v>
      </c>
      <c r="M434" s="20"/>
      <c r="N434" s="20"/>
      <c r="O434" s="71"/>
      <c r="P434" s="71"/>
      <c r="Q434" s="20"/>
      <c r="R434" s="20"/>
      <c r="S434" s="20"/>
      <c r="T434" s="20"/>
      <c r="U434" s="20"/>
      <c r="V434" s="20"/>
      <c r="W434" s="20"/>
      <c r="X434" s="20"/>
      <c r="Y434" s="20"/>
      <c r="Z434" s="20"/>
      <c r="AA434" s="20"/>
      <c r="AB434" s="20"/>
      <c r="AC434" s="20"/>
    </row>
    <row r="435" spans="1:29">
      <c r="A435" s="1" t="s">
        <v>351</v>
      </c>
      <c r="B435" s="1"/>
      <c r="C435" s="233" t="e">
        <f>#REF!</f>
        <v>#REF!</v>
      </c>
      <c r="D435" s="233">
        <v>0</v>
      </c>
      <c r="E435" s="193"/>
      <c r="F435" s="193"/>
      <c r="G435" s="225" t="e">
        <f>#REF!</f>
        <v>#REF!</v>
      </c>
      <c r="H435" s="225">
        <v>0</v>
      </c>
      <c r="I435" s="193"/>
      <c r="J435" s="193"/>
      <c r="K435" s="225" t="e">
        <f>G435</f>
        <v>#REF!</v>
      </c>
      <c r="M435" s="328"/>
      <c r="N435" s="328"/>
      <c r="O435" s="171"/>
      <c r="P435" s="71"/>
      <c r="Q435" s="20"/>
      <c r="R435" s="20"/>
      <c r="S435" s="20"/>
      <c r="T435" s="20"/>
      <c r="U435" s="20"/>
      <c r="V435" s="20"/>
      <c r="W435" s="20"/>
      <c r="X435" s="20"/>
      <c r="Y435" s="20"/>
      <c r="Z435" s="20"/>
      <c r="AA435" s="20"/>
      <c r="AB435" s="20"/>
      <c r="AC435" s="20"/>
    </row>
    <row r="436" spans="1:29" ht="16.5" thickBot="1">
      <c r="A436" s="1" t="s">
        <v>370</v>
      </c>
      <c r="B436" s="1"/>
      <c r="C436" s="195" t="e">
        <f>SUM(C434:C435)</f>
        <v>#REF!</v>
      </c>
      <c r="D436" s="195">
        <f>SUM(D434:D435)</f>
        <v>5657.1497597183234</v>
      </c>
      <c r="E436" s="226"/>
      <c r="F436" s="227"/>
      <c r="G436" s="228" t="e">
        <f>G434+G435</f>
        <v>#REF!</v>
      </c>
      <c r="H436" s="228">
        <f>H434+H435</f>
        <v>1132</v>
      </c>
      <c r="I436" s="226"/>
      <c r="J436" s="229"/>
      <c r="K436" s="228" t="e">
        <f>K434+K435</f>
        <v>#REF!</v>
      </c>
      <c r="M436" s="295"/>
      <c r="N436" s="295"/>
      <c r="O436" s="354"/>
      <c r="P436" s="71"/>
      <c r="Q436" s="20"/>
      <c r="R436" s="20"/>
      <c r="S436" s="20"/>
      <c r="T436" s="20"/>
      <c r="U436" s="20"/>
      <c r="V436" s="20"/>
      <c r="W436" s="20"/>
      <c r="X436" s="20"/>
      <c r="Y436" s="20"/>
      <c r="Z436" s="20"/>
      <c r="AA436" s="20"/>
      <c r="AB436" s="20"/>
      <c r="AC436" s="20"/>
    </row>
    <row r="437" spans="1:29" ht="16.5" thickTop="1">
      <c r="A437" s="1"/>
      <c r="B437" s="1"/>
      <c r="C437" s="21"/>
      <c r="D437" s="21"/>
      <c r="E437" s="221"/>
      <c r="F437" s="2"/>
      <c r="G437" s="2"/>
      <c r="H437" s="2"/>
      <c r="I437" s="237" t="s">
        <v>31</v>
      </c>
      <c r="J437" s="1"/>
      <c r="K437" s="2" t="s">
        <v>31</v>
      </c>
      <c r="M437" s="20"/>
      <c r="N437" s="20"/>
      <c r="O437" s="71"/>
      <c r="P437" s="71"/>
      <c r="Q437" s="20"/>
      <c r="R437" s="20"/>
      <c r="S437" s="20"/>
      <c r="T437" s="20"/>
      <c r="U437" s="20"/>
      <c r="V437" s="20"/>
      <c r="W437" s="20"/>
      <c r="X437" s="20"/>
      <c r="Y437" s="20"/>
      <c r="Z437" s="20"/>
      <c r="AA437" s="20"/>
      <c r="AB437" s="20"/>
      <c r="AC437" s="20"/>
    </row>
    <row r="438" spans="1:29">
      <c r="A438" s="1"/>
      <c r="B438" s="1"/>
      <c r="C438" s="21"/>
      <c r="D438" s="21"/>
      <c r="E438" s="221"/>
      <c r="F438" s="2"/>
      <c r="G438" s="2"/>
      <c r="H438" s="2"/>
      <c r="I438" s="237" t="s">
        <v>31</v>
      </c>
      <c r="J438" s="1"/>
      <c r="K438" s="2" t="s">
        <v>31</v>
      </c>
      <c r="M438" s="20"/>
      <c r="N438" s="20"/>
      <c r="O438" s="71"/>
      <c r="P438" s="71"/>
      <c r="Q438" s="20"/>
      <c r="R438" s="20"/>
      <c r="S438" s="20"/>
      <c r="T438" s="20"/>
      <c r="U438" s="20"/>
      <c r="V438" s="20"/>
      <c r="W438" s="20"/>
      <c r="X438" s="20"/>
      <c r="Y438" s="20"/>
      <c r="Z438" s="20"/>
      <c r="AA438" s="20"/>
      <c r="AB438" s="20"/>
      <c r="AC438" s="20"/>
    </row>
    <row r="439" spans="1:29">
      <c r="A439" s="177" t="s">
        <v>408</v>
      </c>
      <c r="B439" s="1"/>
      <c r="C439" s="238"/>
      <c r="D439" s="238"/>
      <c r="E439" s="2"/>
      <c r="F439" s="2"/>
      <c r="G439" s="1"/>
      <c r="H439" s="1"/>
      <c r="I439" s="2"/>
      <c r="J439" s="1"/>
      <c r="K439" s="2" t="s">
        <v>31</v>
      </c>
      <c r="M439" s="20"/>
      <c r="N439" s="20"/>
      <c r="O439" s="71"/>
      <c r="P439" s="71"/>
      <c r="Q439" s="20"/>
      <c r="R439" s="20"/>
      <c r="S439" s="20"/>
      <c r="T439" s="20"/>
      <c r="U439" s="20"/>
      <c r="V439" s="20"/>
      <c r="W439" s="20"/>
      <c r="X439" s="20"/>
      <c r="Y439" s="20"/>
      <c r="Z439" s="20"/>
      <c r="AA439" s="20"/>
      <c r="AB439" s="20"/>
      <c r="AC439" s="20"/>
    </row>
    <row r="440" spans="1:29">
      <c r="A440" s="207" t="s">
        <v>323</v>
      </c>
      <c r="B440" s="1"/>
      <c r="C440" s="1" t="s">
        <v>31</v>
      </c>
      <c r="D440" s="1"/>
      <c r="E440" s="2"/>
      <c r="F440" s="2"/>
      <c r="G440" s="1"/>
      <c r="H440" s="1"/>
      <c r="I440" s="2"/>
      <c r="J440" s="1"/>
      <c r="K440" s="1"/>
      <c r="M440" s="20"/>
      <c r="N440" s="20"/>
      <c r="O440" s="71"/>
      <c r="P440" s="71"/>
      <c r="Q440" s="20"/>
      <c r="R440" s="20"/>
      <c r="S440" s="20"/>
      <c r="T440" s="20"/>
      <c r="U440" s="20"/>
      <c r="V440" s="20"/>
      <c r="W440" s="20"/>
      <c r="X440" s="20"/>
      <c r="Y440" s="20"/>
      <c r="Z440" s="20"/>
      <c r="AA440" s="20"/>
      <c r="AB440" s="20"/>
      <c r="AC440" s="20"/>
    </row>
    <row r="441" spans="1:29">
      <c r="A441" s="207"/>
      <c r="B441" s="1"/>
      <c r="C441" s="1"/>
      <c r="D441" s="1"/>
      <c r="E441" s="2"/>
      <c r="F441" s="2"/>
      <c r="G441" s="1"/>
      <c r="H441" s="1"/>
      <c r="I441" s="2"/>
      <c r="J441" s="1"/>
      <c r="K441" s="1"/>
      <c r="M441" s="20"/>
      <c r="N441" s="20"/>
      <c r="O441" s="71"/>
      <c r="P441" s="71"/>
      <c r="Q441" s="20"/>
      <c r="R441" s="20"/>
      <c r="S441" s="20"/>
      <c r="T441" s="20"/>
      <c r="U441" s="20"/>
      <c r="V441" s="20"/>
      <c r="W441" s="20"/>
      <c r="X441" s="20"/>
      <c r="Y441" s="20"/>
      <c r="Z441" s="20"/>
      <c r="AA441" s="20"/>
      <c r="AB441" s="20"/>
      <c r="AC441" s="20"/>
    </row>
    <row r="442" spans="1:29">
      <c r="A442" s="207" t="s">
        <v>381</v>
      </c>
      <c r="B442" s="1"/>
      <c r="C442" s="203"/>
      <c r="D442" s="203"/>
      <c r="E442" s="2"/>
      <c r="F442" s="2"/>
      <c r="G442" s="1"/>
      <c r="H442" s="1"/>
      <c r="I442" s="2"/>
      <c r="J442" s="1"/>
      <c r="K442" s="1"/>
      <c r="M442" s="20"/>
      <c r="N442" s="20"/>
      <c r="O442" s="71"/>
      <c r="P442" s="71"/>
      <c r="Q442" s="20"/>
      <c r="R442" s="20"/>
      <c r="S442" s="20"/>
      <c r="T442" s="20"/>
      <c r="U442" s="20"/>
      <c r="V442" s="20"/>
      <c r="W442" s="20"/>
      <c r="X442" s="20"/>
      <c r="Y442" s="20"/>
      <c r="Z442" s="20"/>
      <c r="AA442" s="20"/>
      <c r="AB442" s="20"/>
      <c r="AC442" s="20"/>
    </row>
    <row r="443" spans="1:29">
      <c r="A443" s="207" t="s">
        <v>409</v>
      </c>
      <c r="B443" s="1"/>
      <c r="C443" s="203">
        <v>0</v>
      </c>
      <c r="D443" s="203">
        <v>0</v>
      </c>
      <c r="E443" s="239">
        <f>E480</f>
        <v>225</v>
      </c>
      <c r="F443" s="207"/>
      <c r="G443" s="205">
        <f t="shared" ref="G443:H445" si="39">ROUND(E443*$C443,0)</f>
        <v>0</v>
      </c>
      <c r="H443" s="205">
        <f t="shared" si="39"/>
        <v>0</v>
      </c>
      <c r="I443" s="239">
        <f>'Blocking - detail'!I443</f>
        <v>225</v>
      </c>
      <c r="J443" s="207"/>
      <c r="K443" s="205">
        <f>ROUND(I443*$C443,0)</f>
        <v>0</v>
      </c>
      <c r="M443" s="20"/>
      <c r="N443" s="20"/>
      <c r="O443" s="71"/>
      <c r="P443" s="71"/>
      <c r="Q443" s="20"/>
      <c r="R443" s="20"/>
      <c r="S443" s="20"/>
      <c r="T443" s="20"/>
      <c r="U443" s="20"/>
      <c r="V443" s="20"/>
      <c r="W443" s="20"/>
      <c r="X443" s="20"/>
      <c r="Y443" s="20"/>
      <c r="Z443" s="20"/>
      <c r="AA443" s="20"/>
      <c r="AB443" s="20"/>
      <c r="AC443" s="20"/>
    </row>
    <row r="444" spans="1:29">
      <c r="A444" s="207" t="s">
        <v>410</v>
      </c>
      <c r="B444" s="1"/>
      <c r="C444" s="203">
        <v>0</v>
      </c>
      <c r="D444" s="203">
        <v>0</v>
      </c>
      <c r="E444" s="239">
        <f>E481</f>
        <v>83</v>
      </c>
      <c r="F444" s="207"/>
      <c r="G444" s="205">
        <f t="shared" si="39"/>
        <v>0</v>
      </c>
      <c r="H444" s="205">
        <f t="shared" si="39"/>
        <v>0</v>
      </c>
      <c r="I444" s="239">
        <f>'Blocking - detail'!I444</f>
        <v>83</v>
      </c>
      <c r="J444" s="207"/>
      <c r="K444" s="205">
        <f>ROUND(I444*$C444,0)</f>
        <v>0</v>
      </c>
      <c r="M444" s="20"/>
      <c r="N444" s="20"/>
      <c r="O444" s="71"/>
      <c r="P444" s="71"/>
      <c r="Q444" s="20"/>
      <c r="R444" s="20"/>
      <c r="S444" s="20"/>
      <c r="T444" s="20"/>
      <c r="U444" s="20"/>
      <c r="V444" s="20"/>
      <c r="W444" s="20"/>
      <c r="X444" s="20"/>
      <c r="Y444" s="20"/>
      <c r="Z444" s="20"/>
      <c r="AA444" s="20"/>
      <c r="AB444" s="20"/>
      <c r="AC444" s="20"/>
    </row>
    <row r="445" spans="1:29">
      <c r="A445" s="207" t="s">
        <v>411</v>
      </c>
      <c r="B445" s="1"/>
      <c r="C445" s="203">
        <v>0</v>
      </c>
      <c r="D445" s="203">
        <v>0</v>
      </c>
      <c r="E445" s="239">
        <f>E482</f>
        <v>166</v>
      </c>
      <c r="F445" s="209"/>
      <c r="G445" s="205">
        <f t="shared" si="39"/>
        <v>0</v>
      </c>
      <c r="H445" s="205">
        <f t="shared" si="39"/>
        <v>0</v>
      </c>
      <c r="I445" s="239">
        <f>'Blocking - detail'!I445</f>
        <v>166</v>
      </c>
      <c r="J445" s="209"/>
      <c r="K445" s="205">
        <f>ROUND(I445*$C445,0)</f>
        <v>0</v>
      </c>
      <c r="M445" s="20"/>
      <c r="N445" s="20"/>
      <c r="O445" s="71"/>
      <c r="P445" s="71"/>
      <c r="Q445" s="20"/>
      <c r="R445" s="20"/>
      <c r="S445" s="20"/>
      <c r="T445" s="20"/>
      <c r="U445" s="20"/>
      <c r="V445" s="20"/>
      <c r="W445" s="20"/>
      <c r="X445" s="20"/>
      <c r="Y445" s="20"/>
      <c r="Z445" s="20"/>
      <c r="AA445" s="20"/>
      <c r="AB445" s="20"/>
      <c r="AC445" s="20"/>
    </row>
    <row r="446" spans="1:29">
      <c r="A446" s="207" t="s">
        <v>382</v>
      </c>
      <c r="B446" s="1"/>
      <c r="C446" s="203">
        <f>SUM(C443:C445)</f>
        <v>0</v>
      </c>
      <c r="D446" s="203">
        <f>SUM(D443:D445)</f>
        <v>0</v>
      </c>
      <c r="E446" s="239"/>
      <c r="F446" s="207"/>
      <c r="G446" s="205"/>
      <c r="H446" s="205"/>
      <c r="I446" s="239"/>
      <c r="J446" s="207"/>
      <c r="K446" s="205"/>
      <c r="M446" s="20"/>
      <c r="N446" s="20"/>
      <c r="O446" s="71"/>
      <c r="P446" s="71"/>
      <c r="Q446" s="20"/>
      <c r="R446" s="20"/>
      <c r="S446" s="20"/>
      <c r="T446" s="20"/>
      <c r="U446" s="20"/>
      <c r="V446" s="20"/>
      <c r="W446" s="20"/>
      <c r="X446" s="20"/>
      <c r="Y446" s="20"/>
      <c r="Z446" s="20"/>
      <c r="AA446" s="20"/>
      <c r="AB446" s="20"/>
      <c r="AC446" s="20"/>
    </row>
    <row r="447" spans="1:29">
      <c r="A447" s="207" t="s">
        <v>410</v>
      </c>
      <c r="B447" s="1"/>
      <c r="C447" s="203">
        <v>0</v>
      </c>
      <c r="D447" s="203">
        <v>0</v>
      </c>
      <c r="E447" s="239">
        <f>E484</f>
        <v>1.47</v>
      </c>
      <c r="F447" s="207" t="s">
        <v>31</v>
      </c>
      <c r="G447" s="205">
        <f>ROUND(E447*$C447,0)</f>
        <v>0</v>
      </c>
      <c r="H447" s="205">
        <f>ROUND(F447*$C447,0)</f>
        <v>0</v>
      </c>
      <c r="I447" s="239">
        <f>'Blocking - detail'!I447</f>
        <v>1.47</v>
      </c>
      <c r="J447" s="207" t="s">
        <v>31</v>
      </c>
      <c r="K447" s="205">
        <f>ROUND(I447*$C447,0)</f>
        <v>0</v>
      </c>
      <c r="M447" s="20"/>
      <c r="N447" s="20"/>
      <c r="O447" s="71"/>
      <c r="P447" s="71"/>
      <c r="Q447" s="20"/>
      <c r="R447" s="20"/>
      <c r="S447" s="20"/>
      <c r="T447" s="20"/>
      <c r="U447" s="20"/>
      <c r="V447" s="20"/>
      <c r="W447" s="20"/>
      <c r="X447" s="20"/>
      <c r="Y447" s="20"/>
      <c r="Z447" s="20"/>
      <c r="AA447" s="20"/>
      <c r="AB447" s="20"/>
      <c r="AC447" s="20"/>
    </row>
    <row r="448" spans="1:29">
      <c r="A448" s="207" t="s">
        <v>411</v>
      </c>
      <c r="B448" s="1"/>
      <c r="C448" s="203">
        <v>0</v>
      </c>
      <c r="D448" s="203">
        <v>0</v>
      </c>
      <c r="E448" s="239">
        <f>E485</f>
        <v>1.2</v>
      </c>
      <c r="F448" s="207" t="s">
        <v>31</v>
      </c>
      <c r="G448" s="205">
        <f>ROUND(E448*$C448,0)</f>
        <v>0</v>
      </c>
      <c r="H448" s="205">
        <f>ROUND(F448*$C448,0)</f>
        <v>0</v>
      </c>
      <c r="I448" s="239">
        <f>'Blocking - detail'!I448</f>
        <v>1.2</v>
      </c>
      <c r="J448" s="207" t="s">
        <v>31</v>
      </c>
      <c r="K448" s="205">
        <f>ROUND(I448*$C448,0)</f>
        <v>0</v>
      </c>
      <c r="M448" s="20"/>
      <c r="N448" s="20"/>
      <c r="O448" s="71"/>
      <c r="P448" s="71"/>
      <c r="Q448" s="20"/>
      <c r="R448" s="20"/>
      <c r="S448" s="20"/>
      <c r="T448" s="20"/>
      <c r="U448" s="20"/>
      <c r="V448" s="20"/>
      <c r="W448" s="20"/>
      <c r="X448" s="20"/>
      <c r="Y448" s="20"/>
      <c r="Z448" s="20"/>
      <c r="AA448" s="20"/>
      <c r="AB448" s="20"/>
      <c r="AC448" s="20"/>
    </row>
    <row r="449" spans="1:29">
      <c r="A449" s="193" t="s">
        <v>412</v>
      </c>
      <c r="B449" s="1"/>
      <c r="C449" s="203"/>
      <c r="D449" s="203"/>
      <c r="E449" s="239"/>
      <c r="F449" s="207"/>
      <c r="G449" s="205"/>
      <c r="H449" s="205"/>
      <c r="I449" s="239"/>
      <c r="J449" s="207"/>
      <c r="K449" s="205"/>
      <c r="M449" s="20"/>
      <c r="N449" s="20"/>
      <c r="O449" s="71"/>
      <c r="P449" s="71"/>
      <c r="Q449" s="20"/>
      <c r="R449" s="20"/>
      <c r="S449" s="20"/>
      <c r="T449" s="20"/>
      <c r="U449" s="20"/>
      <c r="V449" s="20"/>
      <c r="W449" s="20"/>
      <c r="X449" s="20"/>
      <c r="Y449" s="20"/>
      <c r="Z449" s="20"/>
      <c r="AA449" s="20"/>
      <c r="AB449" s="20"/>
      <c r="AC449" s="20"/>
    </row>
    <row r="450" spans="1:29">
      <c r="A450" s="193" t="s">
        <v>413</v>
      </c>
      <c r="B450" s="1"/>
      <c r="C450" s="203">
        <v>0</v>
      </c>
      <c r="D450" s="203">
        <v>0</v>
      </c>
      <c r="E450" s="239">
        <f>E487</f>
        <v>3.75</v>
      </c>
      <c r="F450" s="207"/>
      <c r="G450" s="205">
        <f>ROUND(E450*$C450,0)</f>
        <v>0</v>
      </c>
      <c r="H450" s="205">
        <f>ROUND(F450*$C450,0)</f>
        <v>0</v>
      </c>
      <c r="I450" s="239">
        <f>'Blocking - detail'!I450</f>
        <v>3.75</v>
      </c>
      <c r="J450" s="207"/>
      <c r="K450" s="205">
        <f>ROUND(I450*$C450,0)</f>
        <v>0</v>
      </c>
      <c r="M450" s="20"/>
      <c r="N450" s="20"/>
      <c r="O450" s="71"/>
      <c r="P450" s="71"/>
      <c r="Q450" s="20"/>
      <c r="R450" s="20"/>
      <c r="S450" s="20"/>
      <c r="T450" s="20"/>
      <c r="U450" s="20"/>
      <c r="V450" s="20"/>
      <c r="W450" s="20"/>
      <c r="X450" s="20"/>
      <c r="Y450" s="20"/>
      <c r="Z450" s="20"/>
      <c r="AA450" s="20"/>
      <c r="AB450" s="20"/>
      <c r="AC450" s="20"/>
    </row>
    <row r="451" spans="1:29">
      <c r="A451" s="207" t="s">
        <v>414</v>
      </c>
      <c r="B451" s="1"/>
      <c r="C451" s="203"/>
      <c r="D451" s="203"/>
      <c r="E451" s="240"/>
      <c r="F451" s="205"/>
      <c r="G451" s="205"/>
      <c r="H451" s="205"/>
      <c r="I451" s="240"/>
      <c r="J451" s="205"/>
      <c r="K451" s="205"/>
      <c r="M451" s="20"/>
      <c r="N451" s="20"/>
      <c r="O451" s="71"/>
      <c r="P451" s="71"/>
      <c r="Q451" s="20"/>
      <c r="R451" s="20"/>
      <c r="S451" s="20"/>
      <c r="T451" s="20"/>
      <c r="U451" s="20"/>
      <c r="V451" s="20"/>
      <c r="W451" s="20"/>
      <c r="X451" s="20"/>
      <c r="Y451" s="20"/>
      <c r="Z451" s="20"/>
      <c r="AA451" s="20"/>
      <c r="AB451" s="20"/>
      <c r="AC451" s="20"/>
    </row>
    <row r="452" spans="1:29">
      <c r="A452" s="207" t="s">
        <v>415</v>
      </c>
      <c r="B452" s="1"/>
      <c r="C452" s="203">
        <v>0</v>
      </c>
      <c r="D452" s="203">
        <v>0</v>
      </c>
      <c r="E452" s="219">
        <f>E490</f>
        <v>4.3570000000000002</v>
      </c>
      <c r="F452" s="205" t="s">
        <v>362</v>
      </c>
      <c r="G452" s="205">
        <f>ROUND($C452*E452/100,0)</f>
        <v>0</v>
      </c>
      <c r="H452" s="205">
        <f>ROUND($C452*F452/100,0)</f>
        <v>0</v>
      </c>
      <c r="I452" s="219">
        <f>'Blocking - detail'!I452</f>
        <v>4.3570000000000002</v>
      </c>
      <c r="J452" s="205" t="s">
        <v>362</v>
      </c>
      <c r="K452" s="205">
        <f>ROUND($C452*I452/100,0)</f>
        <v>0</v>
      </c>
      <c r="M452" s="20"/>
      <c r="N452" s="20"/>
      <c r="O452" s="71"/>
      <c r="P452" s="71"/>
      <c r="Q452" s="20"/>
      <c r="R452" s="20"/>
      <c r="S452" s="20"/>
      <c r="T452" s="20"/>
      <c r="U452" s="20"/>
      <c r="V452" s="20"/>
      <c r="W452" s="20"/>
      <c r="X452" s="20"/>
      <c r="Y452" s="20"/>
      <c r="Z452" s="20"/>
      <c r="AA452" s="20"/>
      <c r="AB452" s="20"/>
      <c r="AC452" s="20"/>
    </row>
    <row r="453" spans="1:29">
      <c r="A453" s="207" t="s">
        <v>387</v>
      </c>
      <c r="B453" s="1"/>
      <c r="C453" s="203">
        <v>0</v>
      </c>
      <c r="D453" s="203">
        <v>0</v>
      </c>
      <c r="E453" s="219">
        <f>E491</f>
        <v>3.9930000000000003</v>
      </c>
      <c r="F453" s="205" t="s">
        <v>362</v>
      </c>
      <c r="G453" s="205">
        <f>ROUND($C453*E453/100,0)</f>
        <v>0</v>
      </c>
      <c r="H453" s="205">
        <f>ROUND($C453*F453/100,0)</f>
        <v>0</v>
      </c>
      <c r="I453" s="219">
        <f>'Blocking - detail'!I453</f>
        <v>3.9930000000000003</v>
      </c>
      <c r="J453" s="205" t="s">
        <v>362</v>
      </c>
      <c r="K453" s="205">
        <f>ROUND($C453*I453/100,0)</f>
        <v>0</v>
      </c>
      <c r="M453" s="20"/>
      <c r="N453" s="20"/>
      <c r="O453" s="71"/>
      <c r="P453" s="71"/>
      <c r="Q453" s="20"/>
      <c r="R453" s="20"/>
      <c r="S453" s="20"/>
      <c r="T453" s="20"/>
      <c r="U453" s="20"/>
      <c r="V453" s="20"/>
      <c r="W453" s="20"/>
      <c r="X453" s="20"/>
      <c r="Y453" s="20"/>
      <c r="Z453" s="20"/>
      <c r="AA453" s="20"/>
      <c r="AB453" s="20"/>
      <c r="AC453" s="20"/>
    </row>
    <row r="454" spans="1:29">
      <c r="A454" s="207" t="s">
        <v>388</v>
      </c>
      <c r="B454" s="1"/>
      <c r="C454" s="203">
        <v>0</v>
      </c>
      <c r="D454" s="203">
        <v>0</v>
      </c>
      <c r="E454" s="246">
        <f>'Blocking - detail'!E454</f>
        <v>45</v>
      </c>
      <c r="F454" s="205" t="s">
        <v>362</v>
      </c>
      <c r="G454" s="205">
        <f>ROUND(E454*$C454/100,0)</f>
        <v>0</v>
      </c>
      <c r="H454" s="205">
        <f>ROUND(F454*$C454/100,0)</f>
        <v>0</v>
      </c>
      <c r="I454" s="246">
        <f>'Blocking - detail'!I454</f>
        <v>45</v>
      </c>
      <c r="J454" s="205" t="s">
        <v>362</v>
      </c>
      <c r="K454" s="205">
        <f>ROUND(I454*$C454,0)</f>
        <v>0</v>
      </c>
      <c r="M454" s="20"/>
      <c r="N454" s="20"/>
      <c r="O454" s="71"/>
      <c r="P454" s="71"/>
      <c r="Q454" s="20"/>
      <c r="R454" s="20"/>
      <c r="S454" s="20"/>
      <c r="T454" s="20"/>
      <c r="U454" s="20"/>
      <c r="V454" s="20"/>
      <c r="W454" s="20"/>
      <c r="X454" s="20"/>
      <c r="Y454" s="20"/>
      <c r="Z454" s="20"/>
      <c r="AA454" s="20"/>
      <c r="AB454" s="20"/>
      <c r="AC454" s="20"/>
    </row>
    <row r="455" spans="1:29">
      <c r="A455" s="207" t="s">
        <v>416</v>
      </c>
      <c r="B455" s="1"/>
      <c r="C455" s="203">
        <v>0</v>
      </c>
      <c r="D455" s="203">
        <v>0</v>
      </c>
      <c r="E455" s="243">
        <f>'Blocking - detail'!E455</f>
        <v>0.06</v>
      </c>
      <c r="F455" s="205"/>
      <c r="G455" s="205">
        <f>ROUND($C455*E455/100,0)</f>
        <v>0</v>
      </c>
      <c r="H455" s="205">
        <f>ROUND($C455*F455/100,0)</f>
        <v>0</v>
      </c>
      <c r="I455" s="243">
        <f>'Blocking - detail'!I455</f>
        <v>0.06</v>
      </c>
      <c r="J455" s="205"/>
      <c r="K455" s="205">
        <f>ROUND($C455*I455/100,0)</f>
        <v>0</v>
      </c>
      <c r="M455" s="20"/>
      <c r="N455" s="20"/>
      <c r="O455" s="71"/>
      <c r="P455" s="71"/>
      <c r="Q455" s="20"/>
      <c r="R455" s="20"/>
      <c r="S455" s="20"/>
      <c r="T455" s="20"/>
      <c r="U455" s="20"/>
      <c r="V455" s="20"/>
      <c r="W455" s="20"/>
      <c r="X455" s="20"/>
      <c r="Y455" s="20"/>
      <c r="Z455" s="20"/>
      <c r="AA455" s="20"/>
      <c r="AB455" s="20"/>
      <c r="AC455" s="20"/>
    </row>
    <row r="456" spans="1:29">
      <c r="A456" s="244" t="s">
        <v>389</v>
      </c>
      <c r="B456" s="1" t="s">
        <v>31</v>
      </c>
      <c r="C456" s="203"/>
      <c r="D456" s="203"/>
      <c r="E456" s="216">
        <v>-0.01</v>
      </c>
      <c r="F456" s="245"/>
      <c r="G456" s="245"/>
      <c r="H456" s="245"/>
      <c r="I456" s="216">
        <v>-0.01</v>
      </c>
      <c r="J456" s="245"/>
      <c r="K456" s="2"/>
      <c r="M456" s="20"/>
      <c r="N456" s="20"/>
      <c r="O456" s="71"/>
      <c r="P456" s="71"/>
      <c r="Q456" s="20"/>
      <c r="R456" s="20"/>
      <c r="S456" s="20"/>
      <c r="T456" s="20"/>
      <c r="U456" s="20"/>
      <c r="V456" s="20"/>
      <c r="W456" s="20"/>
      <c r="X456" s="20"/>
      <c r="Y456" s="20"/>
      <c r="Z456" s="20"/>
      <c r="AA456" s="20"/>
      <c r="AB456" s="20"/>
      <c r="AC456" s="20"/>
    </row>
    <row r="457" spans="1:29">
      <c r="A457" s="207" t="s">
        <v>409</v>
      </c>
      <c r="B457" s="1"/>
      <c r="C457" s="203">
        <v>0</v>
      </c>
      <c r="D457" s="203">
        <v>0</v>
      </c>
      <c r="E457" s="239">
        <f t="shared" ref="E457:E462" si="40">E494</f>
        <v>225</v>
      </c>
      <c r="F457" s="207"/>
      <c r="G457" s="205">
        <f t="shared" ref="G457:H462" si="41">ROUND(E457*$C457*$E$456,0)</f>
        <v>0</v>
      </c>
      <c r="H457" s="205">
        <f t="shared" si="41"/>
        <v>0</v>
      </c>
      <c r="I457" s="239">
        <f>'Blocking - detail'!I457</f>
        <v>225</v>
      </c>
      <c r="J457" s="207"/>
      <c r="K457" s="205">
        <f t="shared" ref="K457:K462" si="42">ROUND(I457*$C457*$E$456,0)</f>
        <v>0</v>
      </c>
      <c r="M457" s="20"/>
      <c r="N457" s="20"/>
      <c r="O457" s="71"/>
      <c r="P457" s="71"/>
      <c r="Q457" s="20"/>
      <c r="R457" s="20"/>
      <c r="S457" s="20"/>
      <c r="T457" s="20"/>
      <c r="U457" s="20"/>
      <c r="V457" s="20"/>
      <c r="W457" s="20"/>
      <c r="X457" s="20"/>
      <c r="Y457" s="20"/>
      <c r="Z457" s="20"/>
      <c r="AA457" s="20"/>
      <c r="AB457" s="20"/>
      <c r="AC457" s="20"/>
    </row>
    <row r="458" spans="1:29">
      <c r="A458" s="207" t="s">
        <v>410</v>
      </c>
      <c r="B458" s="1"/>
      <c r="C458" s="203">
        <v>0</v>
      </c>
      <c r="D458" s="203">
        <v>0</v>
      </c>
      <c r="E458" s="239">
        <f t="shared" si="40"/>
        <v>83</v>
      </c>
      <c r="F458" s="207"/>
      <c r="G458" s="205">
        <f t="shared" si="41"/>
        <v>0</v>
      </c>
      <c r="H458" s="205">
        <f t="shared" si="41"/>
        <v>0</v>
      </c>
      <c r="I458" s="239">
        <f>'Blocking - detail'!I458</f>
        <v>83</v>
      </c>
      <c r="J458" s="207"/>
      <c r="K458" s="205">
        <f t="shared" si="42"/>
        <v>0</v>
      </c>
      <c r="M458" s="20"/>
      <c r="N458" s="20"/>
      <c r="O458" s="71"/>
      <c r="P458" s="71"/>
      <c r="Q458" s="20"/>
      <c r="R458" s="20"/>
      <c r="S458" s="20"/>
      <c r="T458" s="20"/>
      <c r="U458" s="20"/>
      <c r="V458" s="20"/>
      <c r="W458" s="20"/>
      <c r="X458" s="20"/>
      <c r="Y458" s="20"/>
      <c r="Z458" s="20"/>
      <c r="AA458" s="20"/>
      <c r="AB458" s="20"/>
      <c r="AC458" s="20"/>
    </row>
    <row r="459" spans="1:29">
      <c r="A459" s="207" t="s">
        <v>411</v>
      </c>
      <c r="B459" s="1"/>
      <c r="C459" s="203">
        <v>0</v>
      </c>
      <c r="D459" s="203">
        <v>0</v>
      </c>
      <c r="E459" s="239">
        <f t="shared" si="40"/>
        <v>166</v>
      </c>
      <c r="F459" s="209"/>
      <c r="G459" s="205">
        <f t="shared" si="41"/>
        <v>0</v>
      </c>
      <c r="H459" s="205">
        <f t="shared" si="41"/>
        <v>0</v>
      </c>
      <c r="I459" s="239">
        <f>'Blocking - detail'!I459</f>
        <v>166</v>
      </c>
      <c r="J459" s="209"/>
      <c r="K459" s="205">
        <f t="shared" si="42"/>
        <v>0</v>
      </c>
      <c r="M459" s="20"/>
      <c r="N459" s="20"/>
      <c r="O459" s="71"/>
      <c r="P459" s="71"/>
      <c r="Q459" s="20"/>
      <c r="R459" s="20"/>
      <c r="S459" s="20"/>
      <c r="T459" s="20"/>
      <c r="U459" s="20"/>
      <c r="V459" s="20"/>
      <c r="W459" s="20"/>
      <c r="X459" s="20"/>
      <c r="Y459" s="20"/>
      <c r="Z459" s="20"/>
      <c r="AA459" s="20"/>
      <c r="AB459" s="20"/>
      <c r="AC459" s="20"/>
    </row>
    <row r="460" spans="1:29">
      <c r="A460" s="207" t="s">
        <v>410</v>
      </c>
      <c r="B460" s="1"/>
      <c r="C460" s="203">
        <v>0</v>
      </c>
      <c r="D460" s="203">
        <v>0</v>
      </c>
      <c r="E460" s="239">
        <f t="shared" si="40"/>
        <v>1.47</v>
      </c>
      <c r="F460" s="207" t="s">
        <v>31</v>
      </c>
      <c r="G460" s="205">
        <f t="shared" si="41"/>
        <v>0</v>
      </c>
      <c r="H460" s="205">
        <f t="shared" si="41"/>
        <v>0</v>
      </c>
      <c r="I460" s="239">
        <f>'Blocking - detail'!I460</f>
        <v>1.47</v>
      </c>
      <c r="J460" s="207" t="s">
        <v>31</v>
      </c>
      <c r="K460" s="205">
        <f t="shared" si="42"/>
        <v>0</v>
      </c>
      <c r="M460" s="20"/>
      <c r="N460" s="20"/>
      <c r="O460" s="71"/>
      <c r="P460" s="71"/>
      <c r="Q460" s="20"/>
      <c r="R460" s="20"/>
      <c r="S460" s="20"/>
      <c r="T460" s="20"/>
      <c r="U460" s="20"/>
      <c r="V460" s="20"/>
      <c r="W460" s="20"/>
      <c r="X460" s="20"/>
      <c r="Y460" s="20"/>
      <c r="Z460" s="20"/>
      <c r="AA460" s="20"/>
      <c r="AB460" s="20"/>
      <c r="AC460" s="20"/>
    </row>
    <row r="461" spans="1:29">
      <c r="A461" s="207" t="s">
        <v>411</v>
      </c>
      <c r="B461" s="1"/>
      <c r="C461" s="203">
        <v>0</v>
      </c>
      <c r="D461" s="203">
        <v>0</v>
      </c>
      <c r="E461" s="239">
        <f t="shared" si="40"/>
        <v>1.2</v>
      </c>
      <c r="F461" s="207" t="s">
        <v>31</v>
      </c>
      <c r="G461" s="205">
        <f t="shared" si="41"/>
        <v>0</v>
      </c>
      <c r="H461" s="205">
        <f t="shared" si="41"/>
        <v>0</v>
      </c>
      <c r="I461" s="239">
        <f>'Blocking - detail'!I461</f>
        <v>1.2</v>
      </c>
      <c r="J461" s="207" t="s">
        <v>31</v>
      </c>
      <c r="K461" s="205">
        <f t="shared" si="42"/>
        <v>0</v>
      </c>
      <c r="M461" s="20"/>
      <c r="N461" s="20"/>
      <c r="O461" s="71"/>
      <c r="P461" s="71"/>
      <c r="Q461" s="20"/>
      <c r="R461" s="20"/>
      <c r="S461" s="20"/>
      <c r="T461" s="20"/>
      <c r="U461" s="20"/>
      <c r="V461" s="20"/>
      <c r="W461" s="20"/>
      <c r="X461" s="20"/>
      <c r="Y461" s="20"/>
      <c r="Z461" s="20"/>
      <c r="AA461" s="20"/>
      <c r="AB461" s="20"/>
      <c r="AC461" s="20"/>
    </row>
    <row r="462" spans="1:29">
      <c r="A462" s="193" t="s">
        <v>413</v>
      </c>
      <c r="B462" s="1"/>
      <c r="C462" s="203">
        <v>0</v>
      </c>
      <c r="D462" s="203">
        <v>0</v>
      </c>
      <c r="E462" s="239">
        <f t="shared" si="40"/>
        <v>3.75</v>
      </c>
      <c r="F462" s="207"/>
      <c r="G462" s="205">
        <f t="shared" si="41"/>
        <v>0</v>
      </c>
      <c r="H462" s="205">
        <f t="shared" si="41"/>
        <v>0</v>
      </c>
      <c r="I462" s="239">
        <f>'Blocking - detail'!I462</f>
        <v>3.75</v>
      </c>
      <c r="J462" s="207"/>
      <c r="K462" s="205">
        <f t="shared" si="42"/>
        <v>0</v>
      </c>
      <c r="M462" s="20"/>
      <c r="N462" s="20"/>
      <c r="O462" s="71"/>
      <c r="P462" s="71"/>
      <c r="Q462" s="20"/>
      <c r="R462" s="20"/>
      <c r="S462" s="20"/>
      <c r="T462" s="20"/>
      <c r="U462" s="20"/>
      <c r="V462" s="20"/>
      <c r="W462" s="20"/>
      <c r="X462" s="20"/>
      <c r="Y462" s="20"/>
      <c r="Z462" s="20"/>
      <c r="AA462" s="20"/>
      <c r="AB462" s="20"/>
      <c r="AC462" s="20"/>
    </row>
    <row r="463" spans="1:29">
      <c r="A463" s="207" t="s">
        <v>415</v>
      </c>
      <c r="B463" s="1"/>
      <c r="C463" s="203">
        <v>0</v>
      </c>
      <c r="D463" s="203">
        <v>0</v>
      </c>
      <c r="E463" s="219">
        <f>E501</f>
        <v>4.3570000000000002</v>
      </c>
      <c r="F463" s="205" t="s">
        <v>362</v>
      </c>
      <c r="G463" s="205">
        <f>ROUND(E463/100*$C463*E456,0)</f>
        <v>0</v>
      </c>
      <c r="H463" s="205">
        <f>ROUND(F463/100*$C463*F456,0)</f>
        <v>0</v>
      </c>
      <c r="I463" s="219">
        <f>'Blocking - detail'!I463</f>
        <v>4.3570000000000002</v>
      </c>
      <c r="J463" s="205" t="s">
        <v>362</v>
      </c>
      <c r="K463" s="205">
        <f>ROUND(I463/100*$C463*E456,0)</f>
        <v>0</v>
      </c>
      <c r="M463" s="20"/>
      <c r="N463" s="20"/>
      <c r="O463" s="71"/>
      <c r="P463" s="71"/>
      <c r="Q463" s="20"/>
      <c r="R463" s="20"/>
      <c r="S463" s="20"/>
      <c r="T463" s="20"/>
      <c r="U463" s="20"/>
      <c r="V463" s="20"/>
      <c r="W463" s="20"/>
      <c r="X463" s="20"/>
      <c r="Y463" s="20"/>
      <c r="Z463" s="20"/>
      <c r="AA463" s="20"/>
      <c r="AB463" s="20"/>
      <c r="AC463" s="20"/>
    </row>
    <row r="464" spans="1:29">
      <c r="A464" s="207" t="s">
        <v>387</v>
      </c>
      <c r="B464" s="1"/>
      <c r="C464" s="203">
        <v>0</v>
      </c>
      <c r="D464" s="203">
        <v>0</v>
      </c>
      <c r="E464" s="219">
        <f>E502</f>
        <v>3.9930000000000003</v>
      </c>
      <c r="F464" s="205" t="s">
        <v>362</v>
      </c>
      <c r="G464" s="205">
        <f>ROUND(E464/100*$C464*E456,0)</f>
        <v>0</v>
      </c>
      <c r="H464" s="205">
        <f>ROUND(F464/100*$C464*F456,0)</f>
        <v>0</v>
      </c>
      <c r="I464" s="219">
        <f>'Blocking - detail'!I464</f>
        <v>3.9930000000000003</v>
      </c>
      <c r="J464" s="205" t="s">
        <v>362</v>
      </c>
      <c r="K464" s="205">
        <f>ROUND(I464/100*$C464*E456,0)</f>
        <v>0</v>
      </c>
      <c r="M464" s="20"/>
      <c r="N464" s="20"/>
      <c r="O464" s="71"/>
      <c r="P464" s="71"/>
      <c r="Q464" s="20"/>
      <c r="R464" s="20"/>
      <c r="S464" s="20"/>
      <c r="T464" s="20"/>
      <c r="U464" s="20"/>
      <c r="V464" s="20"/>
      <c r="W464" s="20"/>
      <c r="X464" s="20"/>
      <c r="Y464" s="20"/>
      <c r="Z464" s="20"/>
      <c r="AA464" s="20"/>
      <c r="AB464" s="20"/>
      <c r="AC464" s="20"/>
    </row>
    <row r="465" spans="1:29">
      <c r="A465" s="193" t="s">
        <v>417</v>
      </c>
      <c r="B465" s="1"/>
      <c r="C465" s="203">
        <v>0</v>
      </c>
      <c r="D465" s="203">
        <v>0</v>
      </c>
      <c r="E465" s="246">
        <f>E503</f>
        <v>45</v>
      </c>
      <c r="F465" s="205" t="s">
        <v>362</v>
      </c>
      <c r="G465" s="205">
        <f>ROUND(E465*$C465*$E$456,0)</f>
        <v>0</v>
      </c>
      <c r="H465" s="205">
        <f>ROUND(F465*$C465*$E$456,0)</f>
        <v>0</v>
      </c>
      <c r="I465" s="246">
        <f>'Blocking - detail'!I465</f>
        <v>45</v>
      </c>
      <c r="J465" s="205" t="s">
        <v>362</v>
      </c>
      <c r="K465" s="205">
        <f>ROUND(I465*$C465*$E$456,0)</f>
        <v>0</v>
      </c>
      <c r="M465" s="20"/>
      <c r="N465" s="20"/>
      <c r="O465" s="71"/>
      <c r="P465" s="71"/>
      <c r="Q465" s="20"/>
      <c r="R465" s="20"/>
      <c r="S465" s="20"/>
      <c r="T465" s="20"/>
      <c r="U465" s="20"/>
      <c r="V465" s="20"/>
      <c r="W465" s="20"/>
      <c r="X465" s="20"/>
      <c r="Y465" s="20"/>
      <c r="Z465" s="20"/>
      <c r="AA465" s="20"/>
      <c r="AB465" s="20"/>
      <c r="AC465" s="20"/>
    </row>
    <row r="466" spans="1:29">
      <c r="A466" s="193" t="s">
        <v>418</v>
      </c>
      <c r="B466" s="1"/>
      <c r="C466" s="203">
        <v>0</v>
      </c>
      <c r="D466" s="203">
        <v>0</v>
      </c>
      <c r="E466" s="358">
        <f>'Blocking - detail'!E466</f>
        <v>0.06</v>
      </c>
      <c r="F466" s="205" t="s">
        <v>362</v>
      </c>
      <c r="G466" s="205">
        <f>ROUND(E466/100*$C466*E456,0)</f>
        <v>0</v>
      </c>
      <c r="H466" s="205">
        <f>ROUND(F466/100*$C466*F456,0)</f>
        <v>0</v>
      </c>
      <c r="I466" s="358">
        <f>'Blocking - detail'!I466</f>
        <v>0.06</v>
      </c>
      <c r="J466" s="205" t="s">
        <v>362</v>
      </c>
      <c r="K466" s="205">
        <f>ROUND(I466/100*$C466*I456,0)</f>
        <v>0</v>
      </c>
      <c r="M466" s="20"/>
      <c r="N466" s="20"/>
      <c r="O466" s="71"/>
      <c r="P466" s="71"/>
      <c r="Q466" s="20"/>
      <c r="R466" s="20"/>
      <c r="S466" s="20"/>
      <c r="T466" s="20"/>
      <c r="U466" s="20"/>
      <c r="V466" s="20"/>
      <c r="W466" s="20"/>
      <c r="X466" s="20"/>
      <c r="Y466" s="20"/>
      <c r="Z466" s="20"/>
      <c r="AA466" s="20"/>
      <c r="AB466" s="20"/>
      <c r="AC466" s="20"/>
    </row>
    <row r="467" spans="1:29">
      <c r="A467" s="207" t="s">
        <v>419</v>
      </c>
      <c r="B467" s="1"/>
      <c r="C467" s="203">
        <v>0</v>
      </c>
      <c r="D467" s="203">
        <v>0</v>
      </c>
      <c r="E467" s="247">
        <v>60</v>
      </c>
      <c r="F467" s="245" t="s">
        <v>31</v>
      </c>
      <c r="G467" s="205">
        <f>ROUND(E467*$C467,0)</f>
        <v>0</v>
      </c>
      <c r="H467" s="205">
        <f>ROUND(F467*$C467,0)</f>
        <v>0</v>
      </c>
      <c r="I467" s="247">
        <v>60</v>
      </c>
      <c r="J467" s="248" t="s">
        <v>31</v>
      </c>
      <c r="K467" s="205">
        <f>ROUND(I467*$C467,0)</f>
        <v>0</v>
      </c>
      <c r="M467" s="20"/>
      <c r="N467" s="20"/>
      <c r="O467" s="71"/>
      <c r="P467" s="71"/>
      <c r="Q467" s="20"/>
      <c r="R467" s="20"/>
      <c r="S467" s="20"/>
      <c r="T467" s="20"/>
      <c r="U467" s="20"/>
      <c r="V467" s="20"/>
      <c r="W467" s="20"/>
      <c r="X467" s="20"/>
      <c r="Y467" s="20"/>
      <c r="Z467" s="20"/>
      <c r="AA467" s="20"/>
      <c r="AB467" s="20"/>
      <c r="AC467" s="20"/>
    </row>
    <row r="468" spans="1:29">
      <c r="A468" s="207" t="s">
        <v>420</v>
      </c>
      <c r="B468" s="1"/>
      <c r="C468" s="203">
        <v>0</v>
      </c>
      <c r="D468" s="203">
        <v>0</v>
      </c>
      <c r="E468" s="220">
        <v>-30</v>
      </c>
      <c r="F468" s="205" t="s">
        <v>362</v>
      </c>
      <c r="G468" s="205">
        <f>ROUND(E468*$C468*$E$456,0)</f>
        <v>0</v>
      </c>
      <c r="H468" s="205">
        <f>ROUND(F468*$C468*$E$456,0)</f>
        <v>0</v>
      </c>
      <c r="I468" s="220">
        <v>-30</v>
      </c>
      <c r="J468" s="205" t="s">
        <v>362</v>
      </c>
      <c r="K468" s="205">
        <f>ROUND(I468*$C468*$E$456,0)</f>
        <v>0</v>
      </c>
      <c r="M468" s="20"/>
      <c r="N468" s="20"/>
      <c r="O468" s="71"/>
      <c r="P468" s="71"/>
      <c r="Q468" s="20"/>
      <c r="R468" s="20"/>
      <c r="S468" s="20"/>
      <c r="T468" s="20"/>
      <c r="U468" s="20"/>
      <c r="V468" s="20"/>
      <c r="W468" s="20"/>
      <c r="X468" s="20"/>
      <c r="Y468" s="20"/>
      <c r="Z468" s="20"/>
      <c r="AA468" s="20"/>
      <c r="AB468" s="20"/>
      <c r="AC468" s="20"/>
    </row>
    <row r="469" spans="1:29">
      <c r="A469" s="193" t="s">
        <v>421</v>
      </c>
      <c r="B469" s="1"/>
      <c r="C469" s="203">
        <v>0</v>
      </c>
      <c r="D469" s="203">
        <v>0</v>
      </c>
      <c r="E469" s="218">
        <f>E450/2</f>
        <v>1.875</v>
      </c>
      <c r="F469" s="205"/>
      <c r="G469" s="205"/>
      <c r="H469" s="205"/>
      <c r="I469" s="239">
        <f>'Blocking - detail'!I469</f>
        <v>1.875</v>
      </c>
      <c r="J469" s="205"/>
      <c r="K469" s="205">
        <f>ROUND($C469*I469,0)</f>
        <v>0</v>
      </c>
      <c r="M469" s="20"/>
      <c r="N469" s="20"/>
      <c r="O469" s="71"/>
      <c r="P469" s="71"/>
      <c r="Q469" s="20"/>
      <c r="R469" s="20"/>
      <c r="S469" s="20"/>
      <c r="T469" s="20"/>
      <c r="U469" s="20"/>
      <c r="V469" s="20"/>
      <c r="W469" s="20"/>
      <c r="X469" s="20"/>
      <c r="Y469" s="20"/>
      <c r="Z469" s="20"/>
      <c r="AA469" s="20"/>
      <c r="AB469" s="20"/>
      <c r="AC469" s="20"/>
    </row>
    <row r="470" spans="1:29">
      <c r="A470" s="193" t="s">
        <v>422</v>
      </c>
      <c r="B470" s="1"/>
      <c r="C470" s="203">
        <v>0</v>
      </c>
      <c r="D470" s="203">
        <v>0</v>
      </c>
      <c r="E470" s="218">
        <f>E450*4</f>
        <v>15</v>
      </c>
      <c r="F470" s="205"/>
      <c r="G470" s="205"/>
      <c r="H470" s="205"/>
      <c r="I470" s="239">
        <f>'Blocking - detail'!I470</f>
        <v>15</v>
      </c>
      <c r="J470" s="205"/>
      <c r="K470" s="205">
        <f>ROUND($C470*I470,0)</f>
        <v>0</v>
      </c>
      <c r="M470" s="20"/>
      <c r="N470" s="20"/>
      <c r="O470" s="71"/>
      <c r="P470" s="71"/>
      <c r="Q470" s="20"/>
      <c r="R470" s="20"/>
      <c r="S470" s="20"/>
      <c r="T470" s="20"/>
      <c r="U470" s="20"/>
      <c r="V470" s="20"/>
      <c r="W470" s="20"/>
      <c r="X470" s="20"/>
      <c r="Y470" s="20"/>
      <c r="Z470" s="20"/>
      <c r="AA470" s="20"/>
      <c r="AB470" s="20"/>
      <c r="AC470" s="20"/>
    </row>
    <row r="471" spans="1:29">
      <c r="A471" s="3" t="s">
        <v>423</v>
      </c>
      <c r="B471" s="187"/>
      <c r="C471" s="203">
        <v>0</v>
      </c>
      <c r="D471" s="203">
        <v>0</v>
      </c>
      <c r="E471" s="219">
        <f>E453*4</f>
        <v>15.972000000000001</v>
      </c>
      <c r="F471" s="205" t="s">
        <v>362</v>
      </c>
      <c r="G471" s="205">
        <f>ROUND($C471*E471/100,0)</f>
        <v>0</v>
      </c>
      <c r="H471" s="205">
        <f>ROUND($C471*F471/100,0)</f>
        <v>0</v>
      </c>
      <c r="I471" s="219">
        <f>'Blocking - detail'!I471</f>
        <v>15.972000000000001</v>
      </c>
      <c r="J471" s="205" t="s">
        <v>362</v>
      </c>
      <c r="K471" s="205">
        <f>ROUND($C471*I471/100,0)</f>
        <v>0</v>
      </c>
      <c r="M471" s="20"/>
      <c r="N471" s="20"/>
      <c r="O471" s="71"/>
      <c r="P471" s="71"/>
      <c r="Q471" s="20"/>
      <c r="R471" s="20"/>
      <c r="S471" s="20"/>
      <c r="T471" s="20"/>
      <c r="U471" s="20"/>
      <c r="V471" s="20"/>
      <c r="W471" s="20"/>
      <c r="X471" s="20"/>
      <c r="Y471" s="20"/>
      <c r="Z471" s="20"/>
      <c r="AA471" s="20"/>
      <c r="AB471" s="20"/>
      <c r="AC471" s="20"/>
    </row>
    <row r="472" spans="1:29">
      <c r="A472" s="1" t="s">
        <v>369</v>
      </c>
      <c r="B472" s="1"/>
      <c r="C472" s="203">
        <f>SUM(C452:C453)</f>
        <v>0</v>
      </c>
      <c r="D472" s="203">
        <f>SUM(D452:D453)</f>
        <v>0</v>
      </c>
      <c r="E472" s="214"/>
      <c r="F472" s="2"/>
      <c r="G472" s="2">
        <f>SUM(G443:G471)</f>
        <v>0</v>
      </c>
      <c r="H472" s="2">
        <f>SUM(H443:H471)</f>
        <v>0</v>
      </c>
      <c r="I472" s="214"/>
      <c r="J472" s="207"/>
      <c r="K472" s="2">
        <f>SUM(K443:K471)</f>
        <v>0</v>
      </c>
      <c r="M472" s="20"/>
      <c r="N472" s="20"/>
      <c r="O472" s="71"/>
      <c r="P472" s="71"/>
      <c r="Q472" s="20"/>
      <c r="R472" s="20"/>
      <c r="S472" s="20"/>
      <c r="T472" s="20"/>
      <c r="U472" s="20"/>
      <c r="V472" s="20"/>
      <c r="W472" s="20"/>
      <c r="X472" s="20"/>
      <c r="Y472" s="20"/>
      <c r="Z472" s="20"/>
      <c r="AA472" s="20"/>
      <c r="AB472" s="20"/>
      <c r="AC472" s="20"/>
    </row>
    <row r="473" spans="1:29">
      <c r="A473" s="1" t="s">
        <v>351</v>
      </c>
      <c r="B473" s="1"/>
      <c r="C473" s="233">
        <v>0</v>
      </c>
      <c r="D473" s="233">
        <v>0</v>
      </c>
      <c r="E473" s="193"/>
      <c r="F473" s="193"/>
      <c r="G473" s="194">
        <v>0</v>
      </c>
      <c r="H473" s="194">
        <v>0</v>
      </c>
      <c r="I473" s="193"/>
      <c r="J473" s="193"/>
      <c r="K473" s="194">
        <v>0</v>
      </c>
      <c r="M473" s="328"/>
      <c r="N473" s="328"/>
      <c r="O473" s="171"/>
      <c r="P473" s="71"/>
      <c r="Q473" s="20"/>
      <c r="R473" s="20"/>
      <c r="S473" s="20"/>
      <c r="T473" s="20"/>
      <c r="U473" s="20"/>
      <c r="V473" s="20"/>
      <c r="W473" s="20"/>
      <c r="X473" s="20"/>
      <c r="Y473" s="20"/>
      <c r="Z473" s="20"/>
      <c r="AA473" s="20"/>
      <c r="AB473" s="20"/>
      <c r="AC473" s="20"/>
    </row>
    <row r="474" spans="1:29" ht="16.5" thickBot="1">
      <c r="A474" s="1" t="s">
        <v>370</v>
      </c>
      <c r="B474" s="1"/>
      <c r="C474" s="250">
        <f>SUM(C472:C473)</f>
        <v>0</v>
      </c>
      <c r="D474" s="250">
        <f>SUM(D472:D473)</f>
        <v>0</v>
      </c>
      <c r="E474" s="226"/>
      <c r="F474" s="227"/>
      <c r="G474" s="228">
        <f>SUM(G472:G473)</f>
        <v>0</v>
      </c>
      <c r="H474" s="228">
        <f>SUM(H472:H473)</f>
        <v>0</v>
      </c>
      <c r="I474" s="226"/>
      <c r="J474" s="229"/>
      <c r="K474" s="228">
        <f>SUM(K472:K473)</f>
        <v>0</v>
      </c>
      <c r="M474" s="295"/>
      <c r="N474" s="295"/>
      <c r="O474" s="354"/>
      <c r="P474" s="71"/>
      <c r="Q474" s="20"/>
      <c r="R474" s="20"/>
      <c r="S474" s="20"/>
      <c r="T474" s="20"/>
      <c r="U474" s="20"/>
      <c r="V474" s="20"/>
      <c r="W474" s="20"/>
      <c r="X474" s="20"/>
      <c r="Y474" s="20"/>
      <c r="Z474" s="20"/>
      <c r="AA474" s="20"/>
      <c r="AB474" s="20"/>
      <c r="AC474" s="20"/>
    </row>
    <row r="475" spans="1:29" ht="16.5" thickTop="1">
      <c r="A475" s="1"/>
      <c r="B475" s="251"/>
      <c r="C475" s="21"/>
      <c r="D475" s="21"/>
      <c r="E475" s="221"/>
      <c r="F475" s="2"/>
      <c r="G475" s="2"/>
      <c r="H475" s="2"/>
      <c r="I475" s="221"/>
      <c r="J475" s="1"/>
      <c r="K475" s="2"/>
      <c r="M475" s="20"/>
      <c r="N475" s="20"/>
      <c r="O475" s="71"/>
      <c r="P475" s="71"/>
      <c r="Q475" s="20"/>
      <c r="R475" s="20"/>
      <c r="S475" s="20"/>
      <c r="T475" s="20"/>
      <c r="U475" s="20"/>
      <c r="V475" s="20"/>
      <c r="W475" s="20"/>
      <c r="X475" s="20"/>
      <c r="Y475" s="20"/>
      <c r="Z475" s="20"/>
      <c r="AA475" s="20"/>
      <c r="AB475" s="20"/>
      <c r="AC475" s="20"/>
    </row>
    <row r="476" spans="1:29">
      <c r="A476" s="177" t="s">
        <v>424</v>
      </c>
      <c r="B476" s="1"/>
      <c r="C476" s="1"/>
      <c r="D476" s="1"/>
      <c r="E476" s="2"/>
      <c r="F476" s="2"/>
      <c r="G476" s="1" t="s">
        <v>31</v>
      </c>
      <c r="H476" s="1"/>
      <c r="I476" s="2"/>
      <c r="J476" s="1"/>
      <c r="K476" s="1"/>
      <c r="M476" s="20"/>
      <c r="N476" s="20"/>
      <c r="O476" s="71"/>
      <c r="P476" s="71"/>
      <c r="Q476" s="20"/>
      <c r="R476" s="20"/>
      <c r="S476" s="20"/>
      <c r="T476" s="20"/>
      <c r="U476" s="20"/>
      <c r="V476" s="20"/>
      <c r="W476" s="20"/>
      <c r="X476" s="20"/>
      <c r="Y476" s="20"/>
      <c r="Z476" s="20"/>
      <c r="AA476" s="20"/>
      <c r="AB476" s="20"/>
      <c r="AC476" s="20"/>
    </row>
    <row r="477" spans="1:29">
      <c r="A477" s="193" t="s">
        <v>425</v>
      </c>
      <c r="B477" s="1"/>
      <c r="C477" s="1"/>
      <c r="D477" s="1"/>
      <c r="E477" s="2"/>
      <c r="F477" s="2"/>
      <c r="G477" s="1"/>
      <c r="H477" s="1"/>
      <c r="I477" s="2"/>
      <c r="J477" s="1"/>
      <c r="K477" s="1"/>
      <c r="M477" s="20"/>
      <c r="N477" s="20"/>
      <c r="O477" s="71"/>
      <c r="P477" s="71"/>
      <c r="Q477" s="20"/>
      <c r="R477" s="20"/>
      <c r="S477" s="20"/>
      <c r="T477" s="20"/>
      <c r="U477" s="20"/>
      <c r="V477" s="20"/>
      <c r="W477" s="20"/>
      <c r="X477" s="20"/>
      <c r="Y477" s="20"/>
      <c r="Z477" s="20"/>
      <c r="AA477" s="20"/>
      <c r="AB477" s="20"/>
      <c r="AC477" s="20"/>
    </row>
    <row r="478" spans="1:29">
      <c r="A478" s="207"/>
      <c r="B478" s="1"/>
      <c r="C478" s="1"/>
      <c r="D478" s="1"/>
      <c r="E478" s="2"/>
      <c r="F478" s="2"/>
      <c r="G478" s="1"/>
      <c r="H478" s="1"/>
      <c r="I478" s="2"/>
      <c r="J478" s="1"/>
      <c r="K478" s="1"/>
      <c r="M478" s="20"/>
      <c r="N478" s="20"/>
      <c r="P478" s="71"/>
      <c r="Q478" s="20"/>
      <c r="R478" s="20"/>
      <c r="S478" s="20"/>
      <c r="T478" s="20"/>
      <c r="U478" s="20"/>
      <c r="V478" s="20"/>
      <c r="W478" s="20"/>
      <c r="X478" s="20"/>
      <c r="Y478" s="20"/>
      <c r="Z478" s="20"/>
      <c r="AA478" s="20"/>
      <c r="AB478" s="20"/>
      <c r="AC478" s="20"/>
    </row>
    <row r="479" spans="1:29">
      <c r="A479" s="207" t="s">
        <v>381</v>
      </c>
      <c r="B479" s="1"/>
      <c r="C479" s="203"/>
      <c r="D479" s="203"/>
      <c r="E479" s="2"/>
      <c r="F479" s="2"/>
      <c r="G479" s="1"/>
      <c r="H479" s="1"/>
      <c r="I479" s="2"/>
      <c r="J479" s="1"/>
      <c r="K479" s="1"/>
      <c r="M479" s="20"/>
      <c r="N479" s="20"/>
      <c r="O479" s="71"/>
      <c r="P479" s="71"/>
      <c r="Q479" s="20"/>
      <c r="R479" s="20"/>
      <c r="S479" s="20"/>
      <c r="T479" s="20"/>
      <c r="U479" s="20"/>
      <c r="V479" s="20"/>
      <c r="W479" s="20"/>
      <c r="X479" s="20"/>
      <c r="Y479" s="20"/>
      <c r="Z479" s="20"/>
      <c r="AA479" s="20"/>
      <c r="AB479" s="20"/>
      <c r="AC479" s="20"/>
    </row>
    <row r="480" spans="1:29">
      <c r="A480" s="207" t="s">
        <v>409</v>
      </c>
      <c r="B480" s="1"/>
      <c r="C480" s="203">
        <f t="shared" ref="C480:D482" si="43">C514+C548</f>
        <v>342</v>
      </c>
      <c r="D480" s="203">
        <f t="shared" si="43"/>
        <v>345</v>
      </c>
      <c r="E480" s="182">
        <v>225</v>
      </c>
      <c r="F480" s="207"/>
      <c r="G480" s="205">
        <f t="shared" ref="G480:H482" si="44">G514+G548</f>
        <v>76950</v>
      </c>
      <c r="H480" s="205">
        <f t="shared" si="44"/>
        <v>77625</v>
      </c>
      <c r="I480" s="182">
        <v>245</v>
      </c>
      <c r="J480" s="207"/>
      <c r="K480" s="205">
        <f>K514+K548</f>
        <v>83790</v>
      </c>
      <c r="M480" s="81">
        <f>I480*D480</f>
        <v>84525</v>
      </c>
      <c r="O480" s="14">
        <f>(I480-E480)/E480</f>
        <v>8.8888888888888892E-2</v>
      </c>
      <c r="P480" s="128" t="e">
        <f>SUM(K480:K485)/SUM(H480:H485)-1</f>
        <v>#REF!</v>
      </c>
      <c r="T480" s="3" t="s">
        <v>359</v>
      </c>
      <c r="U480" s="3" t="s">
        <v>295</v>
      </c>
      <c r="V480" s="3" t="s">
        <v>360</v>
      </c>
      <c r="W480" s="3" t="s">
        <v>304</v>
      </c>
      <c r="X480" s="20"/>
      <c r="Y480" s="20"/>
      <c r="Z480" s="20"/>
      <c r="AA480" s="20"/>
      <c r="AB480" s="20"/>
      <c r="AC480" s="20"/>
    </row>
    <row r="481" spans="1:29">
      <c r="A481" s="207" t="s">
        <v>410</v>
      </c>
      <c r="B481" s="1"/>
      <c r="C481" s="203">
        <f t="shared" si="43"/>
        <v>8833</v>
      </c>
      <c r="D481" s="203">
        <f t="shared" si="43"/>
        <v>8896</v>
      </c>
      <c r="E481" s="182">
        <v>83</v>
      </c>
      <c r="F481" s="207"/>
      <c r="G481" s="205">
        <f t="shared" si="44"/>
        <v>733139</v>
      </c>
      <c r="H481" s="205">
        <f t="shared" si="44"/>
        <v>738368</v>
      </c>
      <c r="I481" s="182">
        <v>90</v>
      </c>
      <c r="J481" s="207"/>
      <c r="K481" s="205">
        <f>K515+K549</f>
        <v>794970</v>
      </c>
      <c r="M481" s="81">
        <f>I481*D481</f>
        <v>800640</v>
      </c>
      <c r="O481" s="14">
        <f>(I481-E481)/E481</f>
        <v>8.4337349397590355E-2</v>
      </c>
      <c r="S481" s="3" t="s">
        <v>430</v>
      </c>
      <c r="T481" s="81" t="e">
        <f>SUM(H480:H485)</f>
        <v>#REF!</v>
      </c>
      <c r="U481" s="81">
        <f>SUM(K480:K485)</f>
        <v>6247027</v>
      </c>
      <c r="V481" s="103">
        <v>6297781.880353801</v>
      </c>
      <c r="W481" s="128">
        <f>U481/V481</f>
        <v>0.99194083229332963</v>
      </c>
      <c r="X481" s="20"/>
      <c r="Y481" s="20"/>
      <c r="Z481" s="20"/>
      <c r="AA481" s="20"/>
      <c r="AB481" s="20"/>
      <c r="AC481" s="20"/>
    </row>
    <row r="482" spans="1:29">
      <c r="A482" s="207" t="s">
        <v>411</v>
      </c>
      <c r="B482" s="1"/>
      <c r="C482" s="203">
        <f t="shared" si="43"/>
        <v>3531</v>
      </c>
      <c r="D482" s="203">
        <f t="shared" si="43"/>
        <v>3549</v>
      </c>
      <c r="E482" s="182">
        <v>166</v>
      </c>
      <c r="F482" s="209"/>
      <c r="G482" s="205">
        <f t="shared" si="44"/>
        <v>586146</v>
      </c>
      <c r="H482" s="205">
        <f t="shared" si="44"/>
        <v>589134</v>
      </c>
      <c r="I482" s="182">
        <v>180</v>
      </c>
      <c r="J482" s="209"/>
      <c r="K482" s="205">
        <f>K516+K550</f>
        <v>635580</v>
      </c>
      <c r="M482" s="81">
        <f>I482*D482</f>
        <v>638820</v>
      </c>
      <c r="O482" s="14">
        <f>(I482-E482)/E482</f>
        <v>8.4337349397590355E-2</v>
      </c>
      <c r="S482" s="3" t="s">
        <v>364</v>
      </c>
      <c r="T482" s="81" t="e">
        <f>SUM(H490:H491)</f>
        <v>#REF!</v>
      </c>
      <c r="U482" s="81" t="e">
        <f>SUM(K490:K491)</f>
        <v>#REF!</v>
      </c>
      <c r="V482" s="103">
        <v>43870359.484416999</v>
      </c>
      <c r="W482" s="128" t="e">
        <f>U482/V482</f>
        <v>#REF!</v>
      </c>
      <c r="X482" s="20"/>
      <c r="Y482" s="20"/>
      <c r="Z482" s="20"/>
      <c r="AA482" s="20"/>
      <c r="AB482" s="20"/>
      <c r="AC482" s="20"/>
    </row>
    <row r="483" spans="1:29">
      <c r="A483" s="207" t="s">
        <v>382</v>
      </c>
      <c r="B483" s="1"/>
      <c r="C483" s="203">
        <f>SUM(C480:C482)</f>
        <v>12706</v>
      </c>
      <c r="D483" s="203">
        <f>SUM(D480:D482)</f>
        <v>12790</v>
      </c>
      <c r="E483" s="182"/>
      <c r="F483" s="207"/>
      <c r="G483" s="205"/>
      <c r="H483" s="205"/>
      <c r="I483" s="182"/>
      <c r="J483" s="207"/>
      <c r="K483" s="205"/>
      <c r="S483" s="3" t="s">
        <v>394</v>
      </c>
      <c r="T483" s="81" t="e">
        <f>SUM(H487:H488)</f>
        <v>#REF!</v>
      </c>
      <c r="U483" s="81">
        <f>SUM(K487:K488)</f>
        <v>9987587</v>
      </c>
      <c r="V483" s="103">
        <v>6509411.4532006206</v>
      </c>
      <c r="W483" s="128">
        <f>U483/V483</f>
        <v>1.5343302650025588</v>
      </c>
      <c r="X483" s="20"/>
      <c r="Y483" s="20"/>
      <c r="Z483" s="20"/>
      <c r="AA483" s="20"/>
      <c r="AB483" s="20"/>
      <c r="AC483" s="20"/>
    </row>
    <row r="484" spans="1:29">
      <c r="A484" s="207" t="s">
        <v>410</v>
      </c>
      <c r="B484" s="1"/>
      <c r="C484" s="203">
        <f>C518+C552</f>
        <v>1522475</v>
      </c>
      <c r="D484" s="203" t="e">
        <f>D518+D552</f>
        <v>#REF!</v>
      </c>
      <c r="E484" s="182">
        <v>1.47</v>
      </c>
      <c r="F484" s="207" t="s">
        <v>31</v>
      </c>
      <c r="G484" s="205">
        <f>G518+G552</f>
        <v>2238038</v>
      </c>
      <c r="H484" s="205" t="e">
        <f>H518+H552</f>
        <v>#REF!</v>
      </c>
      <c r="I484" s="182">
        <v>1.6</v>
      </c>
      <c r="J484" s="207" t="s">
        <v>31</v>
      </c>
      <c r="K484" s="205">
        <f>K518+K552</f>
        <v>2435960</v>
      </c>
      <c r="M484" s="81" t="e">
        <f>I484*D484</f>
        <v>#REF!</v>
      </c>
      <c r="O484" s="14">
        <f>(I484-E484)/E484</f>
        <v>8.8435374149659948E-2</v>
      </c>
      <c r="W484" s="20"/>
      <c r="X484" s="20"/>
      <c r="Y484" s="20"/>
      <c r="Z484" s="20"/>
      <c r="AA484" s="20"/>
      <c r="AB484" s="20"/>
      <c r="AC484" s="20"/>
    </row>
    <row r="485" spans="1:29">
      <c r="A485" s="207" t="s">
        <v>411</v>
      </c>
      <c r="B485" s="1"/>
      <c r="C485" s="203">
        <f>C519+C553</f>
        <v>1766713</v>
      </c>
      <c r="D485" s="203" t="e">
        <f>D519+D553</f>
        <v>#REF!</v>
      </c>
      <c r="E485" s="182">
        <v>1.2</v>
      </c>
      <c r="F485" s="207" t="s">
        <v>31</v>
      </c>
      <c r="G485" s="205">
        <f>G519+G553</f>
        <v>2120056</v>
      </c>
      <c r="H485" s="205" t="e">
        <f>H519+H553</f>
        <v>#REF!</v>
      </c>
      <c r="I485" s="182">
        <v>1.3</v>
      </c>
      <c r="J485" s="207" t="s">
        <v>31</v>
      </c>
      <c r="K485" s="205">
        <f>K519+K553</f>
        <v>2296727</v>
      </c>
      <c r="M485" s="81" t="e">
        <f>I485*D485</f>
        <v>#REF!</v>
      </c>
      <c r="O485" s="14">
        <f>(I485-E485)/E485</f>
        <v>8.3333333333333412E-2</v>
      </c>
      <c r="W485" s="20"/>
      <c r="X485" s="20"/>
      <c r="Y485" s="20"/>
      <c r="Z485" s="20"/>
      <c r="AA485" s="20"/>
      <c r="AB485" s="20"/>
      <c r="AC485" s="20"/>
    </row>
    <row r="486" spans="1:29">
      <c r="A486" s="193" t="s">
        <v>412</v>
      </c>
      <c r="B486" s="1"/>
      <c r="C486" s="203"/>
      <c r="D486" s="203"/>
      <c r="E486" s="239"/>
      <c r="F486" s="207"/>
      <c r="G486" s="205"/>
      <c r="H486" s="205"/>
      <c r="I486" s="239"/>
      <c r="J486" s="207"/>
      <c r="K486" s="205"/>
      <c r="W486" s="20"/>
      <c r="X486" s="20"/>
      <c r="Y486" s="20"/>
      <c r="Z486" s="20"/>
      <c r="AA486" s="20"/>
      <c r="AB486" s="20"/>
      <c r="AC486" s="20"/>
    </row>
    <row r="487" spans="1:29">
      <c r="A487" s="193" t="s">
        <v>413</v>
      </c>
      <c r="B487" s="1"/>
      <c r="C487" s="203">
        <f>C521+C555</f>
        <v>2528503</v>
      </c>
      <c r="D487" s="203" t="e">
        <f>D521+D555</f>
        <v>#REF!</v>
      </c>
      <c r="E487" s="182">
        <v>3.75</v>
      </c>
      <c r="F487" s="207"/>
      <c r="G487" s="205">
        <f>G521+G555</f>
        <v>9481886</v>
      </c>
      <c r="H487" s="205" t="e">
        <f>H521+H555</f>
        <v>#REF!</v>
      </c>
      <c r="I487" s="182">
        <v>3.95</v>
      </c>
      <c r="J487" s="207"/>
      <c r="K487" s="205">
        <f>K521+K555</f>
        <v>9987587</v>
      </c>
      <c r="M487" s="81" t="e">
        <f>I487*D487</f>
        <v>#REF!</v>
      </c>
      <c r="O487" s="14">
        <f>(I487-E487)/E487</f>
        <v>5.3333333333333378E-2</v>
      </c>
      <c r="W487" s="20"/>
      <c r="X487" s="20"/>
      <c r="Y487" s="20"/>
      <c r="Z487" s="20"/>
      <c r="AA487" s="20"/>
      <c r="AB487" s="20"/>
      <c r="AC487" s="20"/>
    </row>
    <row r="488" spans="1:29">
      <c r="A488" s="193" t="s">
        <v>429</v>
      </c>
      <c r="B488" s="1"/>
      <c r="C488" s="203">
        <f>C522+C556</f>
        <v>0</v>
      </c>
      <c r="D488" s="203" t="e">
        <f>D522+D556</f>
        <v>#REF!</v>
      </c>
      <c r="E488" s="253">
        <f>E487</f>
        <v>3.75</v>
      </c>
      <c r="F488" s="207"/>
      <c r="G488" s="205">
        <f>G522+G556</f>
        <v>0</v>
      </c>
      <c r="H488" s="205" t="e">
        <f>H522+H556</f>
        <v>#REF!</v>
      </c>
      <c r="I488" s="253">
        <f>I487</f>
        <v>3.95</v>
      </c>
      <c r="J488" s="207"/>
      <c r="K488" s="205">
        <f>K522+K556</f>
        <v>0</v>
      </c>
      <c r="M488" s="81" t="e">
        <f>I488*D488</f>
        <v>#REF!</v>
      </c>
      <c r="O488" s="14">
        <f>(I488-E488)/E488</f>
        <v>5.3333333333333378E-2</v>
      </c>
      <c r="W488" s="20"/>
      <c r="X488" s="20"/>
      <c r="Y488" s="20"/>
      <c r="Z488" s="20"/>
      <c r="AA488" s="20"/>
      <c r="AB488" s="20"/>
      <c r="AC488" s="20"/>
    </row>
    <row r="489" spans="1:29">
      <c r="A489" s="207" t="s">
        <v>414</v>
      </c>
      <c r="B489" s="1"/>
      <c r="C489" s="203"/>
      <c r="D489" s="203"/>
      <c r="E489" s="182"/>
      <c r="F489" s="207"/>
      <c r="G489" s="205"/>
      <c r="H489" s="205"/>
      <c r="I489" s="182"/>
      <c r="J489" s="207"/>
      <c r="K489" s="205"/>
      <c r="W489" s="20"/>
      <c r="X489" s="20"/>
      <c r="Y489" s="20"/>
      <c r="Z489" s="20"/>
      <c r="AA489" s="20"/>
      <c r="AB489" s="20"/>
      <c r="AC489" s="20"/>
    </row>
    <row r="490" spans="1:29">
      <c r="A490" s="207" t="s">
        <v>415</v>
      </c>
      <c r="B490" s="203"/>
      <c r="C490" s="203" t="e">
        <f t="shared" ref="C490:D492" si="45">C524+C558</f>
        <v>#REF!</v>
      </c>
      <c r="D490" s="203" t="e">
        <f t="shared" si="45"/>
        <v>#REF!</v>
      </c>
      <c r="E490" s="211">
        <v>4.3570000000000002</v>
      </c>
      <c r="F490" s="207" t="s">
        <v>362</v>
      </c>
      <c r="G490" s="205" t="e">
        <f t="shared" ref="G490:H492" si="46">G524+G558</f>
        <v>#REF!</v>
      </c>
      <c r="H490" s="205" t="e">
        <f t="shared" si="46"/>
        <v>#REF!</v>
      </c>
      <c r="I490" s="211">
        <v>4.8559999999999999</v>
      </c>
      <c r="J490" s="207" t="s">
        <v>362</v>
      </c>
      <c r="K490" s="205" t="e">
        <f>K524+K558</f>
        <v>#REF!</v>
      </c>
      <c r="M490" s="81" t="e">
        <f>(I490/100)*D490</f>
        <v>#REF!</v>
      </c>
      <c r="O490" s="14">
        <f>(I490-E490)/E490</f>
        <v>0.11452834519164555</v>
      </c>
      <c r="W490" s="20"/>
      <c r="X490" s="20"/>
      <c r="Y490" s="20"/>
      <c r="Z490" s="20"/>
      <c r="AA490" s="20"/>
      <c r="AB490" s="20"/>
      <c r="AC490" s="20"/>
    </row>
    <row r="491" spans="1:29">
      <c r="A491" s="207" t="s">
        <v>387</v>
      </c>
      <c r="B491" s="203"/>
      <c r="C491" s="203" t="e">
        <f t="shared" si="45"/>
        <v>#REF!</v>
      </c>
      <c r="D491" s="203" t="e">
        <f t="shared" si="45"/>
        <v>#REF!</v>
      </c>
      <c r="E491" s="211">
        <v>3.9930000000000003</v>
      </c>
      <c r="F491" s="207" t="s">
        <v>362</v>
      </c>
      <c r="G491" s="205" t="e">
        <f t="shared" si="46"/>
        <v>#REF!</v>
      </c>
      <c r="H491" s="205" t="e">
        <f t="shared" si="46"/>
        <v>#REF!</v>
      </c>
      <c r="I491" s="211">
        <f>ROUND(I490/E490*E491,3)+0.005</f>
        <v>4.4550000000000001</v>
      </c>
      <c r="J491" s="207" t="s">
        <v>362</v>
      </c>
      <c r="K491" s="205" t="e">
        <f>K525+K559</f>
        <v>#REF!</v>
      </c>
      <c r="M491" s="81" t="e">
        <f>(I491/100)*D491</f>
        <v>#REF!</v>
      </c>
      <c r="O491" s="14">
        <f>(I491-E491)/E491</f>
        <v>0.1157024793388429</v>
      </c>
      <c r="X491" s="20"/>
      <c r="Y491" s="20"/>
      <c r="Z491" s="20"/>
      <c r="AA491" s="20"/>
      <c r="AB491" s="20"/>
      <c r="AC491" s="20"/>
    </row>
    <row r="492" spans="1:29">
      <c r="A492" s="207" t="s">
        <v>388</v>
      </c>
      <c r="B492" s="1"/>
      <c r="C492" s="203">
        <f t="shared" si="45"/>
        <v>525884</v>
      </c>
      <c r="D492" s="203" t="e">
        <f t="shared" si="45"/>
        <v>#REF!</v>
      </c>
      <c r="E492" s="410">
        <v>45</v>
      </c>
      <c r="F492" s="207" t="s">
        <v>362</v>
      </c>
      <c r="G492" s="205">
        <f t="shared" si="46"/>
        <v>236647</v>
      </c>
      <c r="H492" s="205" t="e">
        <f t="shared" si="46"/>
        <v>#REF!</v>
      </c>
      <c r="I492" s="359">
        <v>50</v>
      </c>
      <c r="J492" s="207" t="s">
        <v>362</v>
      </c>
      <c r="K492" s="205">
        <f>K526+K560</f>
        <v>262942</v>
      </c>
      <c r="M492" s="81" t="e">
        <f>(I492/100)*D492</f>
        <v>#REF!</v>
      </c>
      <c r="O492" s="14">
        <f>(I492-E492)/E492</f>
        <v>0.1111111111111111</v>
      </c>
      <c r="X492" s="20"/>
      <c r="Y492" s="20"/>
      <c r="Z492" s="20"/>
      <c r="AA492" s="20"/>
      <c r="AB492" s="20"/>
      <c r="AC492" s="20"/>
    </row>
    <row r="493" spans="1:29">
      <c r="A493" s="244" t="s">
        <v>389</v>
      </c>
      <c r="B493" s="1"/>
      <c r="C493" s="203"/>
      <c r="D493" s="203"/>
      <c r="E493" s="216">
        <v>-0.01</v>
      </c>
      <c r="F493" s="2"/>
      <c r="G493" s="205"/>
      <c r="H493" s="205"/>
      <c r="I493" s="216">
        <v>-0.01</v>
      </c>
      <c r="J493" s="1"/>
      <c r="K493" s="205"/>
      <c r="X493" s="20"/>
      <c r="Y493" s="20"/>
      <c r="Z493" s="20"/>
      <c r="AA493" s="20"/>
      <c r="AB493" s="20"/>
      <c r="AC493" s="20"/>
    </row>
    <row r="494" spans="1:29">
      <c r="A494" s="207" t="s">
        <v>409</v>
      </c>
      <c r="B494" s="1"/>
      <c r="C494" s="203">
        <f t="shared" ref="C494:D507" si="47">C528+C562</f>
        <v>7</v>
      </c>
      <c r="D494" s="203">
        <f t="shared" si="47"/>
        <v>7</v>
      </c>
      <c r="E494" s="188">
        <f>E480</f>
        <v>225</v>
      </c>
      <c r="F494" s="248"/>
      <c r="G494" s="205">
        <f t="shared" ref="G494:H507" si="48">G528+G562</f>
        <v>-16</v>
      </c>
      <c r="H494" s="205">
        <f t="shared" si="48"/>
        <v>-16</v>
      </c>
      <c r="I494" s="188">
        <f>I480</f>
        <v>245</v>
      </c>
      <c r="J494" s="177"/>
      <c r="K494" s="205">
        <f t="shared" ref="K494:K506" si="49">K528+K562</f>
        <v>-17</v>
      </c>
      <c r="M494" s="81">
        <f t="shared" ref="M494:M500" si="50">-(I494*D494)/100</f>
        <v>-17.149999999999999</v>
      </c>
      <c r="X494" s="20"/>
      <c r="Y494" s="20"/>
      <c r="Z494" s="20"/>
      <c r="AA494" s="20"/>
      <c r="AB494" s="20"/>
      <c r="AC494" s="20"/>
    </row>
    <row r="495" spans="1:29">
      <c r="A495" s="207" t="s">
        <v>410</v>
      </c>
      <c r="B495" s="1"/>
      <c r="C495" s="203">
        <f t="shared" si="47"/>
        <v>37</v>
      </c>
      <c r="D495" s="203">
        <f t="shared" si="47"/>
        <v>37</v>
      </c>
      <c r="E495" s="188">
        <f>E481</f>
        <v>83</v>
      </c>
      <c r="F495" s="248"/>
      <c r="G495" s="205">
        <f t="shared" si="48"/>
        <v>-31</v>
      </c>
      <c r="H495" s="205">
        <f t="shared" si="48"/>
        <v>-31</v>
      </c>
      <c r="I495" s="188">
        <f>I481</f>
        <v>90</v>
      </c>
      <c r="J495" s="177"/>
      <c r="K495" s="205">
        <f t="shared" si="49"/>
        <v>-34</v>
      </c>
      <c r="M495" s="81">
        <f t="shared" si="50"/>
        <v>-33.299999999999997</v>
      </c>
      <c r="O495" s="255"/>
      <c r="W495" s="20"/>
      <c r="X495" s="20"/>
      <c r="Y495" s="20"/>
      <c r="Z495" s="20"/>
      <c r="AA495" s="20"/>
      <c r="AB495" s="20"/>
      <c r="AC495" s="20"/>
    </row>
    <row r="496" spans="1:29">
      <c r="A496" s="207" t="s">
        <v>411</v>
      </c>
      <c r="B496" s="1"/>
      <c r="C496" s="203">
        <f t="shared" si="47"/>
        <v>121</v>
      </c>
      <c r="D496" s="203">
        <f t="shared" si="47"/>
        <v>122</v>
      </c>
      <c r="E496" s="188">
        <f>E482</f>
        <v>166</v>
      </c>
      <c r="F496" s="256"/>
      <c r="G496" s="205">
        <f t="shared" si="48"/>
        <v>-201</v>
      </c>
      <c r="H496" s="205">
        <f t="shared" si="48"/>
        <v>-203</v>
      </c>
      <c r="I496" s="188">
        <f>I482</f>
        <v>180</v>
      </c>
      <c r="J496" s="257"/>
      <c r="K496" s="205">
        <f t="shared" si="49"/>
        <v>-218</v>
      </c>
      <c r="M496" s="81">
        <f t="shared" si="50"/>
        <v>-219.6</v>
      </c>
      <c r="O496" s="255"/>
      <c r="W496" s="20"/>
      <c r="X496" s="20"/>
      <c r="Y496" s="20"/>
      <c r="Z496" s="20"/>
      <c r="AA496" s="20"/>
      <c r="AB496" s="20"/>
      <c r="AC496" s="20"/>
    </row>
    <row r="497" spans="1:29">
      <c r="A497" s="207" t="s">
        <v>410</v>
      </c>
      <c r="B497" s="1"/>
      <c r="C497" s="203">
        <f t="shared" si="47"/>
        <v>6452</v>
      </c>
      <c r="D497" s="203" t="e">
        <f t="shared" si="47"/>
        <v>#REF!</v>
      </c>
      <c r="E497" s="188">
        <f>E484</f>
        <v>1.47</v>
      </c>
      <c r="F497" s="248"/>
      <c r="G497" s="205">
        <f t="shared" si="48"/>
        <v>-94</v>
      </c>
      <c r="H497" s="205" t="e">
        <f t="shared" si="48"/>
        <v>#REF!</v>
      </c>
      <c r="I497" s="188">
        <f>I484</f>
        <v>1.6</v>
      </c>
      <c r="J497" s="177"/>
      <c r="K497" s="205">
        <f t="shared" si="49"/>
        <v>-103</v>
      </c>
      <c r="M497" s="81" t="e">
        <f t="shared" si="50"/>
        <v>#REF!</v>
      </c>
      <c r="W497" s="20"/>
      <c r="X497" s="20"/>
      <c r="Y497" s="20"/>
      <c r="Z497" s="20"/>
      <c r="AA497" s="20"/>
      <c r="AB497" s="20"/>
      <c r="AC497" s="20"/>
    </row>
    <row r="498" spans="1:29">
      <c r="A498" s="207" t="s">
        <v>411</v>
      </c>
      <c r="B498" s="1"/>
      <c r="C498" s="203">
        <f t="shared" si="47"/>
        <v>76044</v>
      </c>
      <c r="D498" s="203" t="e">
        <f t="shared" si="47"/>
        <v>#REF!</v>
      </c>
      <c r="E498" s="188">
        <f>E485</f>
        <v>1.2</v>
      </c>
      <c r="F498" s="248" t="s">
        <v>31</v>
      </c>
      <c r="G498" s="205">
        <f t="shared" si="48"/>
        <v>-913</v>
      </c>
      <c r="H498" s="205" t="e">
        <f t="shared" si="48"/>
        <v>#REF!</v>
      </c>
      <c r="I498" s="188">
        <f>I485</f>
        <v>1.3</v>
      </c>
      <c r="J498" s="177"/>
      <c r="K498" s="205">
        <f t="shared" si="49"/>
        <v>-989</v>
      </c>
      <c r="M498" s="81" t="e">
        <f t="shared" si="50"/>
        <v>#REF!</v>
      </c>
      <c r="W498" s="20"/>
      <c r="X498" s="20"/>
      <c r="Y498" s="20"/>
      <c r="Z498" s="20"/>
      <c r="AA498" s="20"/>
      <c r="AB498" s="20"/>
      <c r="AC498" s="20"/>
    </row>
    <row r="499" spans="1:29">
      <c r="A499" s="193" t="s">
        <v>413</v>
      </c>
      <c r="B499" s="1"/>
      <c r="C499" s="203">
        <f t="shared" si="47"/>
        <v>64762</v>
      </c>
      <c r="D499" s="203" t="e">
        <f t="shared" si="47"/>
        <v>#REF!</v>
      </c>
      <c r="E499" s="188">
        <f>E487</f>
        <v>3.75</v>
      </c>
      <c r="F499" s="248" t="s">
        <v>31</v>
      </c>
      <c r="G499" s="205">
        <f t="shared" si="48"/>
        <v>-2428</v>
      </c>
      <c r="H499" s="205" t="e">
        <f t="shared" si="48"/>
        <v>#REF!</v>
      </c>
      <c r="I499" s="188">
        <f>I487</f>
        <v>3.95</v>
      </c>
      <c r="J499" s="177"/>
      <c r="K499" s="205">
        <f t="shared" si="49"/>
        <v>-2558</v>
      </c>
      <c r="M499" s="81" t="e">
        <f t="shared" si="50"/>
        <v>#REF!</v>
      </c>
      <c r="W499" s="20"/>
      <c r="X499" s="20"/>
      <c r="Y499" s="20"/>
      <c r="Z499" s="20"/>
      <c r="AA499" s="20"/>
      <c r="AB499" s="20"/>
      <c r="AC499" s="20"/>
    </row>
    <row r="500" spans="1:29">
      <c r="A500" s="193" t="s">
        <v>429</v>
      </c>
      <c r="B500" s="1"/>
      <c r="C500" s="203">
        <f t="shared" si="47"/>
        <v>0</v>
      </c>
      <c r="D500" s="203" t="e">
        <f t="shared" si="47"/>
        <v>#REF!</v>
      </c>
      <c r="E500" s="188">
        <f>E488</f>
        <v>3.75</v>
      </c>
      <c r="F500" s="248" t="s">
        <v>31</v>
      </c>
      <c r="G500" s="205">
        <f t="shared" si="48"/>
        <v>0</v>
      </c>
      <c r="H500" s="205" t="e">
        <f t="shared" si="48"/>
        <v>#REF!</v>
      </c>
      <c r="I500" s="188">
        <f>I488</f>
        <v>3.95</v>
      </c>
      <c r="J500" s="177"/>
      <c r="K500" s="205">
        <f t="shared" si="49"/>
        <v>0</v>
      </c>
      <c r="M500" s="81" t="e">
        <f t="shared" si="50"/>
        <v>#REF!</v>
      </c>
      <c r="W500" s="20"/>
      <c r="X500" s="20"/>
      <c r="Y500" s="20"/>
      <c r="Z500" s="20"/>
      <c r="AA500" s="20"/>
      <c r="AB500" s="20"/>
      <c r="AC500" s="20"/>
    </row>
    <row r="501" spans="1:29">
      <c r="A501" s="207" t="s">
        <v>415</v>
      </c>
      <c r="B501" s="1"/>
      <c r="C501" s="203">
        <f t="shared" si="47"/>
        <v>6256747</v>
      </c>
      <c r="D501" s="203" t="e">
        <f t="shared" si="47"/>
        <v>#REF!</v>
      </c>
      <c r="E501" s="258">
        <f>E490</f>
        <v>4.3570000000000002</v>
      </c>
      <c r="F501" s="205" t="s">
        <v>362</v>
      </c>
      <c r="G501" s="205">
        <f t="shared" si="48"/>
        <v>-2726</v>
      </c>
      <c r="H501" s="205" t="e">
        <f t="shared" si="48"/>
        <v>#REF!</v>
      </c>
      <c r="I501" s="258">
        <f>I490</f>
        <v>4.8559999999999999</v>
      </c>
      <c r="J501" s="207" t="s">
        <v>362</v>
      </c>
      <c r="K501" s="205">
        <f t="shared" si="49"/>
        <v>-3038</v>
      </c>
      <c r="M501" s="81" t="e">
        <f>-((I501*D501)/100)/100</f>
        <v>#REF!</v>
      </c>
      <c r="W501" s="20"/>
      <c r="X501" s="20"/>
      <c r="Y501" s="20"/>
      <c r="Z501" s="20"/>
      <c r="AA501" s="20"/>
      <c r="AB501" s="20"/>
      <c r="AC501" s="20"/>
    </row>
    <row r="502" spans="1:29">
      <c r="A502" s="207" t="s">
        <v>387</v>
      </c>
      <c r="B502" s="1"/>
      <c r="C502" s="203">
        <f t="shared" si="47"/>
        <v>19639451</v>
      </c>
      <c r="D502" s="203" t="e">
        <f t="shared" si="47"/>
        <v>#REF!</v>
      </c>
      <c r="E502" s="258">
        <f>E491</f>
        <v>3.9930000000000003</v>
      </c>
      <c r="F502" s="205" t="s">
        <v>362</v>
      </c>
      <c r="G502" s="205">
        <f t="shared" si="48"/>
        <v>-7842</v>
      </c>
      <c r="H502" s="205" t="e">
        <f t="shared" si="48"/>
        <v>#REF!</v>
      </c>
      <c r="I502" s="258">
        <f>I491</f>
        <v>4.4550000000000001</v>
      </c>
      <c r="J502" s="207" t="s">
        <v>362</v>
      </c>
      <c r="K502" s="205">
        <f t="shared" si="49"/>
        <v>-8749</v>
      </c>
      <c r="M502" s="81" t="e">
        <f>-((I502*D502)/100)/100</f>
        <v>#REF!</v>
      </c>
      <c r="W502" s="20"/>
      <c r="X502" s="20"/>
      <c r="Y502" s="20"/>
      <c r="Z502" s="20"/>
      <c r="AA502" s="20"/>
      <c r="AB502" s="20"/>
      <c r="AC502" s="20"/>
    </row>
    <row r="503" spans="1:29">
      <c r="A503" s="207" t="s">
        <v>388</v>
      </c>
      <c r="B503" s="1"/>
      <c r="C503" s="203">
        <f t="shared" si="47"/>
        <v>14691</v>
      </c>
      <c r="D503" s="203" t="e">
        <f t="shared" si="47"/>
        <v>#REF!</v>
      </c>
      <c r="E503" s="259">
        <f>E492</f>
        <v>45</v>
      </c>
      <c r="F503" s="205" t="s">
        <v>362</v>
      </c>
      <c r="G503" s="205">
        <f t="shared" si="48"/>
        <v>-67</v>
      </c>
      <c r="H503" s="205" t="e">
        <f t="shared" si="48"/>
        <v>#REF!</v>
      </c>
      <c r="I503" s="259">
        <f>I492</f>
        <v>50</v>
      </c>
      <c r="J503" s="207" t="s">
        <v>362</v>
      </c>
      <c r="K503" s="205">
        <f t="shared" si="49"/>
        <v>-74</v>
      </c>
      <c r="M503" s="81" t="e">
        <f>-((I503*D503)/100)/100</f>
        <v>#REF!</v>
      </c>
      <c r="W503" s="20"/>
      <c r="X503" s="20"/>
      <c r="Y503" s="20"/>
      <c r="Z503" s="20"/>
      <c r="AA503" s="20"/>
      <c r="AB503" s="20"/>
      <c r="AC503" s="20"/>
    </row>
    <row r="504" spans="1:29">
      <c r="A504" s="207" t="s">
        <v>431</v>
      </c>
      <c r="B504" s="1"/>
      <c r="C504" s="203">
        <f t="shared" si="47"/>
        <v>165</v>
      </c>
      <c r="D504" s="203">
        <f t="shared" si="47"/>
        <v>166</v>
      </c>
      <c r="E504" s="182">
        <f>'Blocking - detail'!E504</f>
        <v>60</v>
      </c>
      <c r="F504" s="248" t="s">
        <v>31</v>
      </c>
      <c r="G504" s="205">
        <f t="shared" si="48"/>
        <v>9900</v>
      </c>
      <c r="H504" s="205">
        <f t="shared" si="48"/>
        <v>9960</v>
      </c>
      <c r="I504" s="182">
        <f>'Blocking - detail'!I504</f>
        <v>60</v>
      </c>
      <c r="J504" s="1"/>
      <c r="K504" s="205">
        <f t="shared" si="49"/>
        <v>9900</v>
      </c>
      <c r="M504" s="81">
        <f>I504*D504</f>
        <v>9960</v>
      </c>
      <c r="W504" s="20"/>
      <c r="X504" s="20"/>
      <c r="Y504" s="20"/>
      <c r="Z504" s="20"/>
      <c r="AA504" s="20"/>
      <c r="AB504" s="20"/>
      <c r="AC504" s="20"/>
    </row>
    <row r="505" spans="1:29">
      <c r="A505" s="207" t="s">
        <v>432</v>
      </c>
      <c r="B505" s="1"/>
      <c r="C505" s="203">
        <f t="shared" si="47"/>
        <v>78375</v>
      </c>
      <c r="D505" s="203" t="e">
        <f t="shared" si="47"/>
        <v>#REF!</v>
      </c>
      <c r="E505" s="223">
        <f>'Blocking - detail'!E505</f>
        <v>-30</v>
      </c>
      <c r="F505" s="205" t="s">
        <v>362</v>
      </c>
      <c r="G505" s="205">
        <f t="shared" si="48"/>
        <v>-23513</v>
      </c>
      <c r="H505" s="205" t="e">
        <f t="shared" si="48"/>
        <v>#REF!</v>
      </c>
      <c r="I505" s="223">
        <f>'Blocking - detail'!I505</f>
        <v>-30</v>
      </c>
      <c r="J505" s="205" t="s">
        <v>362</v>
      </c>
      <c r="K505" s="205">
        <f t="shared" si="49"/>
        <v>-23513</v>
      </c>
      <c r="M505" s="81" t="e">
        <f>(I505/100)*D505</f>
        <v>#REF!</v>
      </c>
      <c r="W505" s="20"/>
      <c r="X505" s="20"/>
      <c r="Y505" s="20"/>
      <c r="Z505" s="20"/>
      <c r="AA505" s="20"/>
      <c r="AB505" s="20"/>
      <c r="AC505" s="20"/>
    </row>
    <row r="506" spans="1:29">
      <c r="A506" s="1" t="s">
        <v>369</v>
      </c>
      <c r="B506" s="62"/>
      <c r="C506" s="203" t="e">
        <f t="shared" si="47"/>
        <v>#REF!</v>
      </c>
      <c r="D506" s="203">
        <f t="shared" si="47"/>
        <v>909584708.38655555</v>
      </c>
      <c r="E506" s="214"/>
      <c r="F506" s="2"/>
      <c r="G506" s="2" t="e">
        <f t="shared" si="48"/>
        <v>#REF!</v>
      </c>
      <c r="H506" s="2" t="e">
        <f t="shared" si="48"/>
        <v>#REF!</v>
      </c>
      <c r="I506" s="2"/>
      <c r="J506" s="1"/>
      <c r="K506" s="2" t="e">
        <f t="shared" si="49"/>
        <v>#REF!</v>
      </c>
      <c r="M506" s="81" t="e">
        <f>SUM(M480:M505)</f>
        <v>#REF!</v>
      </c>
      <c r="P506" s="261"/>
      <c r="W506" s="20"/>
      <c r="X506" s="20"/>
      <c r="Y506" s="20"/>
      <c r="Z506" s="20"/>
      <c r="AA506" s="20"/>
      <c r="AB506" s="20"/>
      <c r="AC506" s="20"/>
    </row>
    <row r="507" spans="1:29">
      <c r="A507" s="1" t="s">
        <v>351</v>
      </c>
      <c r="B507" s="24"/>
      <c r="C507" s="224" t="e">
        <f t="shared" si="47"/>
        <v>#REF!</v>
      </c>
      <c r="D507" s="224">
        <f t="shared" si="47"/>
        <v>0</v>
      </c>
      <c r="E507" s="193"/>
      <c r="F507" s="193"/>
      <c r="G507" s="194" t="e">
        <f t="shared" si="48"/>
        <v>#REF!</v>
      </c>
      <c r="H507" s="194">
        <f t="shared" si="48"/>
        <v>0</v>
      </c>
      <c r="I507" s="193"/>
      <c r="J507" s="193"/>
      <c r="K507" s="194" t="e">
        <f>G507</f>
        <v>#REF!</v>
      </c>
      <c r="M507" s="173"/>
      <c r="N507" s="173"/>
      <c r="O507" s="174"/>
      <c r="W507" s="20"/>
      <c r="X507" s="20"/>
      <c r="Y507" s="20"/>
      <c r="Z507" s="20"/>
      <c r="AA507" s="20"/>
      <c r="AB507" s="20"/>
      <c r="AC507" s="20"/>
    </row>
    <row r="508" spans="1:29" ht="16.5" thickBot="1">
      <c r="A508" s="1" t="s">
        <v>370</v>
      </c>
      <c r="B508" s="1"/>
      <c r="C508" s="250" t="e">
        <f>SUM(C506)+C507</f>
        <v>#REF!</v>
      </c>
      <c r="D508" s="250" t="e">
        <f>SUM(D490:D491)+D507</f>
        <v>#REF!</v>
      </c>
      <c r="E508" s="226"/>
      <c r="F508" s="227"/>
      <c r="G508" s="228" t="e">
        <f>G506+G507</f>
        <v>#REF!</v>
      </c>
      <c r="H508" s="228" t="e">
        <f>H506+H507</f>
        <v>#REF!</v>
      </c>
      <c r="I508" s="226"/>
      <c r="J508" s="229"/>
      <c r="K508" s="228" t="e">
        <f>K506+K507</f>
        <v>#REF!</v>
      </c>
      <c r="M508" s="175"/>
      <c r="N508" s="3" t="s">
        <v>397</v>
      </c>
      <c r="O508" s="81" t="e">
        <f>#REF!*1000</f>
        <v>#REF!</v>
      </c>
      <c r="W508" s="20"/>
      <c r="X508" s="20"/>
      <c r="Y508" s="20"/>
      <c r="Z508" s="20"/>
      <c r="AA508" s="20"/>
      <c r="AB508" s="20"/>
      <c r="AC508" s="20"/>
    </row>
    <row r="509" spans="1:29" ht="16.5" thickTop="1">
      <c r="A509" s="1"/>
      <c r="B509" s="1"/>
      <c r="C509" s="21"/>
      <c r="D509" s="21"/>
      <c r="E509" s="221"/>
      <c r="F509" s="2"/>
      <c r="G509" s="2"/>
      <c r="H509" s="2"/>
      <c r="I509" s="237" t="s">
        <v>31</v>
      </c>
      <c r="J509" s="1"/>
      <c r="K509" s="2" t="s">
        <v>31</v>
      </c>
      <c r="N509" s="3" t="s">
        <v>256</v>
      </c>
      <c r="O509" s="81" t="e">
        <f>O508-K508</f>
        <v>#REF!</v>
      </c>
      <c r="P509" s="160" t="e">
        <f>(O508-K508)/K508</f>
        <v>#REF!</v>
      </c>
      <c r="W509" s="20"/>
      <c r="X509" s="20"/>
      <c r="Y509" s="20"/>
      <c r="Z509" s="20"/>
      <c r="AA509" s="20"/>
      <c r="AB509" s="20"/>
      <c r="AC509" s="20"/>
    </row>
    <row r="510" spans="1:29">
      <c r="A510" s="177" t="s">
        <v>424</v>
      </c>
      <c r="B510" s="1"/>
      <c r="C510" s="1"/>
      <c r="D510" s="1"/>
      <c r="E510" s="2"/>
      <c r="F510" s="2"/>
      <c r="G510" s="1" t="s">
        <v>31</v>
      </c>
      <c r="H510" s="1"/>
      <c r="I510" s="2"/>
      <c r="J510" s="1"/>
      <c r="K510" s="1"/>
      <c r="W510" s="20"/>
      <c r="X510" s="20"/>
      <c r="Y510" s="20"/>
      <c r="Z510" s="20"/>
      <c r="AA510" s="20"/>
      <c r="AB510" s="20"/>
      <c r="AC510" s="20"/>
    </row>
    <row r="511" spans="1:29">
      <c r="A511" s="193" t="s">
        <v>433</v>
      </c>
      <c r="B511" s="1"/>
      <c r="C511" s="1"/>
      <c r="D511" s="1"/>
      <c r="E511" s="2"/>
      <c r="F511" s="2"/>
      <c r="G511" s="1"/>
      <c r="H511" s="1"/>
      <c r="I511" s="2"/>
      <c r="J511" s="1"/>
      <c r="K511" s="1"/>
      <c r="O511" s="160" t="e">
        <f>O509/(K490+K491)</f>
        <v>#REF!</v>
      </c>
      <c r="W511" s="20"/>
      <c r="X511" s="20"/>
      <c r="Y511" s="20"/>
      <c r="Z511" s="20"/>
      <c r="AA511" s="20"/>
      <c r="AB511" s="20"/>
      <c r="AC511" s="20"/>
    </row>
    <row r="512" spans="1:29">
      <c r="A512" s="207"/>
      <c r="B512" s="1"/>
      <c r="C512" s="1"/>
      <c r="D512" s="1"/>
      <c r="E512" s="2"/>
      <c r="F512" s="2"/>
      <c r="G512" s="1"/>
      <c r="H512" s="1"/>
      <c r="I512" s="2"/>
      <c r="J512" s="1"/>
      <c r="K512" s="1"/>
      <c r="M512" s="20"/>
      <c r="N512" s="20"/>
      <c r="O512" s="71"/>
      <c r="P512" s="71"/>
      <c r="Q512" s="20"/>
      <c r="R512" s="20"/>
      <c r="S512" s="20"/>
      <c r="T512" s="20"/>
      <c r="U512" s="20"/>
      <c r="V512" s="20"/>
      <c r="W512" s="20"/>
      <c r="X512" s="20"/>
      <c r="Y512" s="20"/>
      <c r="Z512" s="20"/>
      <c r="AA512" s="20"/>
      <c r="AB512" s="20"/>
      <c r="AC512" s="20"/>
    </row>
    <row r="513" spans="1:29">
      <c r="A513" s="207" t="s">
        <v>381</v>
      </c>
      <c r="B513" s="1"/>
      <c r="C513" s="203"/>
      <c r="D513" s="203"/>
      <c r="E513" s="2"/>
      <c r="F513" s="2"/>
      <c r="G513" s="1"/>
      <c r="H513" s="1"/>
      <c r="I513" s="2"/>
      <c r="J513" s="1"/>
      <c r="K513" s="1"/>
      <c r="M513" s="20"/>
      <c r="N513" s="20"/>
      <c r="O513" s="71"/>
      <c r="P513" s="71"/>
      <c r="Q513" s="20"/>
      <c r="R513" s="20"/>
      <c r="S513" s="20"/>
      <c r="T513" s="20"/>
      <c r="U513" s="20"/>
      <c r="V513" s="20"/>
      <c r="W513" s="20"/>
      <c r="X513" s="20"/>
      <c r="Y513" s="20"/>
      <c r="Z513" s="20"/>
      <c r="AA513" s="20"/>
      <c r="AB513" s="20"/>
      <c r="AC513" s="20"/>
    </row>
    <row r="514" spans="1:29">
      <c r="A514" s="207" t="s">
        <v>409</v>
      </c>
      <c r="B514" s="1"/>
      <c r="C514" s="203">
        <f>15+3+272</f>
        <v>290</v>
      </c>
      <c r="D514" s="203">
        <v>294</v>
      </c>
      <c r="E514" s="182">
        <f>$E$480</f>
        <v>225</v>
      </c>
      <c r="F514" s="207"/>
      <c r="G514" s="205">
        <f>ROUND(E514*$C514,0)</f>
        <v>65250</v>
      </c>
      <c r="H514" s="205">
        <f>ROUND(E514*$D514,0)</f>
        <v>66150</v>
      </c>
      <c r="I514" s="182">
        <f>$I$480</f>
        <v>245</v>
      </c>
      <c r="J514" s="207"/>
      <c r="K514" s="205">
        <f>ROUND(I514*$C514,0)</f>
        <v>71050</v>
      </c>
      <c r="M514" s="20"/>
      <c r="N514" s="20"/>
      <c r="O514" s="71"/>
      <c r="P514" s="71"/>
      <c r="Q514" s="20"/>
      <c r="R514" s="20"/>
      <c r="S514" s="20"/>
      <c r="T514" s="20"/>
      <c r="U514" s="20"/>
      <c r="V514" s="20"/>
      <c r="W514" s="20"/>
      <c r="X514" s="20"/>
      <c r="Y514" s="20"/>
      <c r="Z514" s="20"/>
      <c r="AA514" s="20"/>
      <c r="AB514" s="20"/>
      <c r="AC514" s="20"/>
    </row>
    <row r="515" spans="1:29">
      <c r="A515" s="207" t="s">
        <v>410</v>
      </c>
      <c r="B515" s="1"/>
      <c r="C515" s="203">
        <f>891+24+6737</f>
        <v>7652</v>
      </c>
      <c r="D515" s="203">
        <v>7746</v>
      </c>
      <c r="E515" s="182">
        <f>$E$481</f>
        <v>83</v>
      </c>
      <c r="F515" s="207"/>
      <c r="G515" s="205">
        <f>ROUND(E515*$C515,0)</f>
        <v>635116</v>
      </c>
      <c r="H515" s="205">
        <f>ROUND(E515*$D515,0)</f>
        <v>642918</v>
      </c>
      <c r="I515" s="182">
        <f>$I$481</f>
        <v>90</v>
      </c>
      <c r="J515" s="207"/>
      <c r="K515" s="205">
        <f>ROUND(I515*$C515,0)</f>
        <v>688680</v>
      </c>
      <c r="M515" s="20"/>
      <c r="N515" s="20"/>
      <c r="O515" s="71"/>
      <c r="P515" s="71"/>
      <c r="Q515" s="20"/>
      <c r="R515" s="20"/>
      <c r="S515" s="20"/>
      <c r="T515" s="20"/>
      <c r="U515" s="20"/>
      <c r="V515" s="20"/>
      <c r="W515" s="20"/>
      <c r="X515" s="20"/>
      <c r="Y515" s="20"/>
      <c r="Z515" s="20"/>
      <c r="AA515" s="20"/>
      <c r="AB515" s="20"/>
      <c r="AC515" s="20"/>
    </row>
    <row r="516" spans="1:29">
      <c r="A516" s="207" t="s">
        <v>411</v>
      </c>
      <c r="B516" s="1"/>
      <c r="C516" s="203">
        <f>218+106+2548</f>
        <v>2872</v>
      </c>
      <c r="D516" s="203">
        <v>2907</v>
      </c>
      <c r="E516" s="182">
        <f>$E$482</f>
        <v>166</v>
      </c>
      <c r="F516" s="209"/>
      <c r="G516" s="205">
        <f>ROUND(E516*$C516,0)</f>
        <v>476752</v>
      </c>
      <c r="H516" s="205">
        <f>ROUND(E516*$D516,0)</f>
        <v>482562</v>
      </c>
      <c r="I516" s="182">
        <f>$I$482</f>
        <v>180</v>
      </c>
      <c r="J516" s="209"/>
      <c r="K516" s="205">
        <f>ROUND(I516*$C516,0)</f>
        <v>516960</v>
      </c>
      <c r="M516" s="20"/>
      <c r="N516" s="20"/>
      <c r="O516" s="71"/>
      <c r="P516" s="71"/>
      <c r="Q516" s="20"/>
      <c r="R516" s="20"/>
      <c r="S516" s="20"/>
      <c r="T516" s="20"/>
      <c r="U516" s="20"/>
      <c r="V516" s="20"/>
      <c r="W516" s="20"/>
      <c r="X516" s="20"/>
      <c r="Y516" s="20"/>
      <c r="Z516" s="20"/>
      <c r="AA516" s="20"/>
      <c r="AB516" s="20"/>
      <c r="AC516" s="20"/>
    </row>
    <row r="517" spans="1:29">
      <c r="A517" s="207" t="s">
        <v>382</v>
      </c>
      <c r="B517" s="1"/>
      <c r="C517" s="203">
        <f>SUM(C514:C516)</f>
        <v>10814</v>
      </c>
      <c r="D517" s="203">
        <f>SUM(D514:D516)</f>
        <v>10947</v>
      </c>
      <c r="E517" s="182"/>
      <c r="F517" s="207"/>
      <c r="G517" s="205"/>
      <c r="H517" s="205"/>
      <c r="I517" s="182"/>
      <c r="J517" s="207"/>
      <c r="K517" s="205"/>
      <c r="M517" s="20"/>
      <c r="N517" s="20"/>
      <c r="O517" s="71"/>
      <c r="P517" s="71"/>
      <c r="Q517" s="20"/>
      <c r="R517" s="20"/>
      <c r="S517" s="20"/>
      <c r="T517" s="20"/>
      <c r="U517" s="20"/>
      <c r="V517" s="20"/>
      <c r="W517" s="20"/>
      <c r="X517" s="20"/>
      <c r="Y517" s="20"/>
      <c r="Z517" s="20"/>
      <c r="AA517" s="20"/>
      <c r="AB517" s="20"/>
      <c r="AC517" s="20"/>
    </row>
    <row r="518" spans="1:29">
      <c r="A518" s="207" t="s">
        <v>410</v>
      </c>
      <c r="B518" s="1"/>
      <c r="C518" s="203">
        <f>161511+4370+1155196</f>
        <v>1321077</v>
      </c>
      <c r="D518" s="203" t="e">
        <f>ROUND(($D$540/'Billing Determinants (2)'!$C$540)*C518,0)</f>
        <v>#REF!</v>
      </c>
      <c r="E518" s="182">
        <f>$E$484</f>
        <v>1.47</v>
      </c>
      <c r="F518" s="207" t="s">
        <v>31</v>
      </c>
      <c r="G518" s="205">
        <f>ROUND(E518*$C518,0)</f>
        <v>1941983</v>
      </c>
      <c r="H518" s="205" t="e">
        <f>ROUND(E518*$D518,0)</f>
        <v>#REF!</v>
      </c>
      <c r="I518" s="182">
        <f>$I$484</f>
        <v>1.6</v>
      </c>
      <c r="J518" s="207" t="s">
        <v>31</v>
      </c>
      <c r="K518" s="205">
        <f>ROUND(I518*$C518,0)</f>
        <v>2113723</v>
      </c>
      <c r="M518" s="20"/>
      <c r="N518" s="20"/>
      <c r="O518" s="71"/>
      <c r="P518" s="71"/>
      <c r="Q518" s="20"/>
      <c r="R518" s="20"/>
      <c r="S518" s="20"/>
      <c r="T518" s="20"/>
      <c r="U518" s="20"/>
      <c r="V518" s="20"/>
      <c r="W518" s="20"/>
      <c r="X518" s="20"/>
      <c r="Y518" s="20"/>
      <c r="Z518" s="20"/>
      <c r="AA518" s="20"/>
      <c r="AB518" s="20"/>
      <c r="AC518" s="20"/>
    </row>
    <row r="519" spans="1:29">
      <c r="A519" s="207" t="s">
        <v>411</v>
      </c>
      <c r="B519" s="1"/>
      <c r="C519" s="203">
        <f>119211+61985+1218712</f>
        <v>1399908</v>
      </c>
      <c r="D519" s="203" t="e">
        <f>ROUND(($D$540/'Billing Determinants (2)'!$C$540)*C519,0)</f>
        <v>#REF!</v>
      </c>
      <c r="E519" s="182">
        <f>$E$485</f>
        <v>1.2</v>
      </c>
      <c r="F519" s="207" t="s">
        <v>31</v>
      </c>
      <c r="G519" s="205">
        <f>ROUND(E519*$C519,0)</f>
        <v>1679890</v>
      </c>
      <c r="H519" s="205" t="e">
        <f>ROUND(E519*$D519,0)</f>
        <v>#REF!</v>
      </c>
      <c r="I519" s="182">
        <f>$I$485</f>
        <v>1.3</v>
      </c>
      <c r="J519" s="207" t="s">
        <v>31</v>
      </c>
      <c r="K519" s="205">
        <f>ROUND(I519*$C519,0)</f>
        <v>1819880</v>
      </c>
      <c r="M519" s="20"/>
      <c r="N519" s="20"/>
      <c r="O519" s="71"/>
      <c r="P519" s="71"/>
      <c r="Q519" s="20"/>
      <c r="R519" s="20"/>
      <c r="S519" s="20"/>
      <c r="T519" s="20"/>
      <c r="U519" s="20"/>
      <c r="V519" s="20"/>
      <c r="W519" s="20"/>
      <c r="X519" s="20"/>
      <c r="Y519" s="20"/>
      <c r="Z519" s="20"/>
      <c r="AA519" s="20"/>
      <c r="AB519" s="20"/>
      <c r="AC519" s="20"/>
    </row>
    <row r="520" spans="1:29">
      <c r="A520" s="193" t="s">
        <v>412</v>
      </c>
      <c r="B520" s="1"/>
      <c r="C520" s="203"/>
      <c r="D520" s="203"/>
      <c r="E520" s="239"/>
      <c r="F520" s="207"/>
      <c r="G520" s="205"/>
      <c r="H520" s="205"/>
      <c r="I520" s="239"/>
      <c r="J520" s="207"/>
      <c r="K520" s="205"/>
      <c r="M520" s="20"/>
      <c r="N520" s="20"/>
      <c r="O520" s="71"/>
      <c r="P520" s="71"/>
      <c r="Q520" s="20"/>
      <c r="R520" s="20"/>
      <c r="S520" s="20"/>
      <c r="T520" s="20"/>
      <c r="U520" s="20"/>
      <c r="V520" s="20"/>
      <c r="W520" s="20"/>
      <c r="X520" s="20"/>
      <c r="Y520" s="20"/>
      <c r="Z520" s="20"/>
      <c r="AA520" s="20"/>
      <c r="AB520" s="20"/>
      <c r="AC520" s="20"/>
    </row>
    <row r="521" spans="1:29">
      <c r="A521" s="193" t="s">
        <v>413</v>
      </c>
      <c r="B521" s="1"/>
      <c r="C521" s="203">
        <f>1068+119254+79096+150+3376+49943+17200+887264+924289</f>
        <v>2081640</v>
      </c>
      <c r="D521" s="203" t="e">
        <f>ROUND(($D$540/'Billing Determinants (2)'!$C$540)*C521,0)</f>
        <v>#REF!</v>
      </c>
      <c r="E521" s="182">
        <f>$E$487</f>
        <v>3.75</v>
      </c>
      <c r="F521" s="207"/>
      <c r="G521" s="205">
        <f>ROUND(E521*$C521,0)</f>
        <v>7806150</v>
      </c>
      <c r="H521" s="205" t="e">
        <f>ROUND(E521*$D521,0)</f>
        <v>#REF!</v>
      </c>
      <c r="I521" s="182">
        <f>$I$487</f>
        <v>3.95</v>
      </c>
      <c r="J521" s="207"/>
      <c r="K521" s="205">
        <f>ROUND(I521*$C521,0)</f>
        <v>8222478</v>
      </c>
      <c r="M521" s="20"/>
      <c r="N521" s="20"/>
      <c r="O521" s="71"/>
      <c r="P521" s="71"/>
      <c r="Q521" s="20"/>
      <c r="R521" s="20"/>
      <c r="S521" s="20"/>
      <c r="T521" s="20"/>
      <c r="U521" s="20"/>
      <c r="V521" s="20"/>
      <c r="W521" s="20"/>
      <c r="X521" s="20"/>
      <c r="Y521" s="20"/>
      <c r="Z521" s="20"/>
      <c r="AA521" s="20"/>
      <c r="AB521" s="20"/>
      <c r="AC521" s="20"/>
    </row>
    <row r="522" spans="1:29">
      <c r="A522" s="193" t="s">
        <v>429</v>
      </c>
      <c r="B522" s="1"/>
      <c r="C522" s="203">
        <v>0</v>
      </c>
      <c r="D522" s="203" t="e">
        <f>ROUND(($D$540/'Billing Determinants (2)'!$C$540)*C522,0)</f>
        <v>#REF!</v>
      </c>
      <c r="E522" s="253">
        <f>E521</f>
        <v>3.75</v>
      </c>
      <c r="F522" s="207"/>
      <c r="G522" s="205">
        <f>ROUND(E522*$C522,0)</f>
        <v>0</v>
      </c>
      <c r="H522" s="205" t="e">
        <f>ROUND(E522*$D522,0)</f>
        <v>#REF!</v>
      </c>
      <c r="I522" s="253">
        <f>I521</f>
        <v>3.95</v>
      </c>
      <c r="J522" s="207"/>
      <c r="K522" s="205">
        <f>ROUND(I522*$C522,0)</f>
        <v>0</v>
      </c>
      <c r="M522" s="20"/>
      <c r="N522" s="20"/>
      <c r="O522" s="71"/>
      <c r="P522" s="71"/>
      <c r="Q522" s="20"/>
      <c r="R522" s="20"/>
      <c r="S522" s="20"/>
      <c r="T522" s="20"/>
      <c r="U522" s="20"/>
      <c r="V522" s="20"/>
      <c r="W522" s="20"/>
      <c r="X522" s="20"/>
      <c r="Y522" s="20"/>
      <c r="Z522" s="20"/>
      <c r="AA522" s="20"/>
      <c r="AB522" s="20"/>
      <c r="AC522" s="20"/>
    </row>
    <row r="523" spans="1:29">
      <c r="A523" s="207" t="s">
        <v>414</v>
      </c>
      <c r="B523" s="1"/>
      <c r="C523" s="203"/>
      <c r="D523" s="203"/>
      <c r="E523" s="182"/>
      <c r="F523" s="207"/>
      <c r="G523" s="205"/>
      <c r="H523" s="205"/>
      <c r="I523" s="182"/>
      <c r="J523" s="207"/>
      <c r="K523" s="205"/>
      <c r="M523" s="20"/>
      <c r="N523" s="20"/>
      <c r="O523" s="71"/>
      <c r="P523" s="71"/>
      <c r="Q523" s="20"/>
      <c r="R523" s="20"/>
      <c r="S523" s="20"/>
      <c r="T523" s="20"/>
      <c r="U523" s="20"/>
      <c r="V523" s="20"/>
      <c r="W523" s="20"/>
      <c r="X523" s="20"/>
      <c r="Y523" s="20"/>
      <c r="Z523" s="20"/>
      <c r="AA523" s="20"/>
      <c r="AB523" s="20"/>
      <c r="AC523" s="20"/>
    </row>
    <row r="524" spans="1:29">
      <c r="A524" s="207" t="s">
        <v>415</v>
      </c>
      <c r="B524" s="203"/>
      <c r="C524" s="203" t="e">
        <f>251081+26399950+8327667+8480+907600+4146400+4006185+206696529+96381069+#REF!*1000</f>
        <v>#REF!</v>
      </c>
      <c r="D524" s="203" t="e">
        <f>ROUND(($D$540/'Billing Determinants (2)'!$C$540)*C524,0)</f>
        <v>#REF!</v>
      </c>
      <c r="E524" s="254">
        <f>$E$490</f>
        <v>4.3570000000000002</v>
      </c>
      <c r="F524" s="207" t="s">
        <v>362</v>
      </c>
      <c r="G524" s="205" t="e">
        <f>ROUND(E524*$C524/100,0)</f>
        <v>#REF!</v>
      </c>
      <c r="H524" s="205" t="e">
        <f>ROUND(E524*$D524/100,0)</f>
        <v>#REF!</v>
      </c>
      <c r="I524" s="211">
        <f>$I$490</f>
        <v>4.8559999999999999</v>
      </c>
      <c r="J524" s="207" t="s">
        <v>362</v>
      </c>
      <c r="K524" s="205" t="e">
        <f>ROUND(I524*$C524/100,0)</f>
        <v>#REF!</v>
      </c>
      <c r="M524" s="20"/>
      <c r="N524" s="20"/>
      <c r="O524" s="71"/>
      <c r="P524" s="71"/>
      <c r="Q524" s="20"/>
      <c r="R524" s="20"/>
      <c r="S524" s="20"/>
      <c r="T524" s="20"/>
      <c r="U524" s="20"/>
      <c r="V524" s="20"/>
      <c r="W524" s="20"/>
      <c r="X524" s="20"/>
      <c r="Y524" s="20"/>
      <c r="Z524" s="20"/>
      <c r="AA524" s="20"/>
      <c r="AB524" s="20"/>
      <c r="AC524" s="20"/>
    </row>
    <row r="525" spans="1:29">
      <c r="A525" s="207" t="s">
        <v>387</v>
      </c>
      <c r="B525" s="203"/>
      <c r="C525" s="203" t="e">
        <f>251081+44206075+35863656+8480+1348200+18841920+4093885+288814372+368801759-C524+#REF!*1000+#REF!*1000</f>
        <v>#REF!</v>
      </c>
      <c r="D525" s="203" t="e">
        <f>ROUND(($D$540/'Billing Determinants (2)'!$C$540)*C525,0)</f>
        <v>#REF!</v>
      </c>
      <c r="E525" s="254">
        <f>$E$491</f>
        <v>3.9930000000000003</v>
      </c>
      <c r="F525" s="207" t="s">
        <v>362</v>
      </c>
      <c r="G525" s="205" t="e">
        <f>ROUND(E525*$C525/100,0)</f>
        <v>#REF!</v>
      </c>
      <c r="H525" s="205" t="e">
        <f>ROUND(E525*$D525/100,0)</f>
        <v>#REF!</v>
      </c>
      <c r="I525" s="211">
        <f>$I$491</f>
        <v>4.4550000000000001</v>
      </c>
      <c r="J525" s="207" t="s">
        <v>362</v>
      </c>
      <c r="K525" s="205" t="e">
        <f>ROUND(I525*$C525/100,0)</f>
        <v>#REF!</v>
      </c>
      <c r="M525" s="20"/>
      <c r="N525" s="20"/>
      <c r="O525" s="71"/>
      <c r="P525" s="71"/>
      <c r="Q525" s="20"/>
      <c r="R525" s="20"/>
      <c r="S525" s="20"/>
      <c r="T525" s="20"/>
      <c r="U525" s="20"/>
      <c r="V525" s="20"/>
      <c r="W525" s="20"/>
      <c r="X525" s="20"/>
      <c r="Y525" s="20"/>
      <c r="Z525" s="20"/>
      <c r="AA525" s="20"/>
      <c r="AB525" s="20"/>
      <c r="AC525" s="20"/>
    </row>
    <row r="526" spans="1:29">
      <c r="A526" s="207" t="s">
        <v>388</v>
      </c>
      <c r="B526" s="1"/>
      <c r="C526" s="203">
        <f>25+26086+19444+27+10311+1383+154262+167734</f>
        <v>379272</v>
      </c>
      <c r="D526" s="203" t="e">
        <f>ROUND(($D$540/'Billing Determinants (2)'!$C$540)*C526,0)</f>
        <v>#REF!</v>
      </c>
      <c r="E526" s="223">
        <f>$E$492</f>
        <v>45</v>
      </c>
      <c r="F526" s="207" t="s">
        <v>362</v>
      </c>
      <c r="G526" s="205">
        <f>ROUND(E526*$C526/100,0)</f>
        <v>170672</v>
      </c>
      <c r="H526" s="205" t="e">
        <f>ROUND(E526*$D526/100,0)</f>
        <v>#REF!</v>
      </c>
      <c r="I526" s="359">
        <f>$I$492</f>
        <v>50</v>
      </c>
      <c r="J526" s="207" t="s">
        <v>362</v>
      </c>
      <c r="K526" s="205">
        <f>ROUND(I526*$C526/100,0)</f>
        <v>189636</v>
      </c>
      <c r="M526" s="20"/>
      <c r="N526" s="20"/>
      <c r="O526" s="71"/>
      <c r="P526" s="71"/>
      <c r="Q526" s="20"/>
      <c r="R526" s="20"/>
      <c r="S526" s="20"/>
      <c r="T526" s="20"/>
      <c r="U526" s="20"/>
      <c r="V526" s="20"/>
      <c r="W526" s="20"/>
      <c r="X526" s="20"/>
      <c r="Y526" s="20"/>
      <c r="Z526" s="20"/>
      <c r="AA526" s="20"/>
      <c r="AB526" s="20"/>
      <c r="AC526" s="20"/>
    </row>
    <row r="527" spans="1:29">
      <c r="A527" s="244" t="s">
        <v>389</v>
      </c>
      <c r="B527" s="1"/>
      <c r="C527" s="203"/>
      <c r="D527" s="203"/>
      <c r="E527" s="216">
        <v>-0.01</v>
      </c>
      <c r="F527" s="2"/>
      <c r="G527" s="205"/>
      <c r="H527" s="205"/>
      <c r="I527" s="216">
        <v>-0.01</v>
      </c>
      <c r="J527" s="1"/>
      <c r="K527" s="205"/>
      <c r="M527" s="20"/>
      <c r="N527" s="20"/>
      <c r="O527" s="71"/>
      <c r="P527" s="71"/>
      <c r="Q527" s="20"/>
      <c r="R527" s="20"/>
      <c r="S527" s="20"/>
      <c r="T527" s="20"/>
      <c r="U527" s="20"/>
      <c r="V527" s="20"/>
      <c r="W527" s="20"/>
      <c r="X527" s="20"/>
      <c r="Y527" s="20"/>
      <c r="Z527" s="20"/>
      <c r="AA527" s="20"/>
      <c r="AB527" s="20"/>
      <c r="AC527" s="20"/>
    </row>
    <row r="528" spans="1:29">
      <c r="A528" s="207" t="s">
        <v>409</v>
      </c>
      <c r="B528" s="21"/>
      <c r="C528" s="203">
        <v>3</v>
      </c>
      <c r="D528" s="203">
        <v>3</v>
      </c>
      <c r="E528" s="188">
        <f>E514</f>
        <v>225</v>
      </c>
      <c r="F528" s="248"/>
      <c r="G528" s="205">
        <f>ROUND(E528*$C528*E527,0)</f>
        <v>-7</v>
      </c>
      <c r="H528" s="205">
        <f>ROUND(E528*$D528*E527,0)</f>
        <v>-7</v>
      </c>
      <c r="I528" s="188">
        <f>I514</f>
        <v>245</v>
      </c>
      <c r="J528" s="177"/>
      <c r="K528" s="205">
        <f>ROUND(I528*$C528*I527,0)</f>
        <v>-7</v>
      </c>
      <c r="M528" s="20"/>
      <c r="N528" s="20"/>
      <c r="O528" s="71"/>
      <c r="P528" s="71"/>
      <c r="Q528" s="20"/>
      <c r="R528" s="20"/>
      <c r="S528" s="20"/>
      <c r="T528" s="20"/>
      <c r="U528" s="20"/>
      <c r="V528" s="20"/>
      <c r="W528" s="20"/>
      <c r="X528" s="20"/>
      <c r="Y528" s="20"/>
      <c r="Z528" s="20"/>
      <c r="AA528" s="20"/>
      <c r="AB528" s="20"/>
      <c r="AC528" s="20"/>
    </row>
    <row r="529" spans="1:29">
      <c r="A529" s="207" t="s">
        <v>410</v>
      </c>
      <c r="B529" s="1"/>
      <c r="C529" s="203">
        <f>24</f>
        <v>24</v>
      </c>
      <c r="D529" s="203">
        <v>24</v>
      </c>
      <c r="E529" s="188">
        <f>E515</f>
        <v>83</v>
      </c>
      <c r="F529" s="248"/>
      <c r="G529" s="205">
        <f>ROUND(E529*$C529*E527,0)</f>
        <v>-20</v>
      </c>
      <c r="H529" s="205">
        <f>ROUND(E529*$D529*E527,0)</f>
        <v>-20</v>
      </c>
      <c r="I529" s="188">
        <f>I515</f>
        <v>90</v>
      </c>
      <c r="J529" s="177"/>
      <c r="K529" s="205">
        <f>ROUND(I529*$C529*I527,0)</f>
        <v>-22</v>
      </c>
      <c r="M529" s="20"/>
      <c r="N529" s="20"/>
      <c r="O529" s="71"/>
      <c r="P529" s="71"/>
      <c r="Q529" s="20"/>
      <c r="R529" s="20"/>
      <c r="S529" s="20"/>
      <c r="T529" s="20"/>
      <c r="U529" s="20"/>
      <c r="V529" s="20"/>
      <c r="W529" s="20"/>
      <c r="X529" s="20"/>
      <c r="Y529" s="20"/>
      <c r="Z529" s="20"/>
      <c r="AA529" s="20"/>
      <c r="AB529" s="20"/>
      <c r="AC529" s="20"/>
    </row>
    <row r="530" spans="1:29">
      <c r="A530" s="207" t="s">
        <v>411</v>
      </c>
      <c r="B530" s="1"/>
      <c r="C530" s="203">
        <f>106</f>
        <v>106</v>
      </c>
      <c r="D530" s="203">
        <v>107</v>
      </c>
      <c r="E530" s="188">
        <f>E516</f>
        <v>166</v>
      </c>
      <c r="F530" s="256"/>
      <c r="G530" s="205">
        <f>ROUND(E530*$C530*E527,0)</f>
        <v>-176</v>
      </c>
      <c r="H530" s="205">
        <f>ROUND(E530*$D530*E527,0)</f>
        <v>-178</v>
      </c>
      <c r="I530" s="188">
        <f>I516</f>
        <v>180</v>
      </c>
      <c r="J530" s="257"/>
      <c r="K530" s="205">
        <f>ROUND(I530*$C530*I527,0)</f>
        <v>-191</v>
      </c>
      <c r="M530" s="20"/>
      <c r="N530" s="20"/>
      <c r="O530" s="71"/>
      <c r="P530" s="71"/>
      <c r="Q530" s="20"/>
      <c r="R530" s="20"/>
      <c r="S530" s="20"/>
      <c r="T530" s="20"/>
      <c r="U530" s="20"/>
      <c r="V530" s="20"/>
      <c r="W530" s="20"/>
      <c r="X530" s="20"/>
      <c r="Y530" s="20"/>
      <c r="Z530" s="20"/>
      <c r="AA530" s="20"/>
      <c r="AB530" s="20"/>
      <c r="AC530" s="20"/>
    </row>
    <row r="531" spans="1:29">
      <c r="A531" s="207" t="s">
        <v>410</v>
      </c>
      <c r="B531" s="1"/>
      <c r="C531" s="203">
        <f>4585</f>
        <v>4585</v>
      </c>
      <c r="D531" s="203" t="e">
        <f>ROUND(($D$540/'Billing Determinants (2)'!$C$540)*C531,0)</f>
        <v>#REF!</v>
      </c>
      <c r="E531" s="188">
        <f>E518</f>
        <v>1.47</v>
      </c>
      <c r="F531" s="248"/>
      <c r="G531" s="205">
        <f>ROUND(E531*$C531*E527,0)</f>
        <v>-67</v>
      </c>
      <c r="H531" s="205" t="e">
        <f>ROUND(E531*$D531*E527,0)</f>
        <v>#REF!</v>
      </c>
      <c r="I531" s="188">
        <f>I518</f>
        <v>1.6</v>
      </c>
      <c r="J531" s="177"/>
      <c r="K531" s="205">
        <f>ROUND(I531*$C531*I527,0)</f>
        <v>-73</v>
      </c>
      <c r="M531" s="20"/>
      <c r="N531" s="20"/>
      <c r="O531" s="360"/>
      <c r="P531" s="71"/>
      <c r="Q531" s="20"/>
      <c r="R531" s="20"/>
      <c r="S531" s="20"/>
      <c r="T531" s="20"/>
      <c r="U531" s="20"/>
      <c r="V531" s="20"/>
      <c r="W531" s="20"/>
      <c r="X531" s="20"/>
      <c r="Y531" s="20"/>
      <c r="Z531" s="20"/>
      <c r="AA531" s="20"/>
      <c r="AB531" s="20"/>
      <c r="AC531" s="20"/>
    </row>
    <row r="532" spans="1:29">
      <c r="A532" s="207" t="s">
        <v>411</v>
      </c>
      <c r="B532" s="1"/>
      <c r="C532" s="203">
        <v>65891</v>
      </c>
      <c r="D532" s="203" t="e">
        <f>ROUND(($D$540/'Billing Determinants (2)'!$C$540)*C532,0)</f>
        <v>#REF!</v>
      </c>
      <c r="E532" s="188">
        <f>E519</f>
        <v>1.2</v>
      </c>
      <c r="F532" s="248" t="s">
        <v>31</v>
      </c>
      <c r="G532" s="205">
        <f>ROUND(E532*$C532*E527,0)</f>
        <v>-791</v>
      </c>
      <c r="H532" s="205" t="e">
        <f>ROUND(E532*$D532*E527,0)</f>
        <v>#REF!</v>
      </c>
      <c r="I532" s="188">
        <f>I519</f>
        <v>1.3</v>
      </c>
      <c r="J532" s="177"/>
      <c r="K532" s="205">
        <f>ROUND(I532*$C532*I527,0)</f>
        <v>-857</v>
      </c>
      <c r="M532" s="20"/>
      <c r="N532" s="20"/>
      <c r="O532" s="71"/>
      <c r="P532" s="71"/>
      <c r="Q532" s="20"/>
      <c r="R532" s="20"/>
      <c r="S532" s="20"/>
      <c r="T532" s="20"/>
      <c r="U532" s="20"/>
      <c r="V532" s="20"/>
      <c r="W532" s="20"/>
      <c r="X532" s="20"/>
      <c r="Y532" s="20"/>
      <c r="Z532" s="20"/>
      <c r="AA532" s="20"/>
      <c r="AB532" s="20"/>
      <c r="AC532" s="20"/>
    </row>
    <row r="533" spans="1:29">
      <c r="A533" s="193" t="s">
        <v>413</v>
      </c>
      <c r="B533" s="1"/>
      <c r="C533" s="203">
        <f>150+3376+49943</f>
        <v>53469</v>
      </c>
      <c r="D533" s="203" t="e">
        <f>ROUND(($D$540/'Billing Determinants (2)'!$C$540)*C533,0)</f>
        <v>#REF!</v>
      </c>
      <c r="E533" s="188">
        <f>E521</f>
        <v>3.75</v>
      </c>
      <c r="F533" s="248" t="s">
        <v>31</v>
      </c>
      <c r="G533" s="205">
        <f>ROUND(E533*$C533*E527,0)</f>
        <v>-2005</v>
      </c>
      <c r="H533" s="205" t="e">
        <f>ROUND(E533*$D533*E527,0)</f>
        <v>#REF!</v>
      </c>
      <c r="I533" s="188">
        <f>I521</f>
        <v>3.95</v>
      </c>
      <c r="J533" s="177"/>
      <c r="K533" s="205">
        <f>ROUND(I533*$C533*I527,0)</f>
        <v>-2112</v>
      </c>
      <c r="M533" s="20"/>
      <c r="N533" s="20"/>
      <c r="O533" s="71"/>
      <c r="P533" s="71"/>
      <c r="Q533" s="20"/>
      <c r="R533" s="20"/>
      <c r="S533" s="20"/>
      <c r="T533" s="20"/>
      <c r="U533" s="20"/>
      <c r="V533" s="20"/>
      <c r="W533" s="20"/>
      <c r="X533" s="20"/>
      <c r="Y533" s="20"/>
      <c r="Z533" s="20"/>
      <c r="AA533" s="20"/>
      <c r="AB533" s="20"/>
      <c r="AC533" s="20"/>
    </row>
    <row r="534" spans="1:29">
      <c r="A534" s="193" t="s">
        <v>429</v>
      </c>
      <c r="B534" s="1"/>
      <c r="C534" s="203">
        <v>0</v>
      </c>
      <c r="D534" s="203" t="e">
        <f>ROUND(($D$540/'Billing Determinants (2)'!$C$540)*C534,0)</f>
        <v>#REF!</v>
      </c>
      <c r="E534" s="188">
        <f>E522</f>
        <v>3.75</v>
      </c>
      <c r="F534" s="248" t="s">
        <v>31</v>
      </c>
      <c r="G534" s="205">
        <f>ROUND(E534*$C534*E527,0)</f>
        <v>0</v>
      </c>
      <c r="H534" s="205" t="e">
        <f>ROUND(E534*$D534*E527,0)</f>
        <v>#REF!</v>
      </c>
      <c r="I534" s="188">
        <f>I522</f>
        <v>3.95</v>
      </c>
      <c r="J534" s="177"/>
      <c r="K534" s="205">
        <f>ROUND(I534*$C534*I527,0)</f>
        <v>0</v>
      </c>
      <c r="M534" s="20"/>
      <c r="N534" s="20"/>
      <c r="O534" s="71"/>
      <c r="P534" s="71"/>
      <c r="Q534" s="20"/>
      <c r="R534" s="20"/>
      <c r="S534" s="20"/>
      <c r="T534" s="20"/>
      <c r="U534" s="20"/>
      <c r="V534" s="20"/>
      <c r="W534" s="20"/>
      <c r="X534" s="20"/>
      <c r="Y534" s="20"/>
      <c r="Z534" s="20"/>
      <c r="AA534" s="20"/>
      <c r="AB534" s="20"/>
      <c r="AC534" s="20"/>
    </row>
    <row r="535" spans="1:29">
      <c r="A535" s="207" t="s">
        <v>415</v>
      </c>
      <c r="B535" s="1"/>
      <c r="C535" s="203">
        <f>8480+907600+4146400</f>
        <v>5062480</v>
      </c>
      <c r="D535" s="203" t="e">
        <f>ROUND(($D$540/'Billing Determinants (2)'!$C$540)*C535,0)</f>
        <v>#REF!</v>
      </c>
      <c r="E535" s="258">
        <f>E524</f>
        <v>4.3570000000000002</v>
      </c>
      <c r="F535" s="205" t="s">
        <v>362</v>
      </c>
      <c r="G535" s="205">
        <f>ROUND(E535*$C535/100*E527,0)</f>
        <v>-2206</v>
      </c>
      <c r="H535" s="205" t="e">
        <f>ROUND(E535*$D535/100*E527,0)</f>
        <v>#REF!</v>
      </c>
      <c r="I535" s="258">
        <f>I524</f>
        <v>4.8559999999999999</v>
      </c>
      <c r="J535" s="207" t="s">
        <v>362</v>
      </c>
      <c r="K535" s="205">
        <f>ROUND(I535*$C535/100*I527,0)</f>
        <v>-2458</v>
      </c>
      <c r="M535" s="300"/>
      <c r="N535" s="300"/>
      <c r="O535" s="71"/>
      <c r="P535" s="71"/>
      <c r="Q535" s="20"/>
      <c r="R535" s="20"/>
      <c r="S535" s="20"/>
      <c r="T535" s="20"/>
      <c r="U535" s="20"/>
      <c r="V535" s="20"/>
      <c r="W535" s="20"/>
      <c r="X535" s="20"/>
      <c r="Y535" s="20"/>
      <c r="Z535" s="20"/>
      <c r="AA535" s="20"/>
      <c r="AB535" s="20"/>
      <c r="AC535" s="20"/>
    </row>
    <row r="536" spans="1:29">
      <c r="A536" s="207" t="s">
        <v>387</v>
      </c>
      <c r="B536" s="1"/>
      <c r="C536" s="203">
        <f>8480+1348200+18841920-C535</f>
        <v>15136120</v>
      </c>
      <c r="D536" s="203" t="e">
        <f>ROUND(($D$540/'Billing Determinants (2)'!$C$540)*C536,0)</f>
        <v>#REF!</v>
      </c>
      <c r="E536" s="258">
        <f>E525</f>
        <v>3.9930000000000003</v>
      </c>
      <c r="F536" s="205" t="s">
        <v>362</v>
      </c>
      <c r="G536" s="205">
        <f>ROUND(E536*$C536/100*E527,0)</f>
        <v>-6044</v>
      </c>
      <c r="H536" s="205" t="e">
        <f>ROUND(E536*$D536/100*E527,0)</f>
        <v>#REF!</v>
      </c>
      <c r="I536" s="258">
        <f>I525</f>
        <v>4.4550000000000001</v>
      </c>
      <c r="J536" s="207" t="s">
        <v>362</v>
      </c>
      <c r="K536" s="205">
        <f>ROUND(I536*$C536/100*I527,0)</f>
        <v>-6743</v>
      </c>
      <c r="M536" s="20"/>
      <c r="N536" s="20"/>
      <c r="O536" s="71"/>
      <c r="P536" s="71"/>
      <c r="Q536" s="20"/>
      <c r="R536" s="20"/>
      <c r="S536" s="20"/>
      <c r="T536" s="20"/>
      <c r="U536" s="20"/>
      <c r="V536" s="20"/>
      <c r="W536" s="20"/>
      <c r="X536" s="20"/>
      <c r="Y536" s="20"/>
      <c r="Z536" s="20"/>
      <c r="AA536" s="20"/>
      <c r="AB536" s="20"/>
      <c r="AC536" s="20"/>
    </row>
    <row r="537" spans="1:29">
      <c r="A537" s="207" t="s">
        <v>388</v>
      </c>
      <c r="B537" s="1"/>
      <c r="C537" s="203">
        <f>27+10311</f>
        <v>10338</v>
      </c>
      <c r="D537" s="203" t="e">
        <f>ROUND(($D$540/'Billing Determinants (2)'!$C$540)*C537,0)</f>
        <v>#REF!</v>
      </c>
      <c r="E537" s="259">
        <f>E526</f>
        <v>45</v>
      </c>
      <c r="F537" s="205" t="s">
        <v>362</v>
      </c>
      <c r="G537" s="205">
        <f>ROUND(E537*$C537/100*E527,0)</f>
        <v>-47</v>
      </c>
      <c r="H537" s="205" t="e">
        <f>ROUND(E537*$D537/100*E527,0)</f>
        <v>#REF!</v>
      </c>
      <c r="I537" s="259">
        <f>I526</f>
        <v>50</v>
      </c>
      <c r="J537" s="207" t="s">
        <v>362</v>
      </c>
      <c r="K537" s="205">
        <f>ROUND(I537*$C537/100*I527,0)</f>
        <v>-52</v>
      </c>
      <c r="M537" s="20"/>
      <c r="N537" s="20"/>
      <c r="O537" s="71"/>
      <c r="P537" s="71"/>
      <c r="Q537" s="20"/>
      <c r="R537" s="20"/>
      <c r="S537" s="20"/>
      <c r="T537" s="20"/>
      <c r="U537" s="20"/>
      <c r="V537" s="20"/>
      <c r="W537" s="20"/>
      <c r="X537" s="20"/>
      <c r="Y537" s="20"/>
      <c r="Z537" s="20"/>
      <c r="AA537" s="20"/>
      <c r="AB537" s="20"/>
      <c r="AC537" s="20"/>
    </row>
    <row r="538" spans="1:29">
      <c r="A538" s="207" t="s">
        <v>431</v>
      </c>
      <c r="B538" s="1"/>
      <c r="C538" s="203">
        <f>3+24+106</f>
        <v>133</v>
      </c>
      <c r="D538" s="203">
        <v>135</v>
      </c>
      <c r="E538" s="182">
        <f>$E$504</f>
        <v>60</v>
      </c>
      <c r="F538" s="248" t="s">
        <v>31</v>
      </c>
      <c r="G538" s="205">
        <f>ROUND(E538*$C538,0)</f>
        <v>7980</v>
      </c>
      <c r="H538" s="205">
        <f>ROUND(E538*$D538,0)</f>
        <v>8100</v>
      </c>
      <c r="I538" s="182">
        <f>$I$504</f>
        <v>60</v>
      </c>
      <c r="J538" s="1"/>
      <c r="K538" s="205">
        <f>ROUND(I538*$C538,0)</f>
        <v>7980</v>
      </c>
      <c r="M538" s="20"/>
      <c r="N538" s="20"/>
      <c r="O538" s="71"/>
      <c r="P538" s="361"/>
      <c r="Q538" s="20"/>
      <c r="R538" s="20"/>
      <c r="S538" s="20"/>
      <c r="T538" s="20"/>
      <c r="U538" s="20"/>
      <c r="V538" s="20"/>
      <c r="W538" s="20"/>
      <c r="X538" s="20"/>
      <c r="Y538" s="20"/>
      <c r="Z538" s="20"/>
      <c r="AA538" s="20"/>
      <c r="AB538" s="20"/>
      <c r="AC538" s="20"/>
    </row>
    <row r="539" spans="1:29">
      <c r="A539" s="207" t="s">
        <v>432</v>
      </c>
      <c r="B539" s="189"/>
      <c r="C539" s="203">
        <f>4370+61985</f>
        <v>66355</v>
      </c>
      <c r="D539" s="203" t="e">
        <f>ROUND(($D$540/'Billing Determinants (2)'!$C$540)*C539,0)</f>
        <v>#REF!</v>
      </c>
      <c r="E539" s="223">
        <f>$E$505</f>
        <v>-30</v>
      </c>
      <c r="F539" s="205" t="s">
        <v>362</v>
      </c>
      <c r="G539" s="205">
        <f>ROUND(E539*$C539/100,0)</f>
        <v>-19907</v>
      </c>
      <c r="H539" s="205" t="e">
        <f>ROUND(E539*$D539/100,0)</f>
        <v>#REF!</v>
      </c>
      <c r="I539" s="223">
        <f>$I$505</f>
        <v>-30</v>
      </c>
      <c r="J539" s="205" t="s">
        <v>362</v>
      </c>
      <c r="K539" s="205">
        <f>ROUND(I539*$C539/100,0)</f>
        <v>-19907</v>
      </c>
      <c r="M539" s="20"/>
      <c r="N539" s="20"/>
      <c r="O539" s="71"/>
      <c r="P539" s="71"/>
      <c r="Q539" s="20"/>
      <c r="R539" s="20"/>
      <c r="S539" s="20"/>
      <c r="T539" s="20"/>
      <c r="U539" s="20"/>
      <c r="V539" s="20"/>
      <c r="W539" s="20"/>
      <c r="X539" s="20"/>
      <c r="Y539" s="20"/>
      <c r="Z539" s="20"/>
      <c r="AA539" s="20"/>
      <c r="AB539" s="20"/>
      <c r="AC539" s="20"/>
    </row>
    <row r="540" spans="1:29">
      <c r="A540" s="1" t="s">
        <v>369</v>
      </c>
      <c r="B540" s="191"/>
      <c r="C540" s="203" t="e">
        <f>SUM(C524:C525)</f>
        <v>#REF!</v>
      </c>
      <c r="D540" s="203">
        <v>762801321.03140867</v>
      </c>
      <c r="E540" s="214"/>
      <c r="F540" s="2"/>
      <c r="G540" s="2" t="e">
        <f>SUM(G514:G539)</f>
        <v>#REF!</v>
      </c>
      <c r="H540" s="2" t="e">
        <f>SUM(H514:H539)</f>
        <v>#REF!</v>
      </c>
      <c r="I540" s="214"/>
      <c r="J540" s="1"/>
      <c r="K540" s="2" t="e">
        <f>SUM(K514:K539)</f>
        <v>#REF!</v>
      </c>
      <c r="M540" s="20"/>
      <c r="N540" s="20"/>
      <c r="O540" s="71"/>
      <c r="P540" s="71"/>
      <c r="Q540" s="20"/>
      <c r="R540" s="20"/>
      <c r="S540" s="20"/>
      <c r="T540" s="20"/>
      <c r="U540" s="20"/>
      <c r="V540" s="20"/>
      <c r="W540" s="20"/>
      <c r="X540" s="20"/>
      <c r="Y540" s="20"/>
      <c r="Z540" s="20"/>
      <c r="AA540" s="20"/>
      <c r="AB540" s="20"/>
      <c r="AC540" s="20"/>
    </row>
    <row r="541" spans="1:29">
      <c r="A541" s="1" t="s">
        <v>351</v>
      </c>
      <c r="B541" s="1"/>
      <c r="C541" s="233" t="e">
        <f>#REF!</f>
        <v>#REF!</v>
      </c>
      <c r="D541" s="224">
        <v>0</v>
      </c>
      <c r="E541" s="193"/>
      <c r="F541" s="193"/>
      <c r="G541" s="194" t="e">
        <f>#REF!</f>
        <v>#REF!</v>
      </c>
      <c r="H541" s="194">
        <v>0</v>
      </c>
      <c r="I541" s="193"/>
      <c r="J541" s="193"/>
      <c r="K541" s="194" t="e">
        <f>G541</f>
        <v>#REF!</v>
      </c>
      <c r="M541" s="328"/>
      <c r="N541" s="328"/>
      <c r="O541" s="171"/>
      <c r="P541" s="71"/>
      <c r="Q541" s="20"/>
      <c r="R541" s="20"/>
      <c r="S541" s="20"/>
      <c r="T541" s="20"/>
      <c r="U541" s="20"/>
      <c r="V541" s="20"/>
      <c r="W541" s="20"/>
      <c r="X541" s="20"/>
      <c r="Y541" s="20"/>
      <c r="Z541" s="20"/>
      <c r="AA541" s="20"/>
      <c r="AB541" s="20"/>
      <c r="AC541" s="20"/>
    </row>
    <row r="542" spans="1:29" ht="16.5" thickBot="1">
      <c r="A542" s="1" t="s">
        <v>370</v>
      </c>
      <c r="B542" s="1"/>
      <c r="C542" s="250" t="e">
        <f>SUM(C540)+C541</f>
        <v>#REF!</v>
      </c>
      <c r="D542" s="250" t="e">
        <f>SUM(D524:D525)+D541</f>
        <v>#REF!</v>
      </c>
      <c r="E542" s="226"/>
      <c r="F542" s="227"/>
      <c r="G542" s="228" t="e">
        <f>G540+G541</f>
        <v>#REF!</v>
      </c>
      <c r="H542" s="228" t="e">
        <f>H540+H541</f>
        <v>#REF!</v>
      </c>
      <c r="I542" s="226"/>
      <c r="J542" s="229"/>
      <c r="K542" s="228" t="e">
        <f>K540+K541</f>
        <v>#REF!</v>
      </c>
      <c r="M542" s="295"/>
      <c r="N542" s="295"/>
      <c r="O542" s="354"/>
      <c r="P542" s="71"/>
      <c r="Q542" s="20"/>
      <c r="R542" s="20"/>
      <c r="S542" s="20"/>
      <c r="T542" s="20"/>
      <c r="U542" s="20"/>
      <c r="V542" s="20"/>
      <c r="W542" s="20"/>
      <c r="X542" s="20"/>
      <c r="Y542" s="20"/>
      <c r="Z542" s="20"/>
      <c r="AA542" s="20"/>
      <c r="AB542" s="20"/>
      <c r="AC542" s="20"/>
    </row>
    <row r="543" spans="1:29" ht="16.5" thickTop="1">
      <c r="A543" s="1"/>
      <c r="B543" s="1"/>
      <c r="C543" s="21"/>
      <c r="D543" s="21"/>
      <c r="E543" s="221"/>
      <c r="F543" s="2"/>
      <c r="G543" s="2"/>
      <c r="H543" s="2"/>
      <c r="I543" s="237" t="s">
        <v>31</v>
      </c>
      <c r="J543" s="1"/>
      <c r="K543" s="2" t="s">
        <v>31</v>
      </c>
      <c r="M543" s="20"/>
      <c r="N543" s="20"/>
      <c r="O543" s="71"/>
      <c r="P543" s="71"/>
      <c r="Q543" s="20"/>
      <c r="R543" s="20"/>
      <c r="S543" s="20"/>
      <c r="T543" s="20"/>
      <c r="U543" s="20"/>
      <c r="V543" s="20"/>
      <c r="W543" s="20"/>
      <c r="X543" s="20"/>
      <c r="Y543" s="20"/>
      <c r="Z543" s="20"/>
      <c r="AA543" s="20"/>
      <c r="AB543" s="20"/>
      <c r="AC543" s="20"/>
    </row>
    <row r="544" spans="1:29">
      <c r="A544" s="177" t="s">
        <v>424</v>
      </c>
      <c r="B544" s="1"/>
      <c r="C544" s="1"/>
      <c r="D544" s="1"/>
      <c r="E544" s="2"/>
      <c r="F544" s="2"/>
      <c r="G544" s="1" t="s">
        <v>31</v>
      </c>
      <c r="H544" s="1"/>
      <c r="I544" s="2"/>
      <c r="J544" s="1"/>
      <c r="K544" s="1"/>
      <c r="M544" s="20"/>
      <c r="N544" s="20"/>
      <c r="O544" s="71"/>
      <c r="P544" s="71"/>
      <c r="Q544" s="20"/>
      <c r="R544" s="20"/>
      <c r="S544" s="20"/>
      <c r="T544" s="20"/>
      <c r="U544" s="20"/>
      <c r="V544" s="20"/>
      <c r="W544" s="20"/>
      <c r="X544" s="20"/>
      <c r="Y544" s="20"/>
      <c r="Z544" s="20"/>
      <c r="AA544" s="20"/>
      <c r="AB544" s="20"/>
      <c r="AC544" s="20"/>
    </row>
    <row r="545" spans="1:29">
      <c r="A545" s="193" t="s">
        <v>434</v>
      </c>
      <c r="B545" s="1"/>
      <c r="C545" s="1"/>
      <c r="D545" s="1"/>
      <c r="E545" s="2"/>
      <c r="F545" s="2"/>
      <c r="G545" s="1"/>
      <c r="H545" s="1"/>
      <c r="I545" s="2"/>
      <c r="J545" s="1"/>
      <c r="K545" s="1"/>
      <c r="M545" s="20"/>
      <c r="N545" s="20"/>
      <c r="O545" s="71"/>
      <c r="P545" s="71"/>
      <c r="Q545" s="20"/>
      <c r="R545" s="20"/>
      <c r="S545" s="20"/>
      <c r="T545" s="20"/>
      <c r="U545" s="20"/>
      <c r="V545" s="20"/>
      <c r="W545" s="20"/>
      <c r="X545" s="20"/>
      <c r="Y545" s="20"/>
      <c r="Z545" s="20"/>
      <c r="AA545" s="20"/>
      <c r="AB545" s="20"/>
      <c r="AC545" s="20"/>
    </row>
    <row r="546" spans="1:29">
      <c r="A546" s="207"/>
      <c r="B546" s="1"/>
      <c r="C546" s="1"/>
      <c r="D546" s="1"/>
      <c r="E546" s="2"/>
      <c r="F546" s="2"/>
      <c r="G546" s="1"/>
      <c r="H546" s="1"/>
      <c r="I546" s="2"/>
      <c r="J546" s="1"/>
      <c r="K546" s="1"/>
      <c r="M546" s="20"/>
      <c r="N546" s="20"/>
      <c r="O546" s="71"/>
      <c r="P546" s="71"/>
      <c r="Q546" s="20"/>
      <c r="R546" s="20"/>
      <c r="S546" s="20"/>
      <c r="T546" s="20"/>
      <c r="U546" s="20"/>
      <c r="V546" s="20"/>
      <c r="W546" s="20"/>
      <c r="X546" s="20"/>
      <c r="Y546" s="20"/>
      <c r="Z546" s="20"/>
      <c r="AA546" s="20"/>
      <c r="AB546" s="20"/>
      <c r="AC546" s="20"/>
    </row>
    <row r="547" spans="1:29">
      <c r="A547" s="207" t="s">
        <v>381</v>
      </c>
      <c r="B547" s="21"/>
      <c r="C547" s="203"/>
      <c r="D547" s="203"/>
      <c r="E547" s="2"/>
      <c r="F547" s="2"/>
      <c r="G547" s="1"/>
      <c r="H547" s="1"/>
      <c r="I547" s="2"/>
      <c r="J547" s="1"/>
      <c r="K547" s="1"/>
      <c r="M547" s="20"/>
      <c r="N547" s="20"/>
      <c r="O547" s="71"/>
      <c r="P547" s="71"/>
      <c r="Q547" s="20"/>
      <c r="R547" s="20"/>
      <c r="S547" s="20"/>
      <c r="T547" s="20"/>
      <c r="U547" s="20"/>
      <c r="V547" s="20"/>
      <c r="W547" s="20"/>
      <c r="X547" s="20"/>
      <c r="Y547" s="20"/>
      <c r="Z547" s="20"/>
      <c r="AA547" s="20"/>
      <c r="AB547" s="20"/>
      <c r="AC547" s="20"/>
    </row>
    <row r="548" spans="1:29">
      <c r="A548" s="207" t="s">
        <v>409</v>
      </c>
      <c r="B548" s="1"/>
      <c r="C548" s="203">
        <f>6+4+42</f>
        <v>52</v>
      </c>
      <c r="D548" s="203">
        <v>51</v>
      </c>
      <c r="E548" s="182">
        <f>$E$480</f>
        <v>225</v>
      </c>
      <c r="F548" s="207"/>
      <c r="G548" s="205">
        <f>ROUND(E548*$C548,0)</f>
        <v>11700</v>
      </c>
      <c r="H548" s="205">
        <f>ROUND(E548*$D548,0)</f>
        <v>11475</v>
      </c>
      <c r="I548" s="182">
        <f>$I$480</f>
        <v>245</v>
      </c>
      <c r="J548" s="207"/>
      <c r="K548" s="205">
        <f>ROUND(I548*$C548,0)</f>
        <v>12740</v>
      </c>
      <c r="M548" s="20"/>
      <c r="N548" s="20"/>
      <c r="O548" s="71"/>
      <c r="P548" s="71"/>
      <c r="Q548" s="20"/>
      <c r="R548" s="20"/>
      <c r="S548" s="20"/>
      <c r="T548" s="20"/>
      <c r="U548" s="20"/>
      <c r="V548" s="20"/>
      <c r="W548" s="20"/>
      <c r="X548" s="20"/>
      <c r="Y548" s="20"/>
      <c r="Z548" s="20"/>
      <c r="AA548" s="20"/>
      <c r="AB548" s="20"/>
      <c r="AC548" s="20"/>
    </row>
    <row r="549" spans="1:29">
      <c r="A549" s="207" t="s">
        <v>410</v>
      </c>
      <c r="B549" s="1"/>
      <c r="C549" s="203">
        <f>320+13+848</f>
        <v>1181</v>
      </c>
      <c r="D549" s="203">
        <v>1150</v>
      </c>
      <c r="E549" s="182">
        <f>$E$481</f>
        <v>83</v>
      </c>
      <c r="F549" s="207"/>
      <c r="G549" s="205">
        <f>ROUND(E549*$C549,0)</f>
        <v>98023</v>
      </c>
      <c r="H549" s="205">
        <f>ROUND(E549*$D549,0)</f>
        <v>95450</v>
      </c>
      <c r="I549" s="182">
        <f>$I$481</f>
        <v>90</v>
      </c>
      <c r="J549" s="207"/>
      <c r="K549" s="205">
        <f>ROUND(I549*$C549,0)</f>
        <v>106290</v>
      </c>
      <c r="M549" s="20"/>
      <c r="N549" s="20"/>
      <c r="O549" s="71"/>
      <c r="P549" s="71"/>
      <c r="Q549" s="20"/>
      <c r="R549" s="20"/>
      <c r="S549" s="20"/>
      <c r="T549" s="20"/>
      <c r="U549" s="20"/>
      <c r="V549" s="20"/>
      <c r="W549" s="20"/>
      <c r="X549" s="20"/>
      <c r="Y549" s="20"/>
      <c r="Z549" s="20"/>
      <c r="AA549" s="20"/>
      <c r="AB549" s="20"/>
      <c r="AC549" s="20"/>
    </row>
    <row r="550" spans="1:29">
      <c r="A550" s="207" t="s">
        <v>411</v>
      </c>
      <c r="B550" s="1"/>
      <c r="C550" s="203">
        <f>20+15+624</f>
        <v>659</v>
      </c>
      <c r="D550" s="203">
        <v>642</v>
      </c>
      <c r="E550" s="182">
        <f>$E$482</f>
        <v>166</v>
      </c>
      <c r="F550" s="209"/>
      <c r="G550" s="205">
        <f>ROUND(E550*$C550,0)</f>
        <v>109394</v>
      </c>
      <c r="H550" s="205">
        <f>ROUND(E550*$D550,0)</f>
        <v>106572</v>
      </c>
      <c r="I550" s="182">
        <f>$I$482</f>
        <v>180</v>
      </c>
      <c r="J550" s="209"/>
      <c r="K550" s="205">
        <f>ROUND(I550*$C550,0)</f>
        <v>118620</v>
      </c>
      <c r="M550" s="20"/>
      <c r="N550" s="20"/>
      <c r="O550" s="71"/>
      <c r="P550" s="71"/>
      <c r="Q550" s="20"/>
      <c r="R550" s="20"/>
      <c r="S550" s="20"/>
      <c r="T550" s="20"/>
      <c r="U550" s="20"/>
      <c r="V550" s="20"/>
      <c r="W550" s="20"/>
      <c r="X550" s="20"/>
      <c r="Y550" s="20"/>
      <c r="Z550" s="20"/>
      <c r="AA550" s="20"/>
      <c r="AB550" s="20"/>
      <c r="AC550" s="20"/>
    </row>
    <row r="551" spans="1:29">
      <c r="A551" s="207" t="s">
        <v>382</v>
      </c>
      <c r="B551" s="1"/>
      <c r="C551" s="203">
        <f>SUM(C548:C550)</f>
        <v>1892</v>
      </c>
      <c r="D551" s="203">
        <f>SUM(D548:D550)</f>
        <v>1843</v>
      </c>
      <c r="E551" s="182"/>
      <c r="F551" s="207"/>
      <c r="G551" s="205"/>
      <c r="H551" s="205"/>
      <c r="I551" s="182"/>
      <c r="J551" s="207"/>
      <c r="K551" s="205"/>
      <c r="M551" s="20"/>
      <c r="N551" s="20"/>
      <c r="O551" s="71"/>
      <c r="P551" s="71"/>
      <c r="Q551" s="20"/>
      <c r="R551" s="20"/>
      <c r="S551" s="20"/>
      <c r="T551" s="20"/>
      <c r="U551" s="20"/>
      <c r="V551" s="20"/>
      <c r="W551" s="20"/>
      <c r="X551" s="20"/>
      <c r="Y551" s="20"/>
      <c r="Z551" s="20"/>
      <c r="AA551" s="20"/>
      <c r="AB551" s="20"/>
      <c r="AC551" s="20"/>
    </row>
    <row r="552" spans="1:29">
      <c r="A552" s="207" t="s">
        <v>410</v>
      </c>
      <c r="B552" s="1"/>
      <c r="C552" s="203">
        <f>54864+1867+144667</f>
        <v>201398</v>
      </c>
      <c r="D552" s="203">
        <f>ROUND(($D$574/'Billing Determinants (2)'!$C$574)*C552,0)</f>
        <v>209360</v>
      </c>
      <c r="E552" s="182">
        <f>$E$484</f>
        <v>1.47</v>
      </c>
      <c r="F552" s="207" t="s">
        <v>31</v>
      </c>
      <c r="G552" s="205">
        <f>ROUND(E552*$C552,0)</f>
        <v>296055</v>
      </c>
      <c r="H552" s="205">
        <f>ROUND(E552*$D552,0)</f>
        <v>307759</v>
      </c>
      <c r="I552" s="182">
        <f>$I$484</f>
        <v>1.6</v>
      </c>
      <c r="J552" s="207" t="s">
        <v>31</v>
      </c>
      <c r="K552" s="205">
        <f>ROUND(I552*$C552,0)</f>
        <v>322237</v>
      </c>
      <c r="M552" s="20"/>
      <c r="N552" s="20"/>
      <c r="O552" s="71"/>
      <c r="P552" s="71"/>
      <c r="Q552" s="20"/>
      <c r="R552" s="20"/>
      <c r="S552" s="20"/>
      <c r="T552" s="20"/>
      <c r="U552" s="20"/>
      <c r="V552" s="20"/>
      <c r="W552" s="20"/>
      <c r="X552" s="20"/>
      <c r="Y552" s="20"/>
      <c r="Z552" s="20"/>
      <c r="AA552" s="20"/>
      <c r="AB552" s="20"/>
      <c r="AC552" s="20"/>
    </row>
    <row r="553" spans="1:29">
      <c r="A553" s="207" t="s">
        <v>411</v>
      </c>
      <c r="B553" s="1"/>
      <c r="C553" s="203">
        <f>6093+10153+350559</f>
        <v>366805</v>
      </c>
      <c r="D553" s="203">
        <f>ROUND(($D$574/'Billing Determinants (2)'!$C$574)*C553,0)</f>
        <v>381307</v>
      </c>
      <c r="E553" s="182">
        <f>$E$485</f>
        <v>1.2</v>
      </c>
      <c r="F553" s="207" t="s">
        <v>31</v>
      </c>
      <c r="G553" s="205">
        <f>ROUND(E553*$C553,0)</f>
        <v>440166</v>
      </c>
      <c r="H553" s="205">
        <f>ROUND(E553*$D553,0)</f>
        <v>457568</v>
      </c>
      <c r="I553" s="182">
        <f>$I$485</f>
        <v>1.3</v>
      </c>
      <c r="J553" s="207" t="s">
        <v>31</v>
      </c>
      <c r="K553" s="205">
        <f>ROUND(I553*$C553,0)</f>
        <v>476847</v>
      </c>
      <c r="M553" s="20"/>
      <c r="N553" s="20"/>
      <c r="O553" s="71"/>
      <c r="P553" s="71"/>
      <c r="Q553" s="20"/>
      <c r="R553" s="20"/>
      <c r="S553" s="20"/>
      <c r="T553" s="20"/>
      <c r="U553" s="20"/>
      <c r="V553" s="20"/>
      <c r="W553" s="20"/>
      <c r="X553" s="20"/>
      <c r="Y553" s="20"/>
      <c r="Z553" s="20"/>
      <c r="AA553" s="20"/>
      <c r="AB553" s="20"/>
      <c r="AC553" s="20"/>
    </row>
    <row r="554" spans="1:29">
      <c r="A554" s="193" t="s">
        <v>412</v>
      </c>
      <c r="B554" s="1"/>
      <c r="C554" s="203"/>
      <c r="D554" s="203"/>
      <c r="E554" s="239"/>
      <c r="F554" s="207"/>
      <c r="G554" s="205"/>
      <c r="H554" s="205"/>
      <c r="I554" s="239"/>
      <c r="J554" s="207"/>
      <c r="K554" s="205"/>
      <c r="M554" s="20"/>
      <c r="N554" s="20"/>
      <c r="O554" s="71"/>
      <c r="P554" s="71"/>
      <c r="Q554" s="20"/>
      <c r="R554" s="20"/>
      <c r="S554" s="20"/>
      <c r="T554" s="20"/>
      <c r="U554" s="20"/>
      <c r="V554" s="20"/>
      <c r="W554" s="20"/>
      <c r="X554" s="20"/>
      <c r="Y554" s="20"/>
      <c r="Z554" s="20"/>
      <c r="AA554" s="20"/>
      <c r="AB554" s="20"/>
      <c r="AC554" s="20"/>
    </row>
    <row r="555" spans="1:29">
      <c r="A555" s="193" t="s">
        <v>413</v>
      </c>
      <c r="B555" s="1"/>
      <c r="C555" s="203">
        <f>300+25155+1985+244+1804+9245+2788+120834+284508</f>
        <v>446863</v>
      </c>
      <c r="D555" s="203">
        <f>ROUND(($D$574/'Billing Determinants (2)'!$C$574)*C555,0)</f>
        <v>464530</v>
      </c>
      <c r="E555" s="182">
        <f>$E$487</f>
        <v>3.75</v>
      </c>
      <c r="F555" s="207"/>
      <c r="G555" s="205">
        <f>ROUND(E555*$C555,0)</f>
        <v>1675736</v>
      </c>
      <c r="H555" s="205">
        <f>ROUND(E555*$D555,0)</f>
        <v>1741988</v>
      </c>
      <c r="I555" s="182">
        <f>$I$487</f>
        <v>3.95</v>
      </c>
      <c r="J555" s="207"/>
      <c r="K555" s="205">
        <f>ROUND(I555*$C555,0)</f>
        <v>1765109</v>
      </c>
      <c r="M555" s="20"/>
      <c r="N555" s="20"/>
      <c r="O555" s="71"/>
      <c r="P555" s="71"/>
      <c r="Q555" s="20"/>
      <c r="R555" s="20"/>
      <c r="S555" s="20"/>
      <c r="T555" s="20"/>
      <c r="U555" s="20"/>
      <c r="V555" s="20"/>
      <c r="W555" s="20"/>
      <c r="X555" s="20"/>
      <c r="Y555" s="20"/>
      <c r="Z555" s="20"/>
      <c r="AA555" s="20"/>
      <c r="AB555" s="20"/>
      <c r="AC555" s="20"/>
    </row>
    <row r="556" spans="1:29">
      <c r="A556" s="193" t="s">
        <v>429</v>
      </c>
      <c r="B556" s="1"/>
      <c r="C556" s="203">
        <v>0</v>
      </c>
      <c r="D556" s="203">
        <f>ROUND(($D$574/'Billing Determinants (2)'!$C$574)*C556,0)</f>
        <v>0</v>
      </c>
      <c r="E556" s="253">
        <f>E555</f>
        <v>3.75</v>
      </c>
      <c r="F556" s="207"/>
      <c r="G556" s="205">
        <f>ROUND(E556*$C556,0)</f>
        <v>0</v>
      </c>
      <c r="H556" s="205">
        <f>ROUND(E556*$D556,0)</f>
        <v>0</v>
      </c>
      <c r="I556" s="253">
        <f>I555</f>
        <v>3.95</v>
      </c>
      <c r="J556" s="207"/>
      <c r="K556" s="205">
        <f>ROUND(I556*$C556,0)</f>
        <v>0</v>
      </c>
      <c r="M556" s="20"/>
      <c r="N556" s="20"/>
      <c r="O556" s="71"/>
      <c r="P556" s="71"/>
      <c r="Q556" s="20"/>
      <c r="R556" s="20"/>
      <c r="S556" s="20"/>
      <c r="T556" s="20"/>
      <c r="U556" s="20"/>
      <c r="V556" s="20"/>
      <c r="W556" s="20"/>
      <c r="X556" s="20"/>
      <c r="Y556" s="20"/>
      <c r="Z556" s="20"/>
      <c r="AA556" s="20"/>
      <c r="AB556" s="20"/>
      <c r="AC556" s="20"/>
    </row>
    <row r="557" spans="1:29">
      <c r="A557" s="207" t="s">
        <v>414</v>
      </c>
      <c r="B557" s="1"/>
      <c r="C557" s="203"/>
      <c r="D557" s="203"/>
      <c r="E557" s="182"/>
      <c r="F557" s="207"/>
      <c r="G557" s="205"/>
      <c r="H557" s="205"/>
      <c r="I557" s="182"/>
      <c r="J557" s="207"/>
      <c r="K557" s="205"/>
      <c r="M557" s="20"/>
      <c r="N557" s="20"/>
      <c r="O557" s="71"/>
      <c r="P557" s="71"/>
      <c r="Q557" s="20"/>
      <c r="R557" s="20"/>
      <c r="S557" s="20"/>
      <c r="T557" s="20"/>
      <c r="U557" s="20"/>
      <c r="V557" s="20"/>
      <c r="W557" s="20"/>
      <c r="X557" s="20"/>
      <c r="Y557" s="20"/>
      <c r="Z557" s="20"/>
      <c r="AA557" s="20"/>
      <c r="AB557" s="20"/>
      <c r="AC557" s="20"/>
    </row>
    <row r="558" spans="1:29">
      <c r="A558" s="207" t="s">
        <v>415</v>
      </c>
      <c r="B558" s="1"/>
      <c r="C558" s="203">
        <f>29360+2957989+147440+73200+518400+602667+369500+25799011+24094693</f>
        <v>54592260</v>
      </c>
      <c r="D558" s="203">
        <f>ROUND(($D$574/'Billing Determinants (2)'!$C$574)*C558,0)</f>
        <v>56750605</v>
      </c>
      <c r="E558" s="254">
        <f>$E$490</f>
        <v>4.3570000000000002</v>
      </c>
      <c r="F558" s="207" t="s">
        <v>362</v>
      </c>
      <c r="G558" s="205">
        <f>ROUND(E558*$C558/100,0)</f>
        <v>2378585</v>
      </c>
      <c r="H558" s="205">
        <f>ROUND(E558*$D558/100,0)</f>
        <v>2472624</v>
      </c>
      <c r="I558" s="211">
        <f>$I$490</f>
        <v>4.8559999999999999</v>
      </c>
      <c r="J558" s="207" t="s">
        <v>362</v>
      </c>
      <c r="K558" s="205">
        <f>ROUND(I558*$C558/100,0)</f>
        <v>2651000</v>
      </c>
      <c r="M558" s="20"/>
      <c r="N558" s="20"/>
      <c r="O558" s="71"/>
      <c r="P558" s="71"/>
      <c r="Q558" s="20"/>
      <c r="R558" s="20"/>
      <c r="S558" s="20"/>
      <c r="T558" s="20"/>
      <c r="U558" s="20"/>
      <c r="V558" s="20"/>
      <c r="W558" s="20"/>
      <c r="X558" s="20"/>
      <c r="Y558" s="20"/>
      <c r="Z558" s="20"/>
      <c r="AA558" s="20"/>
      <c r="AB558" s="20"/>
      <c r="AC558" s="20"/>
    </row>
    <row r="559" spans="1:29">
      <c r="A559" s="207" t="s">
        <v>387</v>
      </c>
      <c r="B559" s="1"/>
      <c r="C559" s="203">
        <f>29360+3798842+224080+73200+1075199+4549199+369500+35089176+95992349-C558</f>
        <v>86608645</v>
      </c>
      <c r="D559" s="203">
        <f>ROUND(($D$574/'Billing Determinants (2)'!$C$574)*C559,0)</f>
        <v>90032782</v>
      </c>
      <c r="E559" s="254">
        <f>$E$491</f>
        <v>3.9930000000000003</v>
      </c>
      <c r="F559" s="207" t="s">
        <v>362</v>
      </c>
      <c r="G559" s="205">
        <f>ROUND(E559*$C559/100,0)</f>
        <v>3458283</v>
      </c>
      <c r="H559" s="205">
        <f>ROUND(E559*$D559/100,0)</f>
        <v>3595009</v>
      </c>
      <c r="I559" s="211">
        <f>$I$491</f>
        <v>4.4550000000000001</v>
      </c>
      <c r="J559" s="207" t="s">
        <v>362</v>
      </c>
      <c r="K559" s="205">
        <f>ROUND(I559*$C559/100,0)</f>
        <v>3858415</v>
      </c>
      <c r="M559" s="20"/>
      <c r="N559" s="20"/>
      <c r="O559" s="71"/>
      <c r="P559" s="71"/>
      <c r="Q559" s="20"/>
      <c r="R559" s="20"/>
      <c r="S559" s="20"/>
      <c r="T559" s="20"/>
      <c r="U559" s="20"/>
      <c r="V559" s="20"/>
      <c r="W559" s="20"/>
      <c r="X559" s="20"/>
      <c r="Y559" s="20"/>
      <c r="Z559" s="20"/>
      <c r="AA559" s="20"/>
      <c r="AB559" s="20"/>
      <c r="AC559" s="20"/>
    </row>
    <row r="560" spans="1:29">
      <c r="A560" s="207" t="s">
        <v>388</v>
      </c>
      <c r="B560" s="1"/>
      <c r="C560" s="203">
        <f>32+6144+487+15+1044+3294+435+35034+100127</f>
        <v>146612</v>
      </c>
      <c r="D560" s="203">
        <f>ROUND(($D$574/'Billing Determinants (2)'!$C$574)*C560,0)</f>
        <v>152408</v>
      </c>
      <c r="E560" s="223">
        <f>$E$492</f>
        <v>45</v>
      </c>
      <c r="F560" s="207" t="s">
        <v>362</v>
      </c>
      <c r="G560" s="205">
        <f>ROUND(E560*$C560/100,0)</f>
        <v>65975</v>
      </c>
      <c r="H560" s="205">
        <f>ROUND(E560*$D560/100,0)</f>
        <v>68584</v>
      </c>
      <c r="I560" s="359">
        <f>$I$492</f>
        <v>50</v>
      </c>
      <c r="J560" s="207" t="s">
        <v>362</v>
      </c>
      <c r="K560" s="205">
        <f>ROUND(I560*$C560/100,0)</f>
        <v>73306</v>
      </c>
      <c r="M560" s="20"/>
      <c r="N560" s="20"/>
      <c r="O560" s="71"/>
      <c r="P560" s="71"/>
      <c r="Q560" s="20"/>
      <c r="R560" s="20"/>
      <c r="S560" s="20"/>
      <c r="T560" s="20"/>
      <c r="U560" s="20"/>
      <c r="V560" s="20"/>
      <c r="W560" s="20"/>
      <c r="X560" s="20"/>
      <c r="Y560" s="20"/>
      <c r="Z560" s="20"/>
      <c r="AA560" s="20"/>
      <c r="AB560" s="20"/>
      <c r="AC560" s="20"/>
    </row>
    <row r="561" spans="1:29">
      <c r="A561" s="244" t="s">
        <v>389</v>
      </c>
      <c r="B561" s="1"/>
      <c r="C561" s="203"/>
      <c r="D561" s="203"/>
      <c r="E561" s="216">
        <v>-0.01</v>
      </c>
      <c r="F561" s="2"/>
      <c r="G561" s="205"/>
      <c r="H561" s="205"/>
      <c r="I561" s="216">
        <v>-0.01</v>
      </c>
      <c r="J561" s="1"/>
      <c r="K561" s="205"/>
      <c r="M561" s="20"/>
      <c r="N561" s="20"/>
      <c r="O561" s="71"/>
      <c r="P561" s="71"/>
      <c r="Q561" s="20"/>
      <c r="R561" s="20"/>
      <c r="S561" s="20"/>
      <c r="T561" s="20"/>
      <c r="U561" s="20"/>
      <c r="V561" s="20"/>
      <c r="W561" s="20"/>
      <c r="X561" s="20"/>
      <c r="Y561" s="20"/>
      <c r="Z561" s="20"/>
      <c r="AA561" s="20"/>
      <c r="AB561" s="20"/>
      <c r="AC561" s="20"/>
    </row>
    <row r="562" spans="1:29">
      <c r="A562" s="207" t="s">
        <v>409</v>
      </c>
      <c r="B562" s="1"/>
      <c r="C562" s="203">
        <v>4</v>
      </c>
      <c r="D562" s="203">
        <v>4</v>
      </c>
      <c r="E562" s="188">
        <f>E548</f>
        <v>225</v>
      </c>
      <c r="F562" s="248"/>
      <c r="G562" s="205">
        <f>ROUND(E562*$C562*E561,0)</f>
        <v>-9</v>
      </c>
      <c r="H562" s="205">
        <f>ROUND(E562*$D562*E561,0)</f>
        <v>-9</v>
      </c>
      <c r="I562" s="188">
        <f>I548</f>
        <v>245</v>
      </c>
      <c r="J562" s="177"/>
      <c r="K562" s="205">
        <f>ROUND(I562*$C562*I561,0)</f>
        <v>-10</v>
      </c>
      <c r="M562" s="20"/>
      <c r="N562" s="20"/>
      <c r="O562" s="71"/>
      <c r="P562" s="71"/>
      <c r="Q562" s="20"/>
      <c r="R562" s="20"/>
      <c r="S562" s="20"/>
      <c r="T562" s="20"/>
      <c r="U562" s="20"/>
      <c r="V562" s="20"/>
      <c r="W562" s="20"/>
      <c r="X562" s="20"/>
      <c r="Y562" s="20"/>
      <c r="Z562" s="20"/>
      <c r="AA562" s="20"/>
      <c r="AB562" s="20"/>
      <c r="AC562" s="20"/>
    </row>
    <row r="563" spans="1:29">
      <c r="A563" s="207" t="s">
        <v>410</v>
      </c>
      <c r="B563" s="1"/>
      <c r="C563" s="203">
        <v>13</v>
      </c>
      <c r="D563" s="203">
        <v>13</v>
      </c>
      <c r="E563" s="188">
        <f>E549</f>
        <v>83</v>
      </c>
      <c r="F563" s="248"/>
      <c r="G563" s="205">
        <f>ROUND(E563*$C563*E561,0)</f>
        <v>-11</v>
      </c>
      <c r="H563" s="205">
        <f>ROUND(E563*$D563*E561,0)</f>
        <v>-11</v>
      </c>
      <c r="I563" s="188">
        <f>I549</f>
        <v>90</v>
      </c>
      <c r="J563" s="177"/>
      <c r="K563" s="205">
        <f>ROUND(I563*$C563*I561,0)</f>
        <v>-12</v>
      </c>
      <c r="M563" s="20"/>
      <c r="N563" s="20"/>
      <c r="O563" s="71"/>
      <c r="P563" s="71"/>
      <c r="Q563" s="20"/>
      <c r="R563" s="20"/>
      <c r="S563" s="20"/>
      <c r="T563" s="20"/>
      <c r="U563" s="20"/>
      <c r="V563" s="20"/>
      <c r="W563" s="20"/>
      <c r="X563" s="20"/>
      <c r="Y563" s="20"/>
      <c r="Z563" s="20"/>
      <c r="AA563" s="20"/>
      <c r="AB563" s="20"/>
      <c r="AC563" s="20"/>
    </row>
    <row r="564" spans="1:29">
      <c r="A564" s="207" t="s">
        <v>411</v>
      </c>
      <c r="B564" s="1"/>
      <c r="C564" s="203">
        <v>15</v>
      </c>
      <c r="D564" s="203">
        <v>15</v>
      </c>
      <c r="E564" s="188">
        <f>E550</f>
        <v>166</v>
      </c>
      <c r="F564" s="256"/>
      <c r="G564" s="205">
        <f>ROUND(E564*$C564*E561,0)</f>
        <v>-25</v>
      </c>
      <c r="H564" s="205">
        <f>ROUND(E564*$D564*E561,0)</f>
        <v>-25</v>
      </c>
      <c r="I564" s="188">
        <f>I550</f>
        <v>180</v>
      </c>
      <c r="J564" s="257"/>
      <c r="K564" s="205">
        <f>ROUND(I564*$C564*I561,0)</f>
        <v>-27</v>
      </c>
      <c r="M564" s="20"/>
      <c r="N564" s="20"/>
      <c r="O564" s="71"/>
      <c r="P564" s="71"/>
      <c r="Q564" s="20"/>
      <c r="R564" s="20"/>
      <c r="S564" s="20"/>
      <c r="T564" s="20"/>
      <c r="U564" s="20"/>
      <c r="V564" s="20"/>
      <c r="W564" s="20"/>
      <c r="X564" s="20"/>
      <c r="Y564" s="20"/>
      <c r="Z564" s="20"/>
      <c r="AA564" s="20"/>
      <c r="AB564" s="20"/>
      <c r="AC564" s="20"/>
    </row>
    <row r="565" spans="1:29">
      <c r="A565" s="207" t="s">
        <v>410</v>
      </c>
      <c r="B565" s="1"/>
      <c r="C565" s="203">
        <v>1867</v>
      </c>
      <c r="D565" s="203">
        <f>ROUND(($D$574/'Billing Determinants (2)'!$C$574)*C565,0)</f>
        <v>1941</v>
      </c>
      <c r="E565" s="188">
        <f>E552</f>
        <v>1.47</v>
      </c>
      <c r="F565" s="248"/>
      <c r="G565" s="205">
        <f>ROUND(E565*$C565*E561,0)</f>
        <v>-27</v>
      </c>
      <c r="H565" s="205">
        <f>ROUND(E565*$D565*E561,0)</f>
        <v>-29</v>
      </c>
      <c r="I565" s="188">
        <f>I552</f>
        <v>1.6</v>
      </c>
      <c r="J565" s="177"/>
      <c r="K565" s="205">
        <f>ROUND(I565*$C565*I561,0)</f>
        <v>-30</v>
      </c>
      <c r="M565" s="20"/>
      <c r="N565" s="20"/>
      <c r="O565" s="71"/>
      <c r="P565" s="71"/>
      <c r="Q565" s="20"/>
      <c r="R565" s="20"/>
      <c r="S565" s="20"/>
      <c r="T565" s="20"/>
      <c r="U565" s="20"/>
      <c r="V565" s="20"/>
      <c r="W565" s="20"/>
      <c r="X565" s="20"/>
      <c r="Y565" s="20"/>
      <c r="Z565" s="20"/>
      <c r="AA565" s="20"/>
      <c r="AB565" s="20"/>
      <c r="AC565" s="20"/>
    </row>
    <row r="566" spans="1:29">
      <c r="A566" s="207" t="s">
        <v>411</v>
      </c>
      <c r="B566" s="1"/>
      <c r="C566" s="203">
        <v>10153</v>
      </c>
      <c r="D566" s="203">
        <f>ROUND(($D$574/'Billing Determinants (2)'!$C$574)*C566,0)</f>
        <v>10554</v>
      </c>
      <c r="E566" s="188">
        <f>E553</f>
        <v>1.2</v>
      </c>
      <c r="F566" s="248" t="s">
        <v>31</v>
      </c>
      <c r="G566" s="205">
        <f>ROUND(E566*$C566*E561,0)</f>
        <v>-122</v>
      </c>
      <c r="H566" s="205">
        <f>ROUND(E566*$D566*E561,0)</f>
        <v>-127</v>
      </c>
      <c r="I566" s="188">
        <f>I553</f>
        <v>1.3</v>
      </c>
      <c r="J566" s="177"/>
      <c r="K566" s="205">
        <f>ROUND(I566*$C566*I561,0)</f>
        <v>-132</v>
      </c>
      <c r="M566" s="20"/>
      <c r="N566" s="20"/>
      <c r="O566" s="71"/>
      <c r="P566" s="71"/>
      <c r="Q566" s="20"/>
      <c r="R566" s="20"/>
      <c r="S566" s="20"/>
      <c r="T566" s="20"/>
      <c r="U566" s="20"/>
      <c r="V566" s="20"/>
      <c r="W566" s="20"/>
      <c r="X566" s="20"/>
      <c r="Y566" s="20"/>
      <c r="Z566" s="20"/>
      <c r="AA566" s="20"/>
      <c r="AB566" s="20"/>
      <c r="AC566" s="20"/>
    </row>
    <row r="567" spans="1:29">
      <c r="A567" s="193" t="s">
        <v>413</v>
      </c>
      <c r="B567" s="1"/>
      <c r="C567" s="203">
        <f>244+1804+9245</f>
        <v>11293</v>
      </c>
      <c r="D567" s="203">
        <f>ROUND(($D$574/'Billing Determinants (2)'!$C$574)*C567,0)</f>
        <v>11739</v>
      </c>
      <c r="E567" s="188">
        <f>E555</f>
        <v>3.75</v>
      </c>
      <c r="F567" s="248" t="s">
        <v>31</v>
      </c>
      <c r="G567" s="205">
        <f>ROUND(E567*$C567*E561,0)</f>
        <v>-423</v>
      </c>
      <c r="H567" s="205">
        <f>ROUND(E567*$D567*E561,0)</f>
        <v>-440</v>
      </c>
      <c r="I567" s="188">
        <f>I555</f>
        <v>3.95</v>
      </c>
      <c r="J567" s="177"/>
      <c r="K567" s="205">
        <f>ROUND(I567*$C567*I561,0)</f>
        <v>-446</v>
      </c>
      <c r="M567" s="20"/>
      <c r="N567" s="20"/>
      <c r="O567" s="71"/>
      <c r="P567" s="71"/>
      <c r="Q567" s="20"/>
      <c r="R567" s="20"/>
      <c r="S567" s="20"/>
      <c r="T567" s="20"/>
      <c r="U567" s="20"/>
      <c r="V567" s="20"/>
      <c r="W567" s="20"/>
      <c r="X567" s="20"/>
      <c r="Y567" s="20"/>
      <c r="Z567" s="20"/>
      <c r="AA567" s="20"/>
      <c r="AB567" s="20"/>
      <c r="AC567" s="20"/>
    </row>
    <row r="568" spans="1:29">
      <c r="A568" s="193" t="s">
        <v>429</v>
      </c>
      <c r="B568" s="1"/>
      <c r="C568" s="203">
        <v>0</v>
      </c>
      <c r="D568" s="203">
        <f>ROUND(($D$574/'Billing Determinants (2)'!$C$574)*C568,0)</f>
        <v>0</v>
      </c>
      <c r="E568" s="188">
        <f>E556</f>
        <v>3.75</v>
      </c>
      <c r="F568" s="248" t="s">
        <v>31</v>
      </c>
      <c r="G568" s="205">
        <f>ROUND(E568*$C568*E561,0)</f>
        <v>0</v>
      </c>
      <c r="H568" s="205">
        <f>ROUND(E568*$D568*E561,0)</f>
        <v>0</v>
      </c>
      <c r="I568" s="188">
        <f>I556</f>
        <v>3.95</v>
      </c>
      <c r="J568" s="177"/>
      <c r="K568" s="205">
        <f>ROUND(I568*$C568*I561,0)</f>
        <v>0</v>
      </c>
      <c r="M568" s="20"/>
      <c r="N568" s="20"/>
      <c r="O568" s="71"/>
      <c r="P568" s="71"/>
      <c r="Q568" s="20"/>
      <c r="R568" s="20"/>
      <c r="S568" s="20"/>
      <c r="T568" s="20"/>
      <c r="U568" s="20"/>
      <c r="V568" s="20"/>
      <c r="W568" s="20"/>
      <c r="X568" s="20"/>
      <c r="Y568" s="20"/>
      <c r="Z568" s="20"/>
      <c r="AA568" s="20"/>
      <c r="AB568" s="20"/>
      <c r="AC568" s="20"/>
    </row>
    <row r="569" spans="1:29">
      <c r="A569" s="207" t="s">
        <v>415</v>
      </c>
      <c r="B569" s="1"/>
      <c r="C569" s="203">
        <f>73200+518400+602667</f>
        <v>1194267</v>
      </c>
      <c r="D569" s="203">
        <f>ROUND(($D$574/'Billing Determinants (2)'!$C$574)*C569,0)</f>
        <v>1241483</v>
      </c>
      <c r="E569" s="258">
        <f>E558</f>
        <v>4.3570000000000002</v>
      </c>
      <c r="F569" s="205" t="s">
        <v>362</v>
      </c>
      <c r="G569" s="205">
        <f>ROUND(E569*$C569/100*E561,0)</f>
        <v>-520</v>
      </c>
      <c r="H569" s="205">
        <f>ROUND(E569*$D569/100*E561,0)</f>
        <v>-541</v>
      </c>
      <c r="I569" s="258">
        <f>I558</f>
        <v>4.8559999999999999</v>
      </c>
      <c r="J569" s="207" t="s">
        <v>362</v>
      </c>
      <c r="K569" s="205">
        <f>ROUND(I569*$C569/100*I561,0)</f>
        <v>-580</v>
      </c>
      <c r="M569" s="20"/>
      <c r="N569" s="20"/>
      <c r="O569" s="71"/>
      <c r="P569" s="71"/>
      <c r="Q569" s="20"/>
      <c r="R569" s="20"/>
      <c r="S569" s="20"/>
      <c r="T569" s="20"/>
      <c r="U569" s="20"/>
      <c r="V569" s="20"/>
      <c r="W569" s="20"/>
      <c r="X569" s="20"/>
      <c r="Y569" s="20"/>
      <c r="Z569" s="20"/>
      <c r="AA569" s="20"/>
      <c r="AB569" s="20"/>
      <c r="AC569" s="20"/>
    </row>
    <row r="570" spans="1:29">
      <c r="A570" s="207" t="s">
        <v>387</v>
      </c>
      <c r="B570" s="1"/>
      <c r="C570" s="203">
        <f>73200+1075199+4549199-C569</f>
        <v>4503331</v>
      </c>
      <c r="D570" s="203">
        <f>ROUND(($D$574/'Billing Determinants (2)'!$C$574)*C570,0)</f>
        <v>4681374</v>
      </c>
      <c r="E570" s="258">
        <f>E559</f>
        <v>3.9930000000000003</v>
      </c>
      <c r="F570" s="205" t="s">
        <v>362</v>
      </c>
      <c r="G570" s="205">
        <f>ROUND(E570*$C570/100*E561,0)</f>
        <v>-1798</v>
      </c>
      <c r="H570" s="205">
        <f>ROUND(E570*$D570/100*E561,0)</f>
        <v>-1869</v>
      </c>
      <c r="I570" s="258">
        <f>I559</f>
        <v>4.4550000000000001</v>
      </c>
      <c r="J570" s="207" t="s">
        <v>362</v>
      </c>
      <c r="K570" s="205">
        <f>ROUND(I570*$C570/100*I561,0)</f>
        <v>-2006</v>
      </c>
      <c r="M570" s="20"/>
      <c r="N570" s="20"/>
      <c r="O570" s="71"/>
      <c r="P570" s="71"/>
      <c r="Q570" s="20"/>
      <c r="R570" s="20"/>
      <c r="S570" s="20"/>
      <c r="T570" s="20"/>
      <c r="U570" s="20"/>
      <c r="V570" s="20"/>
      <c r="W570" s="20"/>
      <c r="X570" s="20"/>
      <c r="Y570" s="20"/>
      <c r="Z570" s="20"/>
      <c r="AA570" s="20"/>
      <c r="AB570" s="20"/>
      <c r="AC570" s="20"/>
    </row>
    <row r="571" spans="1:29">
      <c r="A571" s="207" t="s">
        <v>388</v>
      </c>
      <c r="B571" s="1"/>
      <c r="C571" s="203">
        <f>15+1044+3294</f>
        <v>4353</v>
      </c>
      <c r="D571" s="203">
        <f>ROUND(($D$574/'Billing Determinants (2)'!$C$574)*C571,0)</f>
        <v>4525</v>
      </c>
      <c r="E571" s="259">
        <f>E560</f>
        <v>45</v>
      </c>
      <c r="F571" s="205" t="s">
        <v>362</v>
      </c>
      <c r="G571" s="205">
        <f>ROUND(E571*$C571/100*E561,0)</f>
        <v>-20</v>
      </c>
      <c r="H571" s="205">
        <f>ROUND(E571*$D571/100*E561,0)</f>
        <v>-20</v>
      </c>
      <c r="I571" s="259">
        <f>I560</f>
        <v>50</v>
      </c>
      <c r="J571" s="207" t="s">
        <v>362</v>
      </c>
      <c r="K571" s="205">
        <f>ROUND(I571*$C571/100*I561,0)</f>
        <v>-22</v>
      </c>
      <c r="M571" s="20"/>
      <c r="N571" s="20"/>
      <c r="O571" s="71"/>
      <c r="P571" s="71"/>
      <c r="Q571" s="20"/>
      <c r="R571" s="20"/>
      <c r="S571" s="20"/>
      <c r="T571" s="20"/>
      <c r="U571" s="20"/>
      <c r="V571" s="20"/>
      <c r="W571" s="20"/>
      <c r="X571" s="20"/>
      <c r="Y571" s="20"/>
      <c r="Z571" s="20"/>
      <c r="AA571" s="20"/>
      <c r="AB571" s="20"/>
      <c r="AC571" s="20"/>
    </row>
    <row r="572" spans="1:29">
      <c r="A572" s="207" t="s">
        <v>431</v>
      </c>
      <c r="B572" s="1"/>
      <c r="C572" s="203">
        <f>C562+C563+C564</f>
        <v>32</v>
      </c>
      <c r="D572" s="203">
        <v>31</v>
      </c>
      <c r="E572" s="182">
        <f>$E$504</f>
        <v>60</v>
      </c>
      <c r="F572" s="248" t="s">
        <v>31</v>
      </c>
      <c r="G572" s="205">
        <f>ROUND(E572*$C572,0)</f>
        <v>1920</v>
      </c>
      <c r="H572" s="205">
        <f>ROUND(E572*$D572,0)</f>
        <v>1860</v>
      </c>
      <c r="I572" s="182">
        <f>$I$504</f>
        <v>60</v>
      </c>
      <c r="J572" s="1"/>
      <c r="K572" s="205">
        <f>ROUND(I572*$C572,0)</f>
        <v>1920</v>
      </c>
      <c r="M572" s="20"/>
      <c r="N572" s="20"/>
      <c r="O572" s="71"/>
      <c r="P572" s="71"/>
      <c r="Q572" s="20"/>
      <c r="R572" s="20"/>
      <c r="S572" s="20"/>
      <c r="T572" s="20"/>
      <c r="U572" s="20"/>
      <c r="V572" s="20"/>
      <c r="W572" s="20"/>
      <c r="X572" s="20"/>
      <c r="Y572" s="20"/>
      <c r="Z572" s="20"/>
      <c r="AA572" s="20"/>
      <c r="AB572" s="20"/>
      <c r="AC572" s="20"/>
    </row>
    <row r="573" spans="1:29">
      <c r="A573" s="207" t="s">
        <v>432</v>
      </c>
      <c r="B573" s="1"/>
      <c r="C573" s="203">
        <f>C565+C566</f>
        <v>12020</v>
      </c>
      <c r="D573" s="203">
        <f>ROUND(($D$574/'Billing Determinants (2)'!$C$574)*C573,0)</f>
        <v>12495</v>
      </c>
      <c r="E573" s="223">
        <f>$E$505</f>
        <v>-30</v>
      </c>
      <c r="F573" s="205" t="s">
        <v>362</v>
      </c>
      <c r="G573" s="205">
        <f>ROUND(E573*$C573/100,0)</f>
        <v>-3606</v>
      </c>
      <c r="H573" s="205">
        <f>ROUND(E573*$D573/100,0)</f>
        <v>-3749</v>
      </c>
      <c r="I573" s="223">
        <f>$I$505</f>
        <v>-30</v>
      </c>
      <c r="J573" s="205" t="s">
        <v>362</v>
      </c>
      <c r="K573" s="205">
        <f>ROUND(I573*$C573/100,0)</f>
        <v>-3606</v>
      </c>
      <c r="M573" s="20"/>
      <c r="N573" s="20"/>
      <c r="O573" s="71"/>
      <c r="P573" s="71"/>
      <c r="Q573" s="20"/>
      <c r="R573" s="20"/>
      <c r="S573" s="20"/>
      <c r="T573" s="20"/>
      <c r="U573" s="20"/>
      <c r="V573" s="20"/>
      <c r="W573" s="20"/>
      <c r="X573" s="20"/>
      <c r="Y573" s="20"/>
      <c r="Z573" s="20"/>
      <c r="AA573" s="20"/>
      <c r="AB573" s="20"/>
      <c r="AC573" s="20"/>
    </row>
    <row r="574" spans="1:29">
      <c r="A574" s="1" t="s">
        <v>369</v>
      </c>
      <c r="B574" s="1"/>
      <c r="C574" s="203">
        <f>SUM(C558:C559)</f>
        <v>141200905</v>
      </c>
      <c r="D574" s="203">
        <v>146783387.35514688</v>
      </c>
      <c r="E574" s="214"/>
      <c r="F574" s="2"/>
      <c r="G574" s="2">
        <f>SUM(G548:G573)</f>
        <v>8529276</v>
      </c>
      <c r="H574" s="2">
        <f>SUM(H548:H573)</f>
        <v>8852069</v>
      </c>
      <c r="I574" s="214"/>
      <c r="J574" s="1"/>
      <c r="K574" s="2">
        <f>SUM(K548:K573)</f>
        <v>9379613</v>
      </c>
      <c r="M574" s="20"/>
      <c r="N574" s="20"/>
      <c r="O574" s="71"/>
      <c r="P574" s="71"/>
      <c r="Q574" s="20"/>
      <c r="R574" s="20"/>
      <c r="S574" s="20"/>
      <c r="T574" s="20"/>
      <c r="U574" s="20"/>
      <c r="V574" s="20"/>
      <c r="W574" s="20"/>
      <c r="X574" s="20"/>
      <c r="Y574" s="20"/>
      <c r="Z574" s="20"/>
      <c r="AA574" s="20"/>
      <c r="AB574" s="20"/>
      <c r="AC574" s="20"/>
    </row>
    <row r="575" spans="1:29">
      <c r="A575" s="1" t="s">
        <v>351</v>
      </c>
      <c r="B575" s="1"/>
      <c r="C575" s="233" t="e">
        <f>#REF!</f>
        <v>#REF!</v>
      </c>
      <c r="D575" s="224">
        <v>0</v>
      </c>
      <c r="E575" s="193"/>
      <c r="F575" s="193"/>
      <c r="G575" s="194" t="e">
        <f>#REF!</f>
        <v>#REF!</v>
      </c>
      <c r="H575" s="194">
        <v>0</v>
      </c>
      <c r="I575" s="193"/>
      <c r="J575" s="193"/>
      <c r="K575" s="194" t="e">
        <f>G575</f>
        <v>#REF!</v>
      </c>
      <c r="M575" s="328"/>
      <c r="N575" s="328"/>
      <c r="O575" s="171"/>
      <c r="P575" s="71"/>
      <c r="Q575" s="20"/>
      <c r="R575" s="20"/>
      <c r="S575" s="20"/>
      <c r="T575" s="20"/>
      <c r="U575" s="20"/>
      <c r="V575" s="20"/>
      <c r="W575" s="20"/>
      <c r="X575" s="20"/>
      <c r="Y575" s="20"/>
      <c r="Z575" s="20"/>
      <c r="AA575" s="20"/>
      <c r="AB575" s="20"/>
      <c r="AC575" s="20"/>
    </row>
    <row r="576" spans="1:29" ht="16.5" thickBot="1">
      <c r="A576" s="1" t="s">
        <v>370</v>
      </c>
      <c r="B576" s="1"/>
      <c r="C576" s="250" t="e">
        <f>SUM(C574)+C575</f>
        <v>#REF!</v>
      </c>
      <c r="D576" s="250">
        <f>SUM(D558:D559)+D575</f>
        <v>146783387</v>
      </c>
      <c r="E576" s="226"/>
      <c r="F576" s="227"/>
      <c r="G576" s="228" t="e">
        <f>G574+G575</f>
        <v>#REF!</v>
      </c>
      <c r="H576" s="228">
        <f>H574+H575</f>
        <v>8852069</v>
      </c>
      <c r="I576" s="226"/>
      <c r="J576" s="229"/>
      <c r="K576" s="228" t="e">
        <f>K574+K575</f>
        <v>#REF!</v>
      </c>
      <c r="M576" s="295"/>
      <c r="N576" s="295"/>
      <c r="O576" s="354"/>
      <c r="P576" s="71"/>
      <c r="Q576" s="20"/>
      <c r="R576" s="20"/>
      <c r="S576" s="20"/>
      <c r="T576" s="20"/>
      <c r="U576" s="20"/>
      <c r="V576" s="20"/>
      <c r="W576" s="20"/>
      <c r="X576" s="20"/>
      <c r="Y576" s="20"/>
      <c r="Z576" s="20"/>
      <c r="AA576" s="20"/>
      <c r="AB576" s="20"/>
      <c r="AC576" s="20"/>
    </row>
    <row r="577" spans="1:29" ht="16.5" thickTop="1">
      <c r="A577" s="187"/>
      <c r="B577" s="262"/>
      <c r="C577" s="187"/>
      <c r="D577" s="187"/>
      <c r="E577" s="21"/>
      <c r="F577" s="21"/>
      <c r="G577" s="263"/>
      <c r="H577" s="263"/>
      <c r="I577" s="187"/>
      <c r="J577" s="187"/>
      <c r="K577" s="187"/>
      <c r="M577" s="20"/>
      <c r="N577" s="20"/>
      <c r="O577" s="71"/>
      <c r="P577" s="71"/>
      <c r="Q577" s="20"/>
      <c r="R577" s="20"/>
      <c r="S577" s="20"/>
      <c r="T577" s="20"/>
      <c r="U577" s="20"/>
      <c r="V577" s="20"/>
      <c r="W577" s="20"/>
      <c r="X577" s="20"/>
      <c r="Y577" s="20"/>
      <c r="Z577" s="20"/>
      <c r="AA577" s="20"/>
      <c r="AB577" s="20"/>
      <c r="AC577" s="20"/>
    </row>
    <row r="578" spans="1:29">
      <c r="A578" s="177" t="s">
        <v>435</v>
      </c>
      <c r="B578" s="1"/>
      <c r="C578" s="21"/>
      <c r="D578" s="21"/>
      <c r="E578" s="221"/>
      <c r="F578" s="2"/>
      <c r="G578" s="2"/>
      <c r="H578" s="2"/>
      <c r="I578" s="221"/>
      <c r="J578" s="1"/>
      <c r="K578" s="2"/>
      <c r="M578" s="20"/>
      <c r="N578" s="20"/>
      <c r="O578" s="71"/>
      <c r="P578" s="71"/>
      <c r="Q578" s="20"/>
      <c r="R578" s="20"/>
      <c r="S578" s="20"/>
      <c r="T578" s="20"/>
      <c r="U578" s="20"/>
      <c r="V578" s="20"/>
      <c r="W578" s="20"/>
      <c r="X578" s="20"/>
      <c r="Y578" s="20"/>
      <c r="Z578" s="20"/>
      <c r="AA578" s="20"/>
      <c r="AB578" s="20"/>
      <c r="AC578" s="20"/>
    </row>
    <row r="579" spans="1:29">
      <c r="A579" s="193" t="s">
        <v>436</v>
      </c>
      <c r="B579" s="1"/>
      <c r="C579" s="21"/>
      <c r="D579" s="21"/>
      <c r="E579" s="221"/>
      <c r="F579" s="2"/>
      <c r="G579" s="2"/>
      <c r="H579" s="2"/>
      <c r="I579" s="221"/>
      <c r="J579" s="1"/>
      <c r="K579" s="2"/>
      <c r="M579" s="20"/>
      <c r="N579" s="20"/>
      <c r="O579" s="71"/>
      <c r="P579" s="71"/>
      <c r="Q579" s="20"/>
      <c r="R579" s="20"/>
      <c r="S579" s="20"/>
      <c r="T579" s="20"/>
      <c r="U579" s="20"/>
      <c r="V579" s="20"/>
      <c r="W579" s="20"/>
      <c r="X579" s="20"/>
      <c r="Y579" s="20"/>
      <c r="Z579" s="20"/>
      <c r="AA579" s="20"/>
      <c r="AB579" s="20"/>
      <c r="AC579" s="20"/>
    </row>
    <row r="580" spans="1:29">
      <c r="A580" s="207"/>
      <c r="B580" s="1"/>
      <c r="C580" s="21"/>
      <c r="D580" s="21"/>
      <c r="E580" s="221"/>
      <c r="F580" s="2"/>
      <c r="G580" s="264"/>
      <c r="H580" s="264"/>
      <c r="I580" s="221"/>
      <c r="J580" s="1"/>
      <c r="K580" s="265"/>
      <c r="M580" s="20"/>
      <c r="N580" s="20"/>
      <c r="O580" s="71"/>
      <c r="P580" s="71"/>
      <c r="Q580" s="20"/>
      <c r="R580" s="20"/>
      <c r="S580" s="20"/>
      <c r="T580" s="20"/>
      <c r="U580" s="20"/>
      <c r="V580" s="20"/>
      <c r="W580" s="20"/>
      <c r="X580" s="20"/>
      <c r="Y580" s="20"/>
      <c r="Z580" s="20"/>
      <c r="AA580" s="20"/>
      <c r="AB580" s="20"/>
      <c r="AC580" s="20"/>
    </row>
    <row r="581" spans="1:29">
      <c r="A581" s="193" t="s">
        <v>437</v>
      </c>
      <c r="B581" s="1"/>
      <c r="C581" s="203"/>
      <c r="D581" s="203"/>
      <c r="E581" s="2" t="s">
        <v>31</v>
      </c>
      <c r="F581" s="2"/>
      <c r="G581" s="1"/>
      <c r="H581" s="1"/>
      <c r="I581" s="2" t="s">
        <v>31</v>
      </c>
      <c r="J581" s="1"/>
      <c r="K581" s="1"/>
      <c r="M581" s="20"/>
      <c r="N581" s="20"/>
      <c r="O581" s="71"/>
      <c r="P581" s="71"/>
      <c r="Q581" s="20"/>
      <c r="R581" s="20"/>
      <c r="S581" s="20"/>
      <c r="T581" s="20"/>
      <c r="U581" s="20"/>
      <c r="V581" s="20"/>
      <c r="W581" s="20"/>
      <c r="X581" s="20"/>
      <c r="Y581" s="20"/>
      <c r="Z581" s="20"/>
      <c r="AA581" s="20"/>
      <c r="AB581" s="20"/>
      <c r="AC581" s="20"/>
    </row>
    <row r="582" spans="1:29">
      <c r="A582" s="193" t="s">
        <v>438</v>
      </c>
      <c r="B582" s="1"/>
      <c r="C582" s="203">
        <f>C633+C684</f>
        <v>1048</v>
      </c>
      <c r="D582" s="203">
        <f>D633+D684</f>
        <v>1059</v>
      </c>
      <c r="E582" s="221">
        <v>0</v>
      </c>
      <c r="F582" s="208"/>
      <c r="G582" s="205">
        <f>G633+G684</f>
        <v>0</v>
      </c>
      <c r="H582" s="205">
        <f>H633+H684</f>
        <v>0</v>
      </c>
      <c r="I582" s="221">
        <f>'Blocking - detail'!I582</f>
        <v>0</v>
      </c>
      <c r="J582" s="208"/>
      <c r="K582" s="205">
        <f>K633+K684</f>
        <v>0</v>
      </c>
      <c r="M582" s="81">
        <f>I582*D582</f>
        <v>0</v>
      </c>
      <c r="O582" s="14"/>
      <c r="P582" s="66" t="s">
        <v>31</v>
      </c>
      <c r="R582" s="213"/>
      <c r="T582" s="3" t="s">
        <v>359</v>
      </c>
      <c r="U582" s="3" t="s">
        <v>295</v>
      </c>
      <c r="V582" s="3" t="s">
        <v>360</v>
      </c>
      <c r="W582" s="3" t="s">
        <v>304</v>
      </c>
      <c r="X582" s="20"/>
      <c r="Y582" s="20"/>
      <c r="Z582" s="20"/>
      <c r="AA582" s="20"/>
      <c r="AB582" s="20"/>
      <c r="AC582" s="20"/>
    </row>
    <row r="583" spans="1:29">
      <c r="A583" s="193" t="s">
        <v>439</v>
      </c>
      <c r="B583" s="1"/>
      <c r="C583" s="203"/>
      <c r="D583" s="203"/>
      <c r="E583" s="221"/>
      <c r="F583" s="208"/>
      <c r="G583" s="205"/>
      <c r="H583" s="205"/>
      <c r="I583" s="221"/>
      <c r="J583" s="208"/>
      <c r="K583" s="205"/>
      <c r="R583" s="213"/>
      <c r="S583" s="3" t="s">
        <v>430</v>
      </c>
      <c r="T583" s="81">
        <f>SUM(H582:H597)</f>
        <v>1968384</v>
      </c>
      <c r="U583" s="81">
        <f>SUM(K582:K597)</f>
        <v>2343533.4900000002</v>
      </c>
      <c r="V583" s="103">
        <v>2708270.4985879958</v>
      </c>
      <c r="W583" s="128">
        <f>U583/V583</f>
        <v>0.86532474921609281</v>
      </c>
      <c r="X583" s="20"/>
      <c r="Y583" s="20"/>
      <c r="Z583" s="20"/>
      <c r="AA583" s="20"/>
      <c r="AB583" s="20"/>
      <c r="AC583" s="20"/>
    </row>
    <row r="584" spans="1:29">
      <c r="A584" s="193" t="s">
        <v>440</v>
      </c>
      <c r="B584" s="1"/>
      <c r="C584" s="203">
        <f t="shared" ref="C584:D589" si="51">C635+C686</f>
        <v>3799</v>
      </c>
      <c r="D584" s="203">
        <f t="shared" si="51"/>
        <v>3832</v>
      </c>
      <c r="E584" s="221">
        <v>0</v>
      </c>
      <c r="F584" s="208"/>
      <c r="G584" s="205">
        <f t="shared" ref="G584:H586" si="52">G635+G686</f>
        <v>0</v>
      </c>
      <c r="H584" s="205">
        <f t="shared" si="52"/>
        <v>0</v>
      </c>
      <c r="I584" s="221">
        <v>0</v>
      </c>
      <c r="J584" s="208"/>
      <c r="K584" s="205">
        <f>K635+K686</f>
        <v>0</v>
      </c>
      <c r="M584" s="81">
        <f>I584*D584</f>
        <v>0</v>
      </c>
      <c r="N584" s="52"/>
      <c r="S584" s="3" t="s">
        <v>447</v>
      </c>
      <c r="T584" s="81">
        <f>H602</f>
        <v>8116487</v>
      </c>
      <c r="U584" s="81">
        <f>K602</f>
        <v>9717128</v>
      </c>
      <c r="V584" s="103">
        <v>8051434.7234117109</v>
      </c>
      <c r="W584" s="128">
        <f>U584/V584</f>
        <v>1.2068815476755761</v>
      </c>
      <c r="X584" s="20"/>
      <c r="Y584" s="20"/>
      <c r="Z584" s="20"/>
      <c r="AA584" s="20"/>
      <c r="AB584" s="20"/>
      <c r="AC584" s="20"/>
    </row>
    <row r="585" spans="1:29">
      <c r="A585" s="193" t="s">
        <v>441</v>
      </c>
      <c r="B585" s="1"/>
      <c r="C585" s="203">
        <f t="shared" si="51"/>
        <v>387</v>
      </c>
      <c r="D585" s="203">
        <f t="shared" si="51"/>
        <v>390</v>
      </c>
      <c r="E585" s="221">
        <v>301</v>
      </c>
      <c r="F585" s="208"/>
      <c r="G585" s="205">
        <f t="shared" si="52"/>
        <v>116487</v>
      </c>
      <c r="H585" s="205">
        <f t="shared" si="52"/>
        <v>117390</v>
      </c>
      <c r="I585" s="221">
        <f>ROUND(E585+(E585*$P$627),0)+2</f>
        <v>333</v>
      </c>
      <c r="J585" s="208"/>
      <c r="K585" s="205">
        <f>K636+K687</f>
        <v>128871</v>
      </c>
      <c r="M585" s="81">
        <f>I585*D585</f>
        <v>129870</v>
      </c>
      <c r="N585" s="66"/>
      <c r="O585" s="14">
        <f>(I585-E585)/E585</f>
        <v>0.10631229235880399</v>
      </c>
      <c r="S585" s="213"/>
      <c r="U585" s="213"/>
      <c r="V585" s="20"/>
      <c r="W585" s="20"/>
      <c r="X585" s="20"/>
      <c r="Y585" s="20"/>
      <c r="Z585" s="20"/>
      <c r="AA585" s="20"/>
      <c r="AB585" s="20"/>
      <c r="AC585" s="20"/>
    </row>
    <row r="586" spans="1:29">
      <c r="A586" s="193" t="s">
        <v>442</v>
      </c>
      <c r="B586" s="1"/>
      <c r="C586" s="203">
        <f t="shared" si="51"/>
        <v>11</v>
      </c>
      <c r="D586" s="203">
        <f t="shared" si="51"/>
        <v>11</v>
      </c>
      <c r="E586" s="221">
        <v>1215</v>
      </c>
      <c r="F586" s="208"/>
      <c r="G586" s="205">
        <f t="shared" si="52"/>
        <v>13365</v>
      </c>
      <c r="H586" s="205">
        <f t="shared" si="52"/>
        <v>13365</v>
      </c>
      <c r="I586" s="221">
        <f>ROUND(E586+(E586*$P$627),0)</f>
        <v>1335</v>
      </c>
      <c r="J586" s="208"/>
      <c r="K586" s="205">
        <f>K637+K688</f>
        <v>14685</v>
      </c>
      <c r="M586" s="81">
        <f>I586*D586</f>
        <v>14685</v>
      </c>
      <c r="N586" s="66"/>
      <c r="O586" s="14">
        <f>(I586-E586)/E586</f>
        <v>9.8765432098765427E-2</v>
      </c>
      <c r="V586" s="20"/>
      <c r="W586" s="20"/>
      <c r="X586" s="20"/>
      <c r="Y586" s="20"/>
      <c r="Z586" s="20"/>
      <c r="AA586" s="20"/>
      <c r="AB586" s="20"/>
      <c r="AC586" s="20"/>
    </row>
    <row r="587" spans="1:29">
      <c r="A587" s="193" t="s">
        <v>350</v>
      </c>
      <c r="B587" s="1"/>
      <c r="C587" s="203">
        <f t="shared" si="51"/>
        <v>5245</v>
      </c>
      <c r="D587" s="203">
        <f t="shared" si="51"/>
        <v>5292.9166666666661</v>
      </c>
      <c r="E587" s="221"/>
      <c r="F587" s="208"/>
      <c r="G587" s="205"/>
      <c r="H587" s="205"/>
      <c r="I587" s="221"/>
      <c r="J587" s="208"/>
      <c r="K587" s="205"/>
      <c r="M587" s="66"/>
      <c r="N587" s="66"/>
      <c r="O587" s="204"/>
      <c r="S587" s="213"/>
      <c r="U587" s="213"/>
      <c r="V587" s="20"/>
      <c r="W587" s="20"/>
      <c r="X587" s="20"/>
      <c r="Y587" s="20"/>
      <c r="Z587" s="20"/>
      <c r="AA587" s="20"/>
      <c r="AB587" s="20"/>
      <c r="AC587" s="20"/>
    </row>
    <row r="588" spans="1:29">
      <c r="A588" s="193" t="s">
        <v>443</v>
      </c>
      <c r="B588" s="1"/>
      <c r="C588" s="203">
        <f t="shared" si="51"/>
        <v>34182</v>
      </c>
      <c r="D588" s="203">
        <f t="shared" si="51"/>
        <v>34504</v>
      </c>
      <c r="E588" s="221"/>
      <c r="F588" s="208"/>
      <c r="G588" s="205"/>
      <c r="H588" s="205"/>
      <c r="I588" s="221"/>
      <c r="J588" s="208"/>
      <c r="K588" s="205"/>
      <c r="M588" s="66"/>
      <c r="N588" s="66"/>
      <c r="V588" s="20"/>
      <c r="W588" s="20"/>
      <c r="X588" s="20"/>
      <c r="Y588" s="20"/>
      <c r="Z588" s="20"/>
      <c r="AA588" s="20"/>
      <c r="AB588" s="20"/>
      <c r="AC588" s="20"/>
    </row>
    <row r="589" spans="1:29">
      <c r="A589" s="193" t="s">
        <v>104</v>
      </c>
      <c r="B589" s="1"/>
      <c r="C589" s="203">
        <f t="shared" si="51"/>
        <v>5727</v>
      </c>
      <c r="D589" s="203">
        <f t="shared" si="51"/>
        <v>5781</v>
      </c>
      <c r="E589" s="221"/>
      <c r="F589" s="205"/>
      <c r="G589" s="205"/>
      <c r="H589" s="205"/>
      <c r="I589" s="221"/>
      <c r="J589" s="205"/>
      <c r="K589" s="218">
        <f>I591*3</f>
        <v>65.489999999999995</v>
      </c>
      <c r="M589" s="66"/>
      <c r="N589" s="66"/>
      <c r="O589" s="204"/>
      <c r="P589" s="178"/>
      <c r="V589" s="20"/>
      <c r="W589" s="20"/>
      <c r="X589" s="20"/>
      <c r="Y589" s="20"/>
      <c r="Z589" s="20"/>
      <c r="AA589" s="20"/>
      <c r="AB589" s="20"/>
      <c r="AC589" s="20"/>
    </row>
    <row r="590" spans="1:29">
      <c r="A590" s="193" t="s">
        <v>444</v>
      </c>
      <c r="B590" s="1"/>
      <c r="C590" s="203"/>
      <c r="D590" s="203"/>
      <c r="E590" s="221"/>
      <c r="F590" s="208"/>
      <c r="G590" s="205"/>
      <c r="H590" s="205"/>
      <c r="I590" s="221"/>
      <c r="J590" s="208"/>
      <c r="K590" s="205"/>
      <c r="M590" s="66"/>
      <c r="N590" s="66"/>
      <c r="O590" s="204"/>
      <c r="V590" s="20"/>
      <c r="W590" s="20"/>
      <c r="X590" s="20"/>
      <c r="Y590" s="20"/>
      <c r="Z590" s="20"/>
      <c r="AA590" s="20"/>
      <c r="AB590" s="20"/>
      <c r="AC590" s="20"/>
    </row>
    <row r="591" spans="1:29">
      <c r="A591" s="193" t="s">
        <v>445</v>
      </c>
      <c r="B591" s="1"/>
      <c r="C591" s="203">
        <f>C642+C693</f>
        <v>5248</v>
      </c>
      <c r="D591" s="203">
        <f>D642+D693</f>
        <v>4813</v>
      </c>
      <c r="E591" s="221">
        <v>19.87</v>
      </c>
      <c r="F591" s="208"/>
      <c r="G591" s="205">
        <f>G642+G693</f>
        <v>104277</v>
      </c>
      <c r="H591" s="205">
        <f>H642+H693</f>
        <v>95634</v>
      </c>
      <c r="I591" s="221">
        <f>ROUND(E591+(E591*$P$627),2)</f>
        <v>21.83</v>
      </c>
      <c r="J591" s="208"/>
      <c r="K591" s="205">
        <f>K642+K693</f>
        <v>114564</v>
      </c>
      <c r="M591" s="81">
        <f>I591*D591</f>
        <v>105067.79</v>
      </c>
      <c r="N591" s="260"/>
      <c r="O591" s="14">
        <f>(I591-E591)/E591</f>
        <v>9.8641167589330503E-2</v>
      </c>
      <c r="X591" s="20"/>
      <c r="Y591" s="20"/>
      <c r="Z591" s="20"/>
      <c r="AA591" s="20"/>
      <c r="AB591" s="20"/>
      <c r="AC591" s="20"/>
    </row>
    <row r="592" spans="1:29">
      <c r="A592" s="193" t="s">
        <v>446</v>
      </c>
      <c r="B592" s="1"/>
      <c r="C592" s="203"/>
      <c r="D592" s="203"/>
      <c r="E592" s="221"/>
      <c r="F592" s="208"/>
      <c r="G592" s="205"/>
      <c r="H592" s="205"/>
      <c r="I592" s="221"/>
      <c r="J592" s="208"/>
      <c r="K592" s="205"/>
      <c r="M592" s="260"/>
      <c r="N592" s="260"/>
      <c r="O592" s="204"/>
      <c r="X592" s="20"/>
      <c r="Y592" s="20"/>
      <c r="Z592" s="20"/>
      <c r="AA592" s="20"/>
      <c r="AB592" s="20"/>
      <c r="AC592" s="20"/>
    </row>
    <row r="593" spans="1:29">
      <c r="A593" s="193" t="s">
        <v>440</v>
      </c>
      <c r="B593" s="1"/>
      <c r="C593" s="203">
        <f t="shared" ref="C593:D597" si="53">C644+C695</f>
        <v>55399</v>
      </c>
      <c r="D593" s="203">
        <f t="shared" si="53"/>
        <v>50834</v>
      </c>
      <c r="E593" s="221">
        <v>19.87</v>
      </c>
      <c r="F593" s="208"/>
      <c r="G593" s="205">
        <f t="shared" ref="G593:H597" si="54">G644+G695</f>
        <v>1100778</v>
      </c>
      <c r="H593" s="205">
        <f t="shared" si="54"/>
        <v>1010072</v>
      </c>
      <c r="I593" s="221">
        <f>ROUND(E593+(E593*$P$627),2)</f>
        <v>21.83</v>
      </c>
      <c r="J593" s="208"/>
      <c r="K593" s="205">
        <f>K644+K695</f>
        <v>1209360</v>
      </c>
      <c r="M593" s="81">
        <f>I593*D593</f>
        <v>1109706.22</v>
      </c>
      <c r="N593" s="260"/>
      <c r="O593" s="14">
        <f>(I593-E593)/E593</f>
        <v>9.8641167589330503E-2</v>
      </c>
      <c r="X593" s="20"/>
      <c r="Y593" s="20"/>
      <c r="Z593" s="20"/>
      <c r="AA593" s="20"/>
      <c r="AB593" s="20"/>
      <c r="AC593" s="20"/>
    </row>
    <row r="594" spans="1:29">
      <c r="A594" s="193" t="s">
        <v>441</v>
      </c>
      <c r="B594" s="1"/>
      <c r="C594" s="203">
        <f t="shared" si="53"/>
        <v>37462</v>
      </c>
      <c r="D594" s="203">
        <f t="shared" si="53"/>
        <v>34379</v>
      </c>
      <c r="E594" s="221">
        <v>13.64</v>
      </c>
      <c r="F594" s="208"/>
      <c r="G594" s="205">
        <f t="shared" si="54"/>
        <v>510982</v>
      </c>
      <c r="H594" s="205">
        <f t="shared" si="54"/>
        <v>468929</v>
      </c>
      <c r="I594" s="221">
        <f>ROUND(E594+(E594*$P$627),2)</f>
        <v>14.98</v>
      </c>
      <c r="J594" s="208"/>
      <c r="K594" s="205">
        <f>K645+K696</f>
        <v>561181</v>
      </c>
      <c r="M594" s="81">
        <f>I594*D594</f>
        <v>514997.42000000004</v>
      </c>
      <c r="N594" s="260"/>
      <c r="O594" s="14">
        <f>(I594-E594)/E594</f>
        <v>9.8240469208211126E-2</v>
      </c>
      <c r="R594" s="81"/>
      <c r="S594" s="81"/>
      <c r="T594" s="103"/>
      <c r="U594" s="128"/>
      <c r="V594" s="20"/>
      <c r="W594" s="20"/>
      <c r="X594" s="20"/>
      <c r="Y594" s="20"/>
      <c r="Z594" s="20"/>
      <c r="AA594" s="20"/>
      <c r="AB594" s="20"/>
      <c r="AC594" s="20"/>
    </row>
    <row r="595" spans="1:29">
      <c r="A595" s="193" t="s">
        <v>442</v>
      </c>
      <c r="B595" s="1" t="s">
        <v>31</v>
      </c>
      <c r="C595" s="203">
        <f t="shared" si="53"/>
        <v>4358</v>
      </c>
      <c r="D595" s="203">
        <f t="shared" si="53"/>
        <v>3996</v>
      </c>
      <c r="E595" s="221">
        <v>10.62</v>
      </c>
      <c r="F595" s="208"/>
      <c r="G595" s="205">
        <f t="shared" si="54"/>
        <v>46282</v>
      </c>
      <c r="H595" s="205">
        <f t="shared" si="54"/>
        <v>42437</v>
      </c>
      <c r="I595" s="221">
        <f>ROUND(E595+(E595*$P$627),2)</f>
        <v>11.67</v>
      </c>
      <c r="J595" s="208"/>
      <c r="K595" s="205">
        <f>K646+K697</f>
        <v>50858</v>
      </c>
      <c r="M595" s="81">
        <f>I595*D595</f>
        <v>46633.32</v>
      </c>
      <c r="N595" s="260"/>
      <c r="O595" s="14">
        <f>(I595-E595)/E595</f>
        <v>9.8870056497175215E-2</v>
      </c>
      <c r="V595" s="20"/>
      <c r="W595" s="20"/>
      <c r="X595" s="20"/>
      <c r="Y595" s="20"/>
      <c r="Z595" s="20"/>
      <c r="AA595" s="20"/>
      <c r="AB595" s="20"/>
      <c r="AC595" s="20"/>
    </row>
    <row r="596" spans="1:29">
      <c r="A596" s="193" t="s">
        <v>448</v>
      </c>
      <c r="B596" s="1"/>
      <c r="C596" s="203">
        <f t="shared" si="53"/>
        <v>157</v>
      </c>
      <c r="D596" s="203">
        <f t="shared" si="53"/>
        <v>144</v>
      </c>
      <c r="E596" s="221">
        <v>59.61</v>
      </c>
      <c r="F596" s="208"/>
      <c r="G596" s="205">
        <f t="shared" si="54"/>
        <v>9359</v>
      </c>
      <c r="H596" s="205">
        <f t="shared" si="54"/>
        <v>8584</v>
      </c>
      <c r="I596" s="221">
        <f>ROUND(E596+(E596*$P$627),2)</f>
        <v>65.48</v>
      </c>
      <c r="J596" s="208"/>
      <c r="K596" s="205">
        <f>K647+K698</f>
        <v>10280</v>
      </c>
      <c r="M596" s="81">
        <f>I596*D596</f>
        <v>9429.1200000000008</v>
      </c>
      <c r="N596" s="66"/>
      <c r="O596" s="14">
        <f>(I596-E596)/E596</f>
        <v>9.8473410501593764E-2</v>
      </c>
      <c r="V596" s="20"/>
      <c r="W596" s="20"/>
      <c r="X596" s="20"/>
      <c r="Y596" s="20"/>
      <c r="Z596" s="20"/>
      <c r="AA596" s="20"/>
      <c r="AB596" s="20"/>
      <c r="AC596" s="20"/>
    </row>
    <row r="597" spans="1:29">
      <c r="A597" s="193" t="s">
        <v>449</v>
      </c>
      <c r="B597" s="1"/>
      <c r="C597" s="203">
        <f t="shared" si="53"/>
        <v>1937</v>
      </c>
      <c r="D597" s="203">
        <f t="shared" si="53"/>
        <v>1778</v>
      </c>
      <c r="E597" s="221">
        <v>119.22</v>
      </c>
      <c r="F597" s="208"/>
      <c r="G597" s="205">
        <f t="shared" si="54"/>
        <v>230930</v>
      </c>
      <c r="H597" s="205">
        <f t="shared" si="54"/>
        <v>211973</v>
      </c>
      <c r="I597" s="221">
        <f>ROUND(E597+(E597*$P$627),2)</f>
        <v>130.96</v>
      </c>
      <c r="J597" s="208"/>
      <c r="K597" s="205">
        <f>K648+K699</f>
        <v>253669</v>
      </c>
      <c r="M597" s="81">
        <f>I597*D597</f>
        <v>232846.88</v>
      </c>
      <c r="N597" s="66"/>
      <c r="O597" s="14">
        <f>(I597-E597)/E597</f>
        <v>9.8473410501593764E-2</v>
      </c>
      <c r="V597" s="20"/>
      <c r="W597" s="20"/>
      <c r="X597" s="20"/>
      <c r="Y597" s="20"/>
      <c r="Z597" s="20"/>
      <c r="AA597" s="20"/>
      <c r="AB597" s="20"/>
      <c r="AC597" s="20"/>
    </row>
    <row r="598" spans="1:29">
      <c r="A598" s="193" t="s">
        <v>450</v>
      </c>
      <c r="B598" s="1"/>
      <c r="C598" s="203"/>
      <c r="D598" s="203"/>
      <c r="E598" s="221"/>
      <c r="F598" s="208"/>
      <c r="G598" s="205"/>
      <c r="H598" s="205"/>
      <c r="I598" s="221"/>
      <c r="J598" s="208"/>
      <c r="K598" s="205"/>
      <c r="M598" s="66"/>
      <c r="N598" s="66"/>
      <c r="O598" s="3"/>
      <c r="V598" s="20"/>
      <c r="W598" s="20"/>
      <c r="X598" s="20"/>
      <c r="Y598" s="20"/>
      <c r="Z598" s="20"/>
      <c r="AA598" s="20"/>
      <c r="AB598" s="20"/>
      <c r="AC598" s="20"/>
    </row>
    <row r="599" spans="1:29">
      <c r="A599" s="193" t="s">
        <v>445</v>
      </c>
      <c r="B599" s="1"/>
      <c r="C599" s="203">
        <f>C650+C701</f>
        <v>96</v>
      </c>
      <c r="D599" s="203">
        <f>D650+D701</f>
        <v>88</v>
      </c>
      <c r="E599" s="247">
        <f>-E591</f>
        <v>-19.87</v>
      </c>
      <c r="F599" s="208"/>
      <c r="G599" s="205">
        <f>G650+G701</f>
        <v>-1908</v>
      </c>
      <c r="H599" s="205">
        <f>H650+H701</f>
        <v>-1748</v>
      </c>
      <c r="I599" s="247">
        <f>-I591</f>
        <v>-21.83</v>
      </c>
      <c r="J599" s="208"/>
      <c r="K599" s="205">
        <f>K650+K701</f>
        <v>-2096</v>
      </c>
      <c r="M599" s="81">
        <f>I599*D599</f>
        <v>-1921.04</v>
      </c>
      <c r="N599" s="66"/>
      <c r="O599" s="3"/>
      <c r="V599" s="20"/>
      <c r="W599" s="20"/>
      <c r="X599" s="20"/>
      <c r="Y599" s="20"/>
      <c r="Z599" s="20"/>
      <c r="AA599" s="20"/>
      <c r="AB599" s="20"/>
      <c r="AC599" s="20"/>
    </row>
    <row r="600" spans="1:29">
      <c r="A600" s="193" t="s">
        <v>451</v>
      </c>
      <c r="B600" s="1"/>
      <c r="C600" s="203">
        <f>C651+C702</f>
        <v>12387</v>
      </c>
      <c r="D600" s="203">
        <f>D651+D702</f>
        <v>11369</v>
      </c>
      <c r="E600" s="247">
        <f>-E593</f>
        <v>-19.87</v>
      </c>
      <c r="F600" s="208"/>
      <c r="G600" s="205">
        <f>G651+G702</f>
        <v>-246129</v>
      </c>
      <c r="H600" s="205">
        <f>H651+H702</f>
        <v>-225902</v>
      </c>
      <c r="I600" s="247">
        <f>-I593</f>
        <v>-21.83</v>
      </c>
      <c r="J600" s="208"/>
      <c r="K600" s="205">
        <f>K651+K702</f>
        <v>-270408</v>
      </c>
      <c r="M600" s="81">
        <f>I600*D600</f>
        <v>-248185.27</v>
      </c>
      <c r="N600" s="66"/>
      <c r="O600" s="3"/>
      <c r="V600" s="20"/>
      <c r="W600" s="20"/>
      <c r="X600" s="20"/>
      <c r="Y600" s="20"/>
      <c r="Z600" s="20"/>
      <c r="AA600" s="20"/>
      <c r="AB600" s="20"/>
      <c r="AC600" s="20"/>
    </row>
    <row r="601" spans="1:29">
      <c r="A601" s="207" t="s">
        <v>414</v>
      </c>
      <c r="B601" s="1"/>
      <c r="C601" s="203"/>
      <c r="D601" s="203"/>
      <c r="E601" s="221"/>
      <c r="F601" s="205"/>
      <c r="G601" s="205"/>
      <c r="H601" s="205"/>
      <c r="I601" s="221"/>
      <c r="J601" s="205"/>
      <c r="K601" s="205"/>
      <c r="M601" s="66"/>
      <c r="N601" s="66"/>
      <c r="O601" s="3"/>
      <c r="Q601" s="3" t="s">
        <v>31</v>
      </c>
      <c r="V601" s="20"/>
      <c r="W601" s="20"/>
      <c r="X601" s="20"/>
      <c r="Y601" s="20"/>
      <c r="Z601" s="20"/>
      <c r="AA601" s="20"/>
      <c r="AB601" s="20"/>
      <c r="AC601" s="20"/>
    </row>
    <row r="602" spans="1:29">
      <c r="A602" s="193" t="s">
        <v>452</v>
      </c>
      <c r="B602" s="1"/>
      <c r="C602" s="203">
        <f>C653+C704</f>
        <v>164697090</v>
      </c>
      <c r="D602" s="203">
        <f>D653+D704</f>
        <v>151116862</v>
      </c>
      <c r="E602" s="267">
        <v>5.3710000000000004</v>
      </c>
      <c r="F602" s="205" t="s">
        <v>362</v>
      </c>
      <c r="G602" s="205">
        <f>G653+G704</f>
        <v>8845880</v>
      </c>
      <c r="H602" s="205">
        <f>H653+H704</f>
        <v>8116487</v>
      </c>
      <c r="I602" s="267">
        <f>ROUND(E602+(E602*$P$627),3)</f>
        <v>5.9</v>
      </c>
      <c r="J602" s="205" t="s">
        <v>362</v>
      </c>
      <c r="K602" s="205">
        <f>K653+K704</f>
        <v>9717128</v>
      </c>
      <c r="M602" s="81">
        <f>(I602/100)*D602</f>
        <v>8915894.8580000009</v>
      </c>
      <c r="N602" s="222"/>
      <c r="O602" s="14">
        <f>(I602-E602)/E602</f>
        <v>9.8491900949543826E-2</v>
      </c>
      <c r="V602" s="20"/>
      <c r="W602" s="20"/>
      <c r="X602" s="20"/>
      <c r="Y602" s="20"/>
      <c r="Z602" s="20"/>
      <c r="AA602" s="20"/>
      <c r="AB602" s="20"/>
      <c r="AC602" s="20"/>
    </row>
    <row r="603" spans="1:29">
      <c r="A603" s="207" t="s">
        <v>388</v>
      </c>
      <c r="B603" s="1"/>
      <c r="C603" s="203">
        <f>C654+C705</f>
        <v>28883</v>
      </c>
      <c r="D603" s="203">
        <f>D654+D705</f>
        <v>26506</v>
      </c>
      <c r="E603" s="412">
        <v>45</v>
      </c>
      <c r="F603" s="207" t="s">
        <v>362</v>
      </c>
      <c r="G603" s="205">
        <f>G654+G705</f>
        <v>12997</v>
      </c>
      <c r="H603" s="205">
        <f>H654+H705</f>
        <v>11928</v>
      </c>
      <c r="I603" s="362">
        <v>50</v>
      </c>
      <c r="J603" s="207" t="s">
        <v>362</v>
      </c>
      <c r="K603" s="205">
        <f>K654+K705</f>
        <v>14442</v>
      </c>
      <c r="M603" s="81">
        <f>(I603/100)*D603</f>
        <v>13253</v>
      </c>
      <c r="O603" s="14">
        <f>(I603-E603)/E603</f>
        <v>0.1111111111111111</v>
      </c>
      <c r="V603" s="20"/>
      <c r="W603" s="20"/>
      <c r="X603" s="20"/>
      <c r="Y603" s="20"/>
      <c r="Z603" s="20"/>
      <c r="AA603" s="20"/>
      <c r="AB603" s="20"/>
      <c r="AC603" s="20"/>
    </row>
    <row r="604" spans="1:29">
      <c r="A604" s="244" t="s">
        <v>389</v>
      </c>
      <c r="B604" s="1"/>
      <c r="C604" s="203"/>
      <c r="D604" s="203"/>
      <c r="E604" s="216">
        <v>-0.01</v>
      </c>
      <c r="F604" s="2"/>
      <c r="G604" s="205"/>
      <c r="H604" s="205"/>
      <c r="I604" s="216">
        <v>-0.01</v>
      </c>
      <c r="J604" s="1"/>
      <c r="K604" s="205"/>
      <c r="V604" s="20"/>
      <c r="W604" s="20"/>
      <c r="X604" s="20"/>
      <c r="Y604" s="20"/>
      <c r="Z604" s="20"/>
      <c r="AA604" s="20"/>
      <c r="AB604" s="20"/>
      <c r="AC604" s="20"/>
    </row>
    <row r="605" spans="1:29">
      <c r="A605" s="193" t="s">
        <v>378</v>
      </c>
      <c r="B605" s="1"/>
      <c r="C605" s="203">
        <f>C656+C707</f>
        <v>0</v>
      </c>
      <c r="D605" s="203">
        <f>D656+D707</f>
        <v>0</v>
      </c>
      <c r="E605" s="268">
        <f>E582</f>
        <v>0</v>
      </c>
      <c r="F605" s="208"/>
      <c r="G605" s="205">
        <f>G656+G707</f>
        <v>0</v>
      </c>
      <c r="H605" s="205">
        <f>H656+H707</f>
        <v>0</v>
      </c>
      <c r="I605" s="268">
        <f>I582</f>
        <v>0</v>
      </c>
      <c r="J605" s="208"/>
      <c r="K605" s="205">
        <f>K656+K707</f>
        <v>0</v>
      </c>
      <c r="M605" s="81">
        <f>-(I605/100)*D605</f>
        <v>0</v>
      </c>
      <c r="V605" s="20"/>
      <c r="W605" s="20"/>
      <c r="X605" s="20"/>
      <c r="Y605" s="20"/>
      <c r="Z605" s="20"/>
      <c r="AA605" s="20"/>
      <c r="AB605" s="20"/>
      <c r="AC605" s="20"/>
    </row>
    <row r="606" spans="1:29">
      <c r="A606" s="193" t="s">
        <v>379</v>
      </c>
      <c r="B606" s="1"/>
      <c r="C606" s="203"/>
      <c r="D606" s="203"/>
      <c r="E606" s="268"/>
      <c r="F606" s="208"/>
      <c r="G606" s="205"/>
      <c r="H606" s="205"/>
      <c r="I606" s="268"/>
      <c r="J606" s="208"/>
      <c r="K606" s="205"/>
      <c r="V606" s="20"/>
      <c r="W606" s="20"/>
      <c r="X606" s="20"/>
      <c r="Y606" s="20"/>
      <c r="Z606" s="20"/>
      <c r="AA606" s="20"/>
      <c r="AB606" s="20"/>
      <c r="AC606" s="20"/>
    </row>
    <row r="607" spans="1:29">
      <c r="A607" s="193" t="s">
        <v>440</v>
      </c>
      <c r="B607" s="1"/>
      <c r="C607" s="203">
        <f t="shared" ref="C607:D610" si="55">C658+C709</f>
        <v>1</v>
      </c>
      <c r="D607" s="203">
        <f t="shared" si="55"/>
        <v>1</v>
      </c>
      <c r="E607" s="268">
        <f>E584</f>
        <v>0</v>
      </c>
      <c r="F607" s="208"/>
      <c r="G607" s="205">
        <f t="shared" ref="G607:H610" si="56">G658+G709</f>
        <v>0</v>
      </c>
      <c r="H607" s="205">
        <f t="shared" si="56"/>
        <v>0</v>
      </c>
      <c r="I607" s="268">
        <f>I584</f>
        <v>0</v>
      </c>
      <c r="J607" s="208"/>
      <c r="K607" s="205">
        <f>K658+K709</f>
        <v>0</v>
      </c>
      <c r="M607" s="81">
        <f>-(I607/100)*D607</f>
        <v>0</v>
      </c>
      <c r="V607" s="20"/>
      <c r="W607" s="20"/>
      <c r="X607" s="20"/>
      <c r="Y607" s="20"/>
      <c r="Z607" s="20"/>
      <c r="AA607" s="20"/>
      <c r="AB607" s="20"/>
      <c r="AC607" s="20"/>
    </row>
    <row r="608" spans="1:29">
      <c r="A608" s="193" t="s">
        <v>441</v>
      </c>
      <c r="B608" s="1"/>
      <c r="C608" s="203">
        <f t="shared" si="55"/>
        <v>0</v>
      </c>
      <c r="D608" s="203">
        <f t="shared" si="55"/>
        <v>0</v>
      </c>
      <c r="E608" s="268">
        <f>E585</f>
        <v>301</v>
      </c>
      <c r="F608" s="208"/>
      <c r="G608" s="205">
        <f t="shared" si="56"/>
        <v>0</v>
      </c>
      <c r="H608" s="205">
        <f t="shared" si="56"/>
        <v>0</v>
      </c>
      <c r="I608" s="268">
        <f>I585</f>
        <v>333</v>
      </c>
      <c r="J608" s="208"/>
      <c r="K608" s="205">
        <f>K659+K710</f>
        <v>0</v>
      </c>
      <c r="M608" s="81">
        <f>-(I608/100)*D608</f>
        <v>0</v>
      </c>
      <c r="V608" s="20"/>
      <c r="W608" s="20"/>
      <c r="X608" s="20"/>
      <c r="Y608" s="20"/>
      <c r="Z608" s="20"/>
      <c r="AA608" s="20"/>
      <c r="AB608" s="20"/>
      <c r="AC608" s="20"/>
    </row>
    <row r="609" spans="1:29">
      <c r="A609" s="193" t="s">
        <v>442</v>
      </c>
      <c r="B609" s="1"/>
      <c r="C609" s="203">
        <f t="shared" si="55"/>
        <v>0</v>
      </c>
      <c r="D609" s="203">
        <f t="shared" si="55"/>
        <v>0</v>
      </c>
      <c r="E609" s="268">
        <f>E586</f>
        <v>1215</v>
      </c>
      <c r="F609" s="208"/>
      <c r="G609" s="205">
        <f t="shared" si="56"/>
        <v>0</v>
      </c>
      <c r="H609" s="205">
        <f t="shared" si="56"/>
        <v>0</v>
      </c>
      <c r="I609" s="268">
        <f>I586</f>
        <v>1335</v>
      </c>
      <c r="J609" s="208"/>
      <c r="K609" s="205">
        <f>K660+K711</f>
        <v>0</v>
      </c>
      <c r="M609" s="81">
        <f>-(I609/100)*D609</f>
        <v>0</v>
      </c>
      <c r="V609" s="20"/>
      <c r="W609" s="20"/>
      <c r="X609" s="20"/>
      <c r="Y609" s="20"/>
      <c r="Z609" s="20"/>
      <c r="AA609" s="20"/>
      <c r="AB609" s="20"/>
      <c r="AC609" s="20"/>
    </row>
    <row r="610" spans="1:29">
      <c r="A610" s="193" t="s">
        <v>378</v>
      </c>
      <c r="B610" s="1"/>
      <c r="C610" s="203">
        <f t="shared" si="55"/>
        <v>0</v>
      </c>
      <c r="D610" s="203">
        <f t="shared" si="55"/>
        <v>0</v>
      </c>
      <c r="E610" s="268">
        <f>E591</f>
        <v>19.87</v>
      </c>
      <c r="F610" s="208"/>
      <c r="G610" s="205">
        <f t="shared" si="56"/>
        <v>0</v>
      </c>
      <c r="H610" s="205">
        <f t="shared" si="56"/>
        <v>0</v>
      </c>
      <c r="I610" s="268">
        <f>I591</f>
        <v>21.83</v>
      </c>
      <c r="J610" s="208"/>
      <c r="K610" s="205">
        <f>K661+K712</f>
        <v>0</v>
      </c>
      <c r="M610" s="81">
        <f>-(I610/100)*D610</f>
        <v>0</v>
      </c>
      <c r="V610" s="20"/>
      <c r="W610" s="20"/>
      <c r="X610" s="20"/>
      <c r="Y610" s="20"/>
      <c r="Z610" s="20"/>
      <c r="AA610" s="20"/>
      <c r="AB610" s="20"/>
      <c r="AC610" s="20"/>
    </row>
    <row r="611" spans="1:29">
      <c r="A611" s="193" t="s">
        <v>379</v>
      </c>
      <c r="B611" s="1"/>
      <c r="C611" s="203"/>
      <c r="D611" s="203"/>
      <c r="E611" s="268"/>
      <c r="F611" s="208"/>
      <c r="G611" s="205"/>
      <c r="H611" s="205"/>
      <c r="I611" s="268"/>
      <c r="J611" s="208"/>
      <c r="K611" s="205"/>
      <c r="V611" s="20"/>
      <c r="W611" s="20"/>
      <c r="X611" s="20"/>
      <c r="Y611" s="20"/>
      <c r="Z611" s="20"/>
      <c r="AA611" s="20"/>
      <c r="AB611" s="20"/>
      <c r="AC611" s="20"/>
    </row>
    <row r="612" spans="1:29">
      <c r="A612" s="193" t="s">
        <v>440</v>
      </c>
      <c r="B612" s="1"/>
      <c r="C612" s="203">
        <f t="shared" ref="C612:D616" si="57">C663+C714</f>
        <v>40</v>
      </c>
      <c r="D612" s="203">
        <f t="shared" si="57"/>
        <v>36</v>
      </c>
      <c r="E612" s="268">
        <f>E593</f>
        <v>19.87</v>
      </c>
      <c r="F612" s="208"/>
      <c r="G612" s="205">
        <f t="shared" ref="G612:H616" si="58">G663+G714</f>
        <v>-8</v>
      </c>
      <c r="H612" s="205">
        <f t="shared" si="58"/>
        <v>-7</v>
      </c>
      <c r="I612" s="268">
        <f>I593</f>
        <v>21.83</v>
      </c>
      <c r="J612" s="208"/>
      <c r="K612" s="205">
        <f>K663+K714</f>
        <v>-9</v>
      </c>
      <c r="M612" s="81">
        <f>-(I612/100)*D612</f>
        <v>-7.8587999999999996</v>
      </c>
      <c r="V612" s="20"/>
      <c r="W612" s="20"/>
      <c r="X612" s="20"/>
      <c r="Y612" s="20"/>
      <c r="Z612" s="20"/>
      <c r="AA612" s="20"/>
      <c r="AB612" s="20"/>
      <c r="AC612" s="20"/>
    </row>
    <row r="613" spans="1:29">
      <c r="A613" s="193" t="s">
        <v>441</v>
      </c>
      <c r="B613" s="1"/>
      <c r="C613" s="203">
        <f t="shared" si="57"/>
        <v>0</v>
      </c>
      <c r="D613" s="203">
        <f t="shared" si="57"/>
        <v>0</v>
      </c>
      <c r="E613" s="268">
        <f>E594</f>
        <v>13.64</v>
      </c>
      <c r="F613" s="208"/>
      <c r="G613" s="205">
        <f t="shared" si="58"/>
        <v>0</v>
      </c>
      <c r="H613" s="205">
        <f t="shared" si="58"/>
        <v>0</v>
      </c>
      <c r="I613" s="268">
        <f>I594</f>
        <v>14.98</v>
      </c>
      <c r="J613" s="208"/>
      <c r="K613" s="205">
        <f>K664+K715</f>
        <v>0</v>
      </c>
      <c r="M613" s="81">
        <f>-(I613/100)*D613</f>
        <v>0</v>
      </c>
      <c r="V613" s="20"/>
      <c r="W613" s="20"/>
      <c r="X613" s="20"/>
      <c r="Y613" s="20"/>
      <c r="Z613" s="20"/>
      <c r="AA613" s="20"/>
      <c r="AB613" s="20"/>
      <c r="AC613" s="20"/>
    </row>
    <row r="614" spans="1:29">
      <c r="A614" s="193" t="s">
        <v>442</v>
      </c>
      <c r="B614" s="1"/>
      <c r="C614" s="203">
        <f t="shared" si="57"/>
        <v>0</v>
      </c>
      <c r="D614" s="203">
        <f t="shared" si="57"/>
        <v>0</v>
      </c>
      <c r="E614" s="268">
        <f>E595</f>
        <v>10.62</v>
      </c>
      <c r="F614" s="208"/>
      <c r="G614" s="205">
        <f t="shared" si="58"/>
        <v>0</v>
      </c>
      <c r="H614" s="205">
        <f t="shared" si="58"/>
        <v>0</v>
      </c>
      <c r="I614" s="268">
        <f>I595</f>
        <v>11.67</v>
      </c>
      <c r="J614" s="208"/>
      <c r="K614" s="205">
        <f>K665+K716</f>
        <v>0</v>
      </c>
      <c r="M614" s="81">
        <f>-(I614/100)*D614</f>
        <v>0</v>
      </c>
      <c r="V614" s="20"/>
      <c r="W614" s="20"/>
      <c r="X614" s="20"/>
      <c r="Y614" s="20"/>
      <c r="Z614" s="20"/>
      <c r="AA614" s="20"/>
      <c r="AB614" s="20"/>
      <c r="AC614" s="20"/>
    </row>
    <row r="615" spans="1:29">
      <c r="A615" s="193" t="s">
        <v>453</v>
      </c>
      <c r="B615" s="1"/>
      <c r="C615" s="203">
        <f t="shared" si="57"/>
        <v>0</v>
      </c>
      <c r="D615" s="203">
        <f t="shared" si="57"/>
        <v>0</v>
      </c>
      <c r="E615" s="237">
        <f>E596</f>
        <v>59.61</v>
      </c>
      <c r="F615" s="208"/>
      <c r="G615" s="205">
        <f t="shared" si="58"/>
        <v>0</v>
      </c>
      <c r="H615" s="205">
        <f t="shared" si="58"/>
        <v>0</v>
      </c>
      <c r="I615" s="237">
        <f>I596</f>
        <v>65.48</v>
      </c>
      <c r="J615" s="208"/>
      <c r="K615" s="205">
        <f>K666+K717</f>
        <v>0</v>
      </c>
      <c r="M615" s="81">
        <f>-(I615/100)*D615</f>
        <v>0</v>
      </c>
      <c r="V615" s="20"/>
      <c r="W615" s="20"/>
      <c r="X615" s="20"/>
      <c r="Y615" s="20"/>
      <c r="Z615" s="20"/>
      <c r="AA615" s="20"/>
      <c r="AB615" s="20"/>
      <c r="AC615" s="20"/>
    </row>
    <row r="616" spans="1:29">
      <c r="A616" s="193" t="s">
        <v>454</v>
      </c>
      <c r="B616" s="1"/>
      <c r="C616" s="203">
        <f t="shared" si="57"/>
        <v>0</v>
      </c>
      <c r="D616" s="203">
        <f t="shared" si="57"/>
        <v>0</v>
      </c>
      <c r="E616" s="237">
        <f>E597</f>
        <v>119.22</v>
      </c>
      <c r="F616" s="208"/>
      <c r="G616" s="205">
        <f t="shared" si="58"/>
        <v>0</v>
      </c>
      <c r="H616" s="205">
        <f t="shared" si="58"/>
        <v>0</v>
      </c>
      <c r="I616" s="237">
        <f>I597</f>
        <v>130.96</v>
      </c>
      <c r="J616" s="208"/>
      <c r="K616" s="205">
        <f>K667+K718</f>
        <v>0</v>
      </c>
      <c r="M616" s="81">
        <f>-(I616/100)*D616</f>
        <v>0</v>
      </c>
      <c r="V616" s="20"/>
      <c r="W616" s="20"/>
      <c r="X616" s="20"/>
      <c r="Y616" s="20"/>
      <c r="Z616" s="20"/>
      <c r="AA616" s="20"/>
      <c r="AB616" s="20"/>
      <c r="AC616" s="20"/>
    </row>
    <row r="617" spans="1:29">
      <c r="A617" s="193" t="s">
        <v>450</v>
      </c>
      <c r="B617" s="1"/>
      <c r="C617" s="203"/>
      <c r="D617" s="203"/>
      <c r="E617" s="221"/>
      <c r="F617" s="208"/>
      <c r="G617" s="205"/>
      <c r="H617" s="205"/>
      <c r="I617" s="221"/>
      <c r="J617" s="208"/>
      <c r="K617" s="205"/>
      <c r="V617" s="20"/>
      <c r="W617" s="20"/>
      <c r="X617" s="20"/>
      <c r="Y617" s="20"/>
      <c r="Z617" s="20"/>
      <c r="AA617" s="20"/>
      <c r="AB617" s="20"/>
      <c r="AC617" s="20"/>
    </row>
    <row r="618" spans="1:29">
      <c r="A618" s="193" t="s">
        <v>445</v>
      </c>
      <c r="B618" s="1"/>
      <c r="C618" s="203">
        <f>C669+C720</f>
        <v>0</v>
      </c>
      <c r="D618" s="203">
        <f>D669+D720</f>
        <v>0</v>
      </c>
      <c r="E618" s="247">
        <f>E599</f>
        <v>-19.87</v>
      </c>
      <c r="F618" s="208"/>
      <c r="G618" s="205">
        <f>G669+G720</f>
        <v>0</v>
      </c>
      <c r="H618" s="205">
        <f>H669+H720</f>
        <v>0</v>
      </c>
      <c r="I618" s="247">
        <f>I599</f>
        <v>-21.83</v>
      </c>
      <c r="J618" s="208"/>
      <c r="K618" s="205">
        <f>K669+K720</f>
        <v>0</v>
      </c>
      <c r="M618" s="81">
        <f>-(I618/100)*D618</f>
        <v>0</v>
      </c>
      <c r="V618" s="20"/>
      <c r="W618" s="20"/>
      <c r="X618" s="20"/>
      <c r="Y618" s="20"/>
      <c r="Z618" s="20"/>
      <c r="AA618" s="20"/>
      <c r="AB618" s="20"/>
      <c r="AC618" s="20"/>
    </row>
    <row r="619" spans="1:29">
      <c r="A619" s="193" t="s">
        <v>451</v>
      </c>
      <c r="B619" s="1"/>
      <c r="C619" s="203">
        <f>C670+C721</f>
        <v>0</v>
      </c>
      <c r="D619" s="203">
        <f>D670+D721</f>
        <v>0</v>
      </c>
      <c r="E619" s="247">
        <f>E600</f>
        <v>-19.87</v>
      </c>
      <c r="F619" s="208"/>
      <c r="G619" s="205">
        <f>G670+G721</f>
        <v>0</v>
      </c>
      <c r="H619" s="205">
        <f>H670+H721</f>
        <v>0</v>
      </c>
      <c r="I619" s="247">
        <f>I600</f>
        <v>-21.83</v>
      </c>
      <c r="J619" s="208"/>
      <c r="K619" s="205">
        <f>K670+K721</f>
        <v>0</v>
      </c>
      <c r="M619" s="81">
        <f>-(I619/100)*D619</f>
        <v>0</v>
      </c>
      <c r="V619" s="20"/>
      <c r="W619" s="20"/>
      <c r="X619" s="20"/>
      <c r="Y619" s="20"/>
      <c r="Z619" s="20"/>
      <c r="AA619" s="20"/>
      <c r="AB619" s="20"/>
      <c r="AC619" s="20"/>
    </row>
    <row r="620" spans="1:29">
      <c r="A620" s="207" t="s">
        <v>414</v>
      </c>
      <c r="B620" s="1"/>
      <c r="C620" s="203"/>
      <c r="D620" s="203"/>
      <c r="E620" s="268"/>
      <c r="F620" s="205"/>
      <c r="G620" s="205"/>
      <c r="H620" s="205"/>
      <c r="I620" s="268"/>
      <c r="J620" s="205"/>
      <c r="K620" s="205"/>
      <c r="V620" s="20"/>
      <c r="W620" s="20"/>
      <c r="X620" s="20"/>
      <c r="Y620" s="20"/>
      <c r="Z620" s="20"/>
      <c r="AA620" s="20"/>
      <c r="AB620" s="20"/>
      <c r="AC620" s="20"/>
    </row>
    <row r="621" spans="1:29">
      <c r="A621" s="193" t="s">
        <v>452</v>
      </c>
      <c r="B621" s="1"/>
      <c r="C621" s="203">
        <f t="shared" ref="C621:D626" si="59">C672+C723</f>
        <v>25216</v>
      </c>
      <c r="D621" s="203">
        <f t="shared" si="59"/>
        <v>22993</v>
      </c>
      <c r="E621" s="269">
        <f>E602</f>
        <v>5.3710000000000004</v>
      </c>
      <c r="F621" s="205" t="s">
        <v>362</v>
      </c>
      <c r="G621" s="205">
        <f t="shared" ref="G621:H626" si="60">G672+G723</f>
        <v>-14</v>
      </c>
      <c r="H621" s="205">
        <f t="shared" si="60"/>
        <v>-12</v>
      </c>
      <c r="I621" s="269">
        <f>I602</f>
        <v>5.9</v>
      </c>
      <c r="J621" s="205" t="s">
        <v>362</v>
      </c>
      <c r="K621" s="205">
        <f>K672+K723</f>
        <v>-15</v>
      </c>
      <c r="M621" s="81">
        <f>-((I621/100)*D621)/100</f>
        <v>-13.56587</v>
      </c>
      <c r="V621" s="20"/>
      <c r="W621" s="20"/>
      <c r="X621" s="20"/>
      <c r="Y621" s="20"/>
      <c r="Z621" s="20"/>
      <c r="AA621" s="20"/>
      <c r="AB621" s="20"/>
      <c r="AC621" s="20"/>
    </row>
    <row r="622" spans="1:29">
      <c r="A622" s="207" t="s">
        <v>388</v>
      </c>
      <c r="B622" s="1"/>
      <c r="C622" s="203">
        <f t="shared" si="59"/>
        <v>0</v>
      </c>
      <c r="D622" s="203">
        <f t="shared" si="59"/>
        <v>0</v>
      </c>
      <c r="E622" s="259">
        <f>E603</f>
        <v>45</v>
      </c>
      <c r="F622" s="205" t="s">
        <v>362</v>
      </c>
      <c r="G622" s="205">
        <f t="shared" si="60"/>
        <v>0</v>
      </c>
      <c r="H622" s="205">
        <f t="shared" si="60"/>
        <v>0</v>
      </c>
      <c r="I622" s="259">
        <f>I603</f>
        <v>50</v>
      </c>
      <c r="J622" s="207" t="s">
        <v>362</v>
      </c>
      <c r="K622" s="205">
        <f>K673+K724</f>
        <v>0</v>
      </c>
      <c r="M622" s="81">
        <f>-((I622/100)*D622)/100</f>
        <v>0</v>
      </c>
      <c r="V622" s="20"/>
      <c r="W622" s="20"/>
      <c r="X622" s="20"/>
      <c r="Y622" s="20"/>
      <c r="Z622" s="20"/>
      <c r="AA622" s="20"/>
      <c r="AB622" s="20"/>
      <c r="AC622" s="20"/>
    </row>
    <row r="623" spans="1:29">
      <c r="A623" s="207" t="s">
        <v>431</v>
      </c>
      <c r="B623" s="1"/>
      <c r="C623" s="203">
        <f t="shared" si="59"/>
        <v>12</v>
      </c>
      <c r="D623" s="203">
        <f t="shared" si="59"/>
        <v>12</v>
      </c>
      <c r="E623" s="221">
        <f>'Blocking - detail'!E623</f>
        <v>60</v>
      </c>
      <c r="F623" s="248" t="s">
        <v>31</v>
      </c>
      <c r="G623" s="205">
        <f t="shared" si="60"/>
        <v>720</v>
      </c>
      <c r="H623" s="205">
        <f t="shared" si="60"/>
        <v>720</v>
      </c>
      <c r="I623" s="221">
        <f>'Blocking - detail'!I623</f>
        <v>60</v>
      </c>
      <c r="J623" s="1"/>
      <c r="K623" s="205">
        <f>K674+K725</f>
        <v>720</v>
      </c>
      <c r="M623" s="81">
        <f>I623*D623</f>
        <v>720</v>
      </c>
      <c r="V623" s="20"/>
      <c r="W623" s="20"/>
      <c r="X623" s="20"/>
      <c r="Y623" s="20"/>
      <c r="Z623" s="20"/>
      <c r="AA623" s="20"/>
      <c r="AB623" s="20"/>
      <c r="AC623" s="20"/>
    </row>
    <row r="624" spans="1:29">
      <c r="A624" s="207" t="s">
        <v>432</v>
      </c>
      <c r="B624" s="1"/>
      <c r="C624" s="203">
        <f t="shared" si="59"/>
        <v>320</v>
      </c>
      <c r="D624" s="203">
        <f t="shared" si="59"/>
        <v>292</v>
      </c>
      <c r="E624" s="362">
        <f>'Blocking - detail'!E624</f>
        <v>-30</v>
      </c>
      <c r="F624" s="205" t="s">
        <v>362</v>
      </c>
      <c r="G624" s="205">
        <f t="shared" si="60"/>
        <v>-96</v>
      </c>
      <c r="H624" s="205">
        <f t="shared" si="60"/>
        <v>-88</v>
      </c>
      <c r="I624" s="362">
        <f>'Blocking - detail'!I624</f>
        <v>-30</v>
      </c>
      <c r="J624" s="205" t="s">
        <v>362</v>
      </c>
      <c r="K624" s="205">
        <f>K675+K726</f>
        <v>-96</v>
      </c>
      <c r="M624" s="81">
        <f>(I624/100)*D624</f>
        <v>-87.6</v>
      </c>
      <c r="V624" s="20"/>
      <c r="W624" s="20"/>
      <c r="X624" s="20"/>
      <c r="Y624" s="20"/>
      <c r="Z624" s="20"/>
      <c r="AA624" s="20"/>
      <c r="AB624" s="20"/>
      <c r="AC624" s="20"/>
    </row>
    <row r="625" spans="1:29">
      <c r="A625" s="1" t="s">
        <v>369</v>
      </c>
      <c r="B625" s="1"/>
      <c r="C625" s="203">
        <f t="shared" si="59"/>
        <v>164697090</v>
      </c>
      <c r="D625" s="203">
        <f t="shared" si="59"/>
        <v>151116862.53785235</v>
      </c>
      <c r="E625" s="214"/>
      <c r="F625" s="2"/>
      <c r="G625" s="2">
        <f t="shared" si="60"/>
        <v>10743902</v>
      </c>
      <c r="H625" s="2">
        <f t="shared" si="60"/>
        <v>9869762</v>
      </c>
      <c r="I625" s="2"/>
      <c r="J625" s="207"/>
      <c r="K625" s="2">
        <f>K676+K727</f>
        <v>11803134</v>
      </c>
      <c r="M625" s="81">
        <f>SUM(M582:M624)</f>
        <v>10842888.273330001</v>
      </c>
      <c r="P625" s="160"/>
      <c r="V625" s="20"/>
      <c r="W625" s="20"/>
      <c r="X625" s="20"/>
      <c r="Y625" s="20"/>
      <c r="Z625" s="20"/>
      <c r="AA625" s="20"/>
      <c r="AB625" s="20"/>
      <c r="AC625" s="20"/>
    </row>
    <row r="626" spans="1:29">
      <c r="A626" s="1" t="s">
        <v>351</v>
      </c>
      <c r="B626" s="1"/>
      <c r="C626" s="224" t="e">
        <f t="shared" si="59"/>
        <v>#REF!</v>
      </c>
      <c r="D626" s="224">
        <f t="shared" si="59"/>
        <v>0</v>
      </c>
      <c r="E626" s="193"/>
      <c r="F626" s="193"/>
      <c r="G626" s="194" t="e">
        <f t="shared" si="60"/>
        <v>#REF!</v>
      </c>
      <c r="H626" s="194">
        <f t="shared" si="60"/>
        <v>0</v>
      </c>
      <c r="I626" s="193"/>
      <c r="J626" s="193"/>
      <c r="K626" s="194" t="e">
        <f>G626</f>
        <v>#REF!</v>
      </c>
      <c r="V626" s="20"/>
      <c r="W626" s="20"/>
      <c r="X626" s="20"/>
      <c r="Y626" s="20"/>
      <c r="Z626" s="20"/>
      <c r="AA626" s="20"/>
      <c r="AB626" s="20"/>
      <c r="AC626" s="20"/>
    </row>
    <row r="627" spans="1:29" ht="17.25" customHeight="1" thickBot="1">
      <c r="A627" s="1" t="s">
        <v>370</v>
      </c>
      <c r="B627" s="1"/>
      <c r="C627" s="250" t="e">
        <f>SUM(C625:C626)</f>
        <v>#REF!</v>
      </c>
      <c r="D627" s="250">
        <f>SUM(D625:D626)</f>
        <v>151116862.53785235</v>
      </c>
      <c r="E627" s="226"/>
      <c r="F627" s="227"/>
      <c r="G627" s="228" t="e">
        <f>G625+G626</f>
        <v>#REF!</v>
      </c>
      <c r="H627" s="228">
        <f>H625+H626</f>
        <v>9869762</v>
      </c>
      <c r="I627" s="226"/>
      <c r="J627" s="229"/>
      <c r="K627" s="228" t="e">
        <f>K625+K626</f>
        <v>#REF!</v>
      </c>
      <c r="N627" s="3" t="s">
        <v>352</v>
      </c>
      <c r="O627" s="66" t="e">
        <f>#REF!*1000</f>
        <v>#REF!</v>
      </c>
      <c r="P627" s="128">
        <v>9.8500000000000004E-2</v>
      </c>
      <c r="V627" s="20"/>
      <c r="W627" s="20"/>
      <c r="X627" s="20"/>
      <c r="Y627" s="20"/>
      <c r="Z627" s="20"/>
      <c r="AA627" s="20"/>
      <c r="AB627" s="20"/>
      <c r="AC627" s="20"/>
    </row>
    <row r="628" spans="1:29" ht="16.5" thickTop="1">
      <c r="A628" s="1"/>
      <c r="B628" s="1"/>
      <c r="C628" s="25"/>
      <c r="D628" s="25"/>
      <c r="E628" s="235"/>
      <c r="F628" s="236"/>
      <c r="G628" s="206"/>
      <c r="H628" s="206"/>
      <c r="I628" s="270" t="s">
        <v>31</v>
      </c>
      <c r="J628" s="23"/>
      <c r="K628" s="156" t="s">
        <v>31</v>
      </c>
      <c r="N628" s="3" t="s">
        <v>256</v>
      </c>
      <c r="O628" s="66" t="e">
        <f>O627-K627</f>
        <v>#REF!</v>
      </c>
      <c r="P628" s="198" t="e">
        <f>(O627-K627)/(K627-K603-K623-K624)</f>
        <v>#REF!</v>
      </c>
      <c r="V628" s="20"/>
      <c r="W628" s="20"/>
      <c r="X628" s="20"/>
      <c r="Y628" s="20"/>
      <c r="Z628" s="20"/>
      <c r="AA628" s="20"/>
      <c r="AB628" s="20"/>
      <c r="AC628" s="20"/>
    </row>
    <row r="629" spans="1:29">
      <c r="A629" s="177" t="s">
        <v>435</v>
      </c>
      <c r="B629" s="1"/>
      <c r="C629" s="21"/>
      <c r="D629" s="21"/>
      <c r="E629" s="221"/>
      <c r="F629" s="2"/>
      <c r="G629" s="2"/>
      <c r="H629" s="2"/>
      <c r="I629" s="221"/>
      <c r="J629" s="1"/>
      <c r="K629" s="2"/>
      <c r="V629" s="20"/>
      <c r="W629" s="20"/>
      <c r="X629" s="20"/>
      <c r="Y629" s="20"/>
      <c r="Z629" s="20"/>
      <c r="AA629" s="20"/>
      <c r="AB629" s="20"/>
      <c r="AC629" s="20"/>
    </row>
    <row r="630" spans="1:29">
      <c r="A630" s="193" t="s">
        <v>189</v>
      </c>
      <c r="B630" s="1"/>
      <c r="C630" s="21"/>
      <c r="D630" s="21"/>
      <c r="E630" s="221"/>
      <c r="F630" s="2"/>
      <c r="G630" s="2"/>
      <c r="H630" s="2"/>
      <c r="I630" s="221"/>
      <c r="J630" s="1"/>
      <c r="K630" s="2"/>
      <c r="M630" s="81"/>
      <c r="N630" s="81"/>
      <c r="O630" s="230" t="e">
        <f>O628/(K585+K586+K591+K593+K594+K595+K596+K597+K599+K600)</f>
        <v>#REF!</v>
      </c>
      <c r="P630" s="128"/>
      <c r="V630" s="20"/>
      <c r="W630" s="20"/>
      <c r="X630" s="20"/>
      <c r="Y630" s="20"/>
      <c r="Z630" s="20"/>
      <c r="AA630" s="20"/>
      <c r="AB630" s="20"/>
      <c r="AC630" s="20"/>
    </row>
    <row r="631" spans="1:29">
      <c r="A631" s="207"/>
      <c r="B631" s="1"/>
      <c r="C631" s="21"/>
      <c r="D631" s="21"/>
      <c r="E631" s="221"/>
      <c r="F631" s="2"/>
      <c r="G631" s="264"/>
      <c r="H631" s="264"/>
      <c r="I631" s="221"/>
      <c r="J631" s="1"/>
      <c r="K631" s="265"/>
      <c r="M631" s="20"/>
      <c r="N631" s="20"/>
      <c r="O631" s="71"/>
      <c r="P631" s="71"/>
      <c r="Q631" s="20"/>
      <c r="R631" s="20"/>
      <c r="S631" s="20"/>
      <c r="T631" s="20"/>
      <c r="U631" s="20"/>
      <c r="V631" s="20"/>
      <c r="W631" s="20"/>
      <c r="X631" s="20"/>
      <c r="Y631" s="20"/>
      <c r="Z631" s="20"/>
      <c r="AA631" s="20"/>
      <c r="AB631" s="20"/>
      <c r="AC631" s="20"/>
    </row>
    <row r="632" spans="1:29">
      <c r="A632" s="193" t="s">
        <v>437</v>
      </c>
      <c r="B632" s="1"/>
      <c r="C632" s="203"/>
      <c r="D632" s="203"/>
      <c r="E632" s="2" t="s">
        <v>31</v>
      </c>
      <c r="F632" s="2"/>
      <c r="G632" s="1"/>
      <c r="H632" s="1"/>
      <c r="I632" s="2" t="s">
        <v>31</v>
      </c>
      <c r="J632" s="1"/>
      <c r="K632" s="1"/>
      <c r="M632" s="20"/>
      <c r="N632" s="20"/>
      <c r="O632" s="71"/>
      <c r="P632" s="71"/>
      <c r="Q632" s="20"/>
      <c r="R632" s="20"/>
      <c r="S632" s="20"/>
      <c r="T632" s="20"/>
      <c r="U632" s="20"/>
      <c r="V632" s="20"/>
      <c r="W632" s="20"/>
      <c r="X632" s="20"/>
      <c r="Y632" s="20"/>
      <c r="Z632" s="20"/>
      <c r="AA632" s="20"/>
      <c r="AB632" s="20"/>
      <c r="AC632" s="20"/>
    </row>
    <row r="633" spans="1:29">
      <c r="A633" s="193" t="s">
        <v>438</v>
      </c>
      <c r="B633" s="1"/>
      <c r="C633" s="203">
        <f>887</f>
        <v>887</v>
      </c>
      <c r="D633" s="203">
        <v>892</v>
      </c>
      <c r="E633" s="221">
        <f>$E$582</f>
        <v>0</v>
      </c>
      <c r="F633" s="208"/>
      <c r="G633" s="205">
        <f>ROUND(E633*$C633,0)</f>
        <v>0</v>
      </c>
      <c r="H633" s="205">
        <f>ROUND(E633*$D633,0)</f>
        <v>0</v>
      </c>
      <c r="I633" s="221">
        <f>$I$582</f>
        <v>0</v>
      </c>
      <c r="J633" s="208"/>
      <c r="K633" s="205">
        <f>ROUND(I633*$C633,0)</f>
        <v>0</v>
      </c>
      <c r="M633" s="20"/>
      <c r="N633" s="20"/>
      <c r="O633" s="71"/>
      <c r="P633" s="71"/>
      <c r="Q633" s="20"/>
      <c r="R633" s="20"/>
      <c r="S633" s="20"/>
      <c r="T633" s="20"/>
      <c r="U633" s="20"/>
      <c r="V633" s="20"/>
      <c r="W633" s="20"/>
      <c r="X633" s="20"/>
      <c r="Y633" s="20"/>
      <c r="Z633" s="20"/>
      <c r="AA633" s="20"/>
      <c r="AB633" s="20"/>
      <c r="AC633" s="20"/>
    </row>
    <row r="634" spans="1:29">
      <c r="A634" s="193" t="s">
        <v>439</v>
      </c>
      <c r="B634" s="1"/>
      <c r="C634" s="203"/>
      <c r="D634" s="203"/>
      <c r="E634" s="221"/>
      <c r="F634" s="208"/>
      <c r="G634" s="205"/>
      <c r="H634" s="205"/>
      <c r="I634" s="221"/>
      <c r="J634" s="208"/>
      <c r="K634" s="205"/>
      <c r="M634" s="20"/>
      <c r="N634" s="20"/>
      <c r="O634" s="71"/>
      <c r="P634" s="71"/>
      <c r="Q634" s="20"/>
      <c r="R634" s="20"/>
      <c r="S634" s="20"/>
      <c r="T634" s="20"/>
      <c r="U634" s="20"/>
      <c r="V634" s="20"/>
      <c r="W634" s="20"/>
      <c r="X634" s="20"/>
      <c r="Y634" s="20"/>
      <c r="Z634" s="20"/>
      <c r="AA634" s="20"/>
      <c r="AB634" s="20"/>
      <c r="AC634" s="20"/>
    </row>
    <row r="635" spans="1:29">
      <c r="A635" s="193" t="s">
        <v>440</v>
      </c>
      <c r="B635" s="1"/>
      <c r="C635" s="203">
        <f>3412</f>
        <v>3412</v>
      </c>
      <c r="D635" s="203">
        <v>3431</v>
      </c>
      <c r="E635" s="221">
        <f>$E$584</f>
        <v>0</v>
      </c>
      <c r="F635" s="208"/>
      <c r="G635" s="205">
        <f>ROUND(E635*$C635,0)</f>
        <v>0</v>
      </c>
      <c r="H635" s="205">
        <f>ROUND(E635*$D635,0)</f>
        <v>0</v>
      </c>
      <c r="I635" s="221">
        <f>$I$584</f>
        <v>0</v>
      </c>
      <c r="J635" s="208"/>
      <c r="K635" s="205">
        <f>ROUND(I635*$C635,0)</f>
        <v>0</v>
      </c>
      <c r="M635" s="20"/>
      <c r="N635" s="20"/>
      <c r="O635" s="71"/>
      <c r="P635" s="71"/>
      <c r="Q635" s="20"/>
      <c r="R635" s="20"/>
      <c r="S635" s="20"/>
      <c r="T635" s="20"/>
      <c r="U635" s="20"/>
      <c r="V635" s="20"/>
      <c r="W635" s="20"/>
      <c r="X635" s="20"/>
      <c r="Y635" s="20"/>
      <c r="Z635" s="20"/>
      <c r="AA635" s="20"/>
      <c r="AB635" s="20"/>
      <c r="AC635" s="20"/>
    </row>
    <row r="636" spans="1:29">
      <c r="A636" s="193" t="s">
        <v>441</v>
      </c>
      <c r="B636" s="1"/>
      <c r="C636" s="203">
        <f>350</f>
        <v>350</v>
      </c>
      <c r="D636" s="203">
        <v>352</v>
      </c>
      <c r="E636" s="221">
        <f>$E$585</f>
        <v>301</v>
      </c>
      <c r="F636" s="208"/>
      <c r="G636" s="205">
        <f>ROUND(E636*$C636,0)</f>
        <v>105350</v>
      </c>
      <c r="H636" s="205">
        <f>ROUND(E636*$D636,0)</f>
        <v>105952</v>
      </c>
      <c r="I636" s="221">
        <f>$I$585</f>
        <v>333</v>
      </c>
      <c r="J636" s="208"/>
      <c r="K636" s="205">
        <f>ROUND(I636*$C636,0)</f>
        <v>116550</v>
      </c>
      <c r="M636" s="20"/>
      <c r="N636" s="20"/>
      <c r="O636" s="71"/>
      <c r="P636" s="71"/>
      <c r="Q636" s="20"/>
      <c r="R636" s="20"/>
      <c r="S636" s="20"/>
      <c r="T636" s="20"/>
      <c r="U636" s="20"/>
      <c r="V636" s="20"/>
      <c r="W636" s="20"/>
      <c r="X636" s="20"/>
      <c r="Y636" s="20"/>
      <c r="Z636" s="20"/>
      <c r="AA636" s="20"/>
      <c r="AB636" s="20"/>
      <c r="AC636" s="20"/>
    </row>
    <row r="637" spans="1:29">
      <c r="A637" s="193" t="s">
        <v>442</v>
      </c>
      <c r="B637" s="1"/>
      <c r="C637" s="203">
        <f>9</f>
        <v>9</v>
      </c>
      <c r="D637" s="203">
        <v>9</v>
      </c>
      <c r="E637" s="221">
        <f>$E$586</f>
        <v>1215</v>
      </c>
      <c r="F637" s="208"/>
      <c r="G637" s="205">
        <f>ROUND(E637*$C637,0)</f>
        <v>10935</v>
      </c>
      <c r="H637" s="205">
        <f>ROUND(E637*$D637,0)</f>
        <v>10935</v>
      </c>
      <c r="I637" s="221">
        <f>$I$586</f>
        <v>1335</v>
      </c>
      <c r="J637" s="208"/>
      <c r="K637" s="205">
        <f>ROUND(I637*$C637,0)</f>
        <v>12015</v>
      </c>
      <c r="M637" s="20"/>
      <c r="N637" s="20"/>
      <c r="O637" s="71"/>
      <c r="P637" s="71"/>
      <c r="Q637" s="20"/>
      <c r="R637" s="20"/>
      <c r="S637" s="20"/>
      <c r="T637" s="20"/>
      <c r="U637" s="20"/>
      <c r="V637" s="20"/>
      <c r="W637" s="20"/>
      <c r="X637" s="20"/>
      <c r="Y637" s="20"/>
      <c r="Z637" s="20"/>
      <c r="AA637" s="20"/>
      <c r="AB637" s="20"/>
      <c r="AC637" s="20"/>
    </row>
    <row r="638" spans="1:29">
      <c r="A638" s="193" t="s">
        <v>350</v>
      </c>
      <c r="B638" s="1"/>
      <c r="C638" s="203">
        <f>SUM(C633:C637)</f>
        <v>4658</v>
      </c>
      <c r="D638" s="203">
        <v>4683.9852262627228</v>
      </c>
      <c r="E638" s="221"/>
      <c r="F638" s="208"/>
      <c r="G638" s="205"/>
      <c r="H638" s="205"/>
      <c r="I638" s="221"/>
      <c r="J638" s="208"/>
      <c r="K638" s="205"/>
      <c r="M638" s="20"/>
      <c r="N638" s="20"/>
      <c r="O638" s="71"/>
      <c r="P638" s="71"/>
      <c r="Q638" s="20"/>
      <c r="R638" s="20"/>
      <c r="S638" s="20"/>
      <c r="T638" s="20"/>
      <c r="U638" s="20"/>
      <c r="V638" s="20"/>
      <c r="W638" s="20"/>
      <c r="X638" s="20"/>
      <c r="Y638" s="20"/>
      <c r="Z638" s="20"/>
      <c r="AA638" s="20"/>
      <c r="AB638" s="20"/>
      <c r="AC638" s="20"/>
    </row>
    <row r="639" spans="1:29">
      <c r="A639" s="193" t="s">
        <v>443</v>
      </c>
      <c r="B639" s="1"/>
      <c r="C639" s="203">
        <f>5697+21813+2492+69</f>
        <v>30071</v>
      </c>
      <c r="D639" s="203">
        <v>30239</v>
      </c>
      <c r="E639" s="221"/>
      <c r="F639" s="205"/>
      <c r="G639" s="205"/>
      <c r="H639" s="205"/>
      <c r="I639" s="221"/>
      <c r="J639" s="205"/>
      <c r="K639" s="205"/>
      <c r="M639" s="20"/>
      <c r="N639" s="20"/>
      <c r="O639" s="71"/>
      <c r="P639" s="71"/>
      <c r="Q639" s="20"/>
      <c r="R639" s="20"/>
      <c r="S639" s="20"/>
      <c r="T639" s="20"/>
      <c r="U639" s="20"/>
      <c r="V639" s="20"/>
      <c r="W639" s="20"/>
      <c r="X639" s="20"/>
      <c r="Y639" s="20"/>
      <c r="Z639" s="20"/>
      <c r="AA639" s="20"/>
      <c r="AB639" s="20"/>
      <c r="AC639" s="20"/>
    </row>
    <row r="640" spans="1:29">
      <c r="A640" s="193" t="s">
        <v>104</v>
      </c>
      <c r="B640" s="1"/>
      <c r="C640" s="203">
        <f>960+3719+356+9</f>
        <v>5044</v>
      </c>
      <c r="D640" s="203">
        <v>5072</v>
      </c>
      <c r="E640" s="221"/>
      <c r="F640" s="205"/>
      <c r="G640" s="205"/>
      <c r="H640" s="205"/>
      <c r="I640" s="221"/>
      <c r="J640" s="205"/>
      <c r="K640" s="205"/>
      <c r="M640" s="20"/>
      <c r="N640" s="20"/>
      <c r="O640" s="71"/>
      <c r="P640" s="71"/>
      <c r="Q640" s="20"/>
      <c r="R640" s="20"/>
      <c r="S640" s="20"/>
      <c r="T640" s="20"/>
      <c r="U640" s="20"/>
      <c r="V640" s="20"/>
      <c r="W640" s="20"/>
      <c r="X640" s="20"/>
      <c r="Y640" s="20"/>
      <c r="Z640" s="20"/>
      <c r="AA640" s="20"/>
      <c r="AB640" s="20"/>
      <c r="AC640" s="20"/>
    </row>
    <row r="641" spans="1:29">
      <c r="A641" s="193" t="s">
        <v>444</v>
      </c>
      <c r="B641" s="1"/>
      <c r="C641" s="203"/>
      <c r="D641" s="203"/>
      <c r="E641" s="221"/>
      <c r="F641" s="208"/>
      <c r="G641" s="205"/>
      <c r="H641" s="205"/>
      <c r="I641" s="221"/>
      <c r="J641" s="208"/>
      <c r="K641" s="205"/>
      <c r="M641" s="20"/>
      <c r="N641" s="20"/>
      <c r="O641" s="71"/>
      <c r="P641" s="71"/>
      <c r="Q641" s="20"/>
      <c r="R641" s="20"/>
      <c r="S641" s="20"/>
      <c r="T641" s="20"/>
      <c r="U641" s="20"/>
      <c r="V641" s="20"/>
      <c r="W641" s="20"/>
      <c r="X641" s="20"/>
      <c r="Y641" s="20"/>
      <c r="Z641" s="20"/>
      <c r="AA641" s="20"/>
      <c r="AB641" s="20"/>
      <c r="AC641" s="20"/>
    </row>
    <row r="642" spans="1:29">
      <c r="A642" s="193" t="s">
        <v>445</v>
      </c>
      <c r="B642" s="1"/>
      <c r="C642" s="203">
        <f>4289</f>
        <v>4289</v>
      </c>
      <c r="D642" s="203">
        <v>3939</v>
      </c>
      <c r="E642" s="221">
        <f>$E$591</f>
        <v>19.87</v>
      </c>
      <c r="F642" s="208"/>
      <c r="G642" s="205">
        <f>ROUND(E642*$C642,0)</f>
        <v>85222</v>
      </c>
      <c r="H642" s="205">
        <f>ROUND(E642*$D642,0)</f>
        <v>78268</v>
      </c>
      <c r="I642" s="221">
        <f>$I$591</f>
        <v>21.83</v>
      </c>
      <c r="J642" s="208"/>
      <c r="K642" s="205">
        <f>ROUND(I642*$C642,0)</f>
        <v>93629</v>
      </c>
      <c r="M642" s="20"/>
      <c r="N642" s="20"/>
      <c r="O642" s="71"/>
      <c r="P642" s="71"/>
      <c r="Q642" s="20"/>
      <c r="R642" s="20"/>
      <c r="S642" s="20"/>
      <c r="T642" s="20"/>
      <c r="U642" s="20"/>
      <c r="V642" s="20"/>
      <c r="W642" s="20"/>
      <c r="X642" s="20"/>
      <c r="Y642" s="20"/>
      <c r="Z642" s="20"/>
      <c r="AA642" s="20"/>
      <c r="AB642" s="20"/>
      <c r="AC642" s="20"/>
    </row>
    <row r="643" spans="1:29">
      <c r="A643" s="193" t="s">
        <v>446</v>
      </c>
      <c r="B643" s="1"/>
      <c r="C643" s="203"/>
      <c r="D643" s="203"/>
      <c r="E643" s="221"/>
      <c r="F643" s="208"/>
      <c r="G643" s="205"/>
      <c r="H643" s="205"/>
      <c r="I643" s="221"/>
      <c r="J643" s="208"/>
      <c r="K643" s="205"/>
      <c r="M643" s="20"/>
      <c r="N643" s="20"/>
      <c r="O643" s="71"/>
      <c r="P643" s="71"/>
      <c r="Q643" s="20"/>
      <c r="R643" s="20"/>
      <c r="S643" s="20"/>
      <c r="T643" s="20"/>
      <c r="U643" s="20"/>
      <c r="V643" s="20"/>
      <c r="W643" s="20"/>
      <c r="X643" s="20"/>
      <c r="Y643" s="20"/>
      <c r="Z643" s="20"/>
      <c r="AA643" s="20"/>
      <c r="AB643" s="20"/>
      <c r="AC643" s="20"/>
    </row>
    <row r="644" spans="1:29">
      <c r="A644" s="193" t="s">
        <v>440</v>
      </c>
      <c r="B644" s="1"/>
      <c r="C644" s="203">
        <f>49028</f>
        <v>49028</v>
      </c>
      <c r="D644" s="203">
        <v>45025</v>
      </c>
      <c r="E644" s="221">
        <f>$E$593</f>
        <v>19.87</v>
      </c>
      <c r="F644" s="208"/>
      <c r="G644" s="205">
        <f>ROUND(E644*$C644,0)</f>
        <v>974186</v>
      </c>
      <c r="H644" s="205">
        <f>ROUND(E644*$D644,0)</f>
        <v>894647</v>
      </c>
      <c r="I644" s="221">
        <f>$I$593</f>
        <v>21.83</v>
      </c>
      <c r="J644" s="208"/>
      <c r="K644" s="205">
        <f>ROUND(I644*$C644,0)</f>
        <v>1070281</v>
      </c>
      <c r="M644" s="20"/>
      <c r="N644" s="20"/>
      <c r="O644" s="71"/>
      <c r="P644" s="71"/>
      <c r="Q644" s="20"/>
      <c r="R644" s="20"/>
      <c r="S644" s="20"/>
      <c r="T644" s="20"/>
      <c r="U644" s="20"/>
      <c r="V644" s="20"/>
      <c r="W644" s="20"/>
      <c r="X644" s="20"/>
      <c r="Y644" s="20"/>
      <c r="Z644" s="20"/>
      <c r="AA644" s="20"/>
      <c r="AB644" s="20"/>
      <c r="AC644" s="20"/>
    </row>
    <row r="645" spans="1:29">
      <c r="A645" s="193" t="s">
        <v>441</v>
      </c>
      <c r="B645" s="1"/>
      <c r="C645" s="203">
        <f>33712</f>
        <v>33712</v>
      </c>
      <c r="D645" s="203">
        <v>30960</v>
      </c>
      <c r="E645" s="221">
        <f>$E$594</f>
        <v>13.64</v>
      </c>
      <c r="F645" s="208"/>
      <c r="G645" s="205">
        <f>ROUND(E645*$C645,0)</f>
        <v>459832</v>
      </c>
      <c r="H645" s="205">
        <f>ROUND(E645*$D645,0)</f>
        <v>422294</v>
      </c>
      <c r="I645" s="221">
        <f>$I$594</f>
        <v>14.98</v>
      </c>
      <c r="J645" s="208"/>
      <c r="K645" s="205">
        <f>ROUND(I645*$C645,0)</f>
        <v>505006</v>
      </c>
      <c r="M645" s="20"/>
      <c r="N645" s="20"/>
      <c r="O645" s="71"/>
      <c r="P645" s="71"/>
      <c r="Q645" s="20"/>
      <c r="R645" s="20"/>
      <c r="S645" s="20"/>
      <c r="T645" s="20"/>
      <c r="U645" s="20"/>
      <c r="V645" s="20"/>
      <c r="W645" s="20"/>
      <c r="X645" s="20"/>
      <c r="Y645" s="20"/>
      <c r="Z645" s="20"/>
      <c r="AA645" s="20"/>
      <c r="AB645" s="20"/>
      <c r="AC645" s="20"/>
    </row>
    <row r="646" spans="1:29">
      <c r="A646" s="193" t="s">
        <v>442</v>
      </c>
      <c r="B646" s="1"/>
      <c r="C646" s="203">
        <f>3389</f>
        <v>3389</v>
      </c>
      <c r="D646" s="203">
        <v>3112</v>
      </c>
      <c r="E646" s="221">
        <f>$E$595</f>
        <v>10.62</v>
      </c>
      <c r="F646" s="208"/>
      <c r="G646" s="205">
        <f>ROUND(E646*$C646,0)</f>
        <v>35991</v>
      </c>
      <c r="H646" s="205">
        <f>ROUND(E646*$D646,0)</f>
        <v>33049</v>
      </c>
      <c r="I646" s="221">
        <f>$I$595</f>
        <v>11.67</v>
      </c>
      <c r="J646" s="208"/>
      <c r="K646" s="205">
        <f>ROUND(I646*$C646,0)</f>
        <v>39550</v>
      </c>
      <c r="M646" s="20"/>
      <c r="N646" s="20"/>
      <c r="O646" s="71"/>
      <c r="P646" s="71"/>
      <c r="Q646" s="20"/>
      <c r="R646" s="20"/>
      <c r="S646" s="20"/>
      <c r="T646" s="20"/>
      <c r="U646" s="20"/>
      <c r="V646" s="20"/>
      <c r="W646" s="20"/>
      <c r="X646" s="20"/>
      <c r="Y646" s="20"/>
      <c r="Z646" s="20"/>
      <c r="AA646" s="20"/>
      <c r="AB646" s="20"/>
      <c r="AC646" s="20"/>
    </row>
    <row r="647" spans="1:29">
      <c r="A647" s="193" t="s">
        <v>448</v>
      </c>
      <c r="B647" s="1"/>
      <c r="C647" s="203">
        <v>126</v>
      </c>
      <c r="D647" s="203">
        <v>116</v>
      </c>
      <c r="E647" s="221">
        <f>$E$596</f>
        <v>59.61</v>
      </c>
      <c r="F647" s="208"/>
      <c r="G647" s="205">
        <f>ROUND(E647*$C647,0)</f>
        <v>7511</v>
      </c>
      <c r="H647" s="205">
        <f>ROUND(E647*$D647,0)</f>
        <v>6915</v>
      </c>
      <c r="I647" s="221">
        <f>$I$596</f>
        <v>65.48</v>
      </c>
      <c r="J647" s="208"/>
      <c r="K647" s="205">
        <f>ROUND(I647*$C647,0)</f>
        <v>8250</v>
      </c>
      <c r="M647" s="20"/>
      <c r="N647" s="20"/>
      <c r="O647" s="71"/>
      <c r="P647" s="71"/>
      <c r="Q647" s="20"/>
      <c r="R647" s="20"/>
      <c r="S647" s="20"/>
      <c r="T647" s="20"/>
      <c r="U647" s="20"/>
      <c r="V647" s="20"/>
      <c r="W647" s="20"/>
      <c r="X647" s="20"/>
      <c r="Y647" s="20"/>
      <c r="Z647" s="20"/>
      <c r="AA647" s="20"/>
      <c r="AB647" s="20"/>
      <c r="AC647" s="20"/>
    </row>
    <row r="648" spans="1:29">
      <c r="A648" s="193" t="s">
        <v>449</v>
      </c>
      <c r="B648" s="1"/>
      <c r="C648" s="203">
        <v>1789</v>
      </c>
      <c r="D648" s="203">
        <v>1643</v>
      </c>
      <c r="E648" s="221">
        <f>$E$597</f>
        <v>119.22</v>
      </c>
      <c r="F648" s="208"/>
      <c r="G648" s="205">
        <f>ROUND(E648*$C648,0)</f>
        <v>213285</v>
      </c>
      <c r="H648" s="205">
        <f>ROUND(E648*$D648,0)</f>
        <v>195878</v>
      </c>
      <c r="I648" s="221">
        <f>$I$597</f>
        <v>130.96</v>
      </c>
      <c r="J648" s="208"/>
      <c r="K648" s="205">
        <f>ROUND(I648*$C648,0)</f>
        <v>234287</v>
      </c>
      <c r="M648" s="20"/>
      <c r="N648" s="20"/>
      <c r="O648" s="71"/>
      <c r="P648" s="71"/>
      <c r="Q648" s="20"/>
      <c r="R648" s="20"/>
      <c r="S648" s="20"/>
      <c r="T648" s="20"/>
      <c r="U648" s="20"/>
      <c r="V648" s="20"/>
      <c r="W648" s="20"/>
      <c r="X648" s="20"/>
      <c r="Y648" s="20"/>
      <c r="Z648" s="20"/>
      <c r="AA648" s="20"/>
      <c r="AB648" s="20"/>
      <c r="AC648" s="20"/>
    </row>
    <row r="649" spans="1:29">
      <c r="A649" s="193" t="s">
        <v>450</v>
      </c>
      <c r="B649" s="1"/>
      <c r="C649" s="203"/>
      <c r="D649" s="203"/>
      <c r="E649" s="221"/>
      <c r="F649" s="208"/>
      <c r="G649" s="205"/>
      <c r="H649" s="205"/>
      <c r="I649" s="221"/>
      <c r="J649" s="208"/>
      <c r="K649" s="205"/>
      <c r="M649" s="20"/>
      <c r="N649" s="20"/>
      <c r="O649" s="71"/>
      <c r="P649" s="71"/>
      <c r="Q649" s="20"/>
      <c r="R649" s="20"/>
      <c r="S649" s="20"/>
      <c r="T649" s="20"/>
      <c r="U649" s="20"/>
      <c r="V649" s="20"/>
      <c r="W649" s="20"/>
      <c r="X649" s="20"/>
      <c r="Y649" s="20"/>
      <c r="Z649" s="20"/>
      <c r="AA649" s="20"/>
      <c r="AB649" s="20"/>
      <c r="AC649" s="20"/>
    </row>
    <row r="650" spans="1:29">
      <c r="A650" s="193" t="s">
        <v>445</v>
      </c>
      <c r="B650" s="1"/>
      <c r="C650" s="203">
        <v>73</v>
      </c>
      <c r="D650" s="203">
        <f>ROUND(($D$676/$C$676)*C650,0)</f>
        <v>67</v>
      </c>
      <c r="E650" s="247">
        <f>-E642</f>
        <v>-19.87</v>
      </c>
      <c r="F650" s="208"/>
      <c r="G650" s="205">
        <f>ROUND(E650*$C650,0)</f>
        <v>-1451</v>
      </c>
      <c r="H650" s="205">
        <f>ROUND(E650*$D650,0)</f>
        <v>-1331</v>
      </c>
      <c r="I650" s="247">
        <f>-I642</f>
        <v>-21.83</v>
      </c>
      <c r="J650" s="208"/>
      <c r="K650" s="205">
        <f>ROUND(I650*$C650,0)</f>
        <v>-1594</v>
      </c>
      <c r="M650" s="20"/>
      <c r="N650" s="20"/>
      <c r="O650" s="71"/>
      <c r="P650" s="71"/>
      <c r="Q650" s="20"/>
      <c r="R650" s="20"/>
      <c r="S650" s="20"/>
      <c r="T650" s="20"/>
      <c r="U650" s="20"/>
      <c r="V650" s="20"/>
      <c r="W650" s="20"/>
      <c r="X650" s="20"/>
      <c r="Y650" s="20"/>
      <c r="Z650" s="20"/>
      <c r="AA650" s="20"/>
      <c r="AB650" s="20"/>
      <c r="AC650" s="20"/>
    </row>
    <row r="651" spans="1:29">
      <c r="A651" s="193" t="s">
        <v>451</v>
      </c>
      <c r="B651" s="1"/>
      <c r="C651" s="203">
        <v>11428</v>
      </c>
      <c r="D651" s="203">
        <f>ROUND(($D$676/$C$676)*C651,0)</f>
        <v>10495</v>
      </c>
      <c r="E651" s="247">
        <f>-E644</f>
        <v>-19.87</v>
      </c>
      <c r="F651" s="208"/>
      <c r="G651" s="205">
        <f>ROUND(E651*$C651,0)</f>
        <v>-227074</v>
      </c>
      <c r="H651" s="205">
        <f>ROUND(E651*$D651,0)</f>
        <v>-208536</v>
      </c>
      <c r="I651" s="247">
        <f>-I644</f>
        <v>-21.83</v>
      </c>
      <c r="J651" s="208"/>
      <c r="K651" s="205">
        <f>ROUND(I651*$C651,0)</f>
        <v>-249473</v>
      </c>
      <c r="M651" s="20"/>
      <c r="N651" s="20"/>
      <c r="O651" s="71"/>
      <c r="P651" s="71"/>
      <c r="Q651" s="20"/>
      <c r="R651" s="20"/>
      <c r="S651" s="20"/>
      <c r="T651" s="20"/>
      <c r="U651" s="20"/>
      <c r="V651" s="20"/>
      <c r="W651" s="20"/>
      <c r="X651" s="20"/>
      <c r="Y651" s="20"/>
      <c r="Z651" s="20"/>
      <c r="AA651" s="20"/>
      <c r="AB651" s="20"/>
      <c r="AC651" s="20"/>
    </row>
    <row r="652" spans="1:29">
      <c r="A652" s="207" t="s">
        <v>414</v>
      </c>
      <c r="B652" s="1"/>
      <c r="C652" s="203"/>
      <c r="D652" s="203"/>
      <c r="E652" s="221"/>
      <c r="F652" s="205"/>
      <c r="G652" s="205"/>
      <c r="H652" s="205"/>
      <c r="I652" s="221"/>
      <c r="J652" s="205"/>
      <c r="K652" s="205"/>
      <c r="M652" s="20"/>
      <c r="N652" s="20"/>
      <c r="O652" s="71"/>
      <c r="P652" s="71"/>
      <c r="Q652" s="20"/>
      <c r="R652" s="20"/>
      <c r="S652" s="20"/>
      <c r="T652" s="20"/>
      <c r="U652" s="20"/>
      <c r="V652" s="20"/>
      <c r="W652" s="20"/>
      <c r="X652" s="20"/>
      <c r="Y652" s="20"/>
      <c r="Z652" s="20"/>
      <c r="AA652" s="20"/>
      <c r="AB652" s="20"/>
      <c r="AC652" s="20"/>
    </row>
    <row r="653" spans="1:29">
      <c r="A653" s="193" t="s">
        <v>452</v>
      </c>
      <c r="B653" s="1"/>
      <c r="C653" s="203">
        <f>5084272+75575644+56800989+6712400</f>
        <v>144173305</v>
      </c>
      <c r="D653" s="203">
        <f>ROUND(($D$676/$C$676)*C653,0)</f>
        <v>132402479</v>
      </c>
      <c r="E653" s="266">
        <f>$E$602</f>
        <v>5.3710000000000004</v>
      </c>
      <c r="F653" s="205" t="s">
        <v>362</v>
      </c>
      <c r="G653" s="205">
        <f>ROUND(E653/100*$C653,0)</f>
        <v>7743548</v>
      </c>
      <c r="H653" s="205">
        <f>ROUND(E653/100*$D653,0)</f>
        <v>7111337</v>
      </c>
      <c r="I653" s="266">
        <f>$I$602</f>
        <v>5.9</v>
      </c>
      <c r="J653" s="205" t="s">
        <v>362</v>
      </c>
      <c r="K653" s="205">
        <f>ROUND(I653/100*$C653,0)</f>
        <v>8506225</v>
      </c>
      <c r="M653" s="20"/>
      <c r="N653" s="20"/>
      <c r="O653" s="71"/>
      <c r="P653" s="71"/>
      <c r="Q653" s="20"/>
      <c r="R653" s="20"/>
      <c r="S653" s="20"/>
      <c r="T653" s="20"/>
      <c r="U653" s="20"/>
      <c r="V653" s="20"/>
      <c r="W653" s="20"/>
      <c r="X653" s="20"/>
      <c r="Y653" s="20"/>
      <c r="Z653" s="20"/>
      <c r="AA653" s="20"/>
      <c r="AB653" s="20"/>
      <c r="AC653" s="20"/>
    </row>
    <row r="654" spans="1:29">
      <c r="A654" s="207" t="s">
        <v>388</v>
      </c>
      <c r="B654" s="1"/>
      <c r="C654" s="159">
        <f>1923+20850+3348</f>
        <v>26121</v>
      </c>
      <c r="D654" s="203">
        <f>ROUND(($D$676/$C$676)*C654,0)</f>
        <v>23988</v>
      </c>
      <c r="E654" s="223">
        <f>$E$603</f>
        <v>45</v>
      </c>
      <c r="F654" s="207" t="s">
        <v>362</v>
      </c>
      <c r="G654" s="205">
        <f>ROUND(E654*$C654/100,0)</f>
        <v>11754</v>
      </c>
      <c r="H654" s="205">
        <f>ROUND(E654*$D654/100,0)</f>
        <v>10795</v>
      </c>
      <c r="I654" s="223">
        <f>$I$603</f>
        <v>50</v>
      </c>
      <c r="J654" s="207" t="s">
        <v>362</v>
      </c>
      <c r="K654" s="205">
        <f>ROUND(I654*$C654/100,0)</f>
        <v>13061</v>
      </c>
      <c r="M654" s="20"/>
      <c r="N654" s="20"/>
      <c r="O654" s="71"/>
      <c r="P654" s="71"/>
      <c r="Q654" s="20"/>
      <c r="R654" s="20"/>
      <c r="S654" s="20"/>
      <c r="T654" s="20"/>
      <c r="U654" s="20"/>
      <c r="V654" s="20"/>
      <c r="W654" s="20"/>
      <c r="X654" s="20"/>
      <c r="Y654" s="20"/>
      <c r="Z654" s="20"/>
      <c r="AA654" s="20"/>
      <c r="AB654" s="20"/>
      <c r="AC654" s="20"/>
    </row>
    <row r="655" spans="1:29">
      <c r="A655" s="244" t="s">
        <v>389</v>
      </c>
      <c r="B655" s="1"/>
      <c r="C655" s="203"/>
      <c r="D655" s="203"/>
      <c r="E655" s="216">
        <v>-0.01</v>
      </c>
      <c r="F655" s="2"/>
      <c r="G655" s="205"/>
      <c r="H655" s="205"/>
      <c r="I655" s="216">
        <v>-0.01</v>
      </c>
      <c r="J655" s="1"/>
      <c r="K655" s="205"/>
      <c r="M655" s="20"/>
      <c r="N655" s="20"/>
      <c r="O655" s="71"/>
      <c r="P655" s="71"/>
      <c r="Q655" s="20"/>
      <c r="R655" s="20"/>
      <c r="S655" s="20"/>
      <c r="T655" s="20"/>
      <c r="U655" s="20"/>
      <c r="V655" s="20"/>
      <c r="W655" s="20"/>
      <c r="X655" s="20"/>
      <c r="Y655" s="20"/>
      <c r="Z655" s="20"/>
      <c r="AA655" s="20"/>
      <c r="AB655" s="20"/>
      <c r="AC655" s="20"/>
    </row>
    <row r="656" spans="1:29">
      <c r="A656" s="193" t="s">
        <v>378</v>
      </c>
      <c r="B656" s="1"/>
      <c r="C656" s="203">
        <v>0</v>
      </c>
      <c r="D656" s="203">
        <v>0</v>
      </c>
      <c r="E656" s="268">
        <f>E633</f>
        <v>0</v>
      </c>
      <c r="F656" s="208"/>
      <c r="G656" s="205">
        <f>ROUND(E656*$C656*$E$604,0)</f>
        <v>0</v>
      </c>
      <c r="H656" s="205">
        <f>ROUND(E656*$D656*$E$604,0)</f>
        <v>0</v>
      </c>
      <c r="I656" s="268">
        <f>I633</f>
        <v>0</v>
      </c>
      <c r="J656" s="208"/>
      <c r="K656" s="205">
        <f>ROUND(I656*$C656*$E$604,0)</f>
        <v>0</v>
      </c>
      <c r="M656" s="20"/>
      <c r="N656" s="20"/>
      <c r="O656" s="71"/>
      <c r="P656" s="71"/>
      <c r="Q656" s="20"/>
      <c r="R656" s="20"/>
      <c r="S656" s="20"/>
      <c r="T656" s="20"/>
      <c r="U656" s="20"/>
      <c r="V656" s="20"/>
      <c r="W656" s="20"/>
      <c r="X656" s="20"/>
      <c r="Y656" s="20"/>
      <c r="Z656" s="20"/>
      <c r="AA656" s="20"/>
      <c r="AB656" s="20"/>
      <c r="AC656" s="20"/>
    </row>
    <row r="657" spans="1:29">
      <c r="A657" s="193" t="s">
        <v>379</v>
      </c>
      <c r="B657" s="1"/>
      <c r="C657" s="203"/>
      <c r="D657" s="203"/>
      <c r="E657" s="268"/>
      <c r="F657" s="208"/>
      <c r="G657" s="205"/>
      <c r="H657" s="205"/>
      <c r="I657" s="268"/>
      <c r="J657" s="208"/>
      <c r="K657" s="205"/>
      <c r="M657" s="20"/>
      <c r="N657" s="20"/>
      <c r="O657" s="71"/>
      <c r="P657" s="71"/>
      <c r="Q657" s="20"/>
      <c r="R657" s="20"/>
      <c r="S657" s="20"/>
      <c r="T657" s="20"/>
      <c r="U657" s="20"/>
      <c r="V657" s="20"/>
      <c r="W657" s="20"/>
      <c r="X657" s="20"/>
      <c r="Y657" s="20"/>
      <c r="Z657" s="20"/>
      <c r="AA657" s="20"/>
      <c r="AB657" s="20"/>
      <c r="AC657" s="20"/>
    </row>
    <row r="658" spans="1:29">
      <c r="A658" s="193" t="s">
        <v>440</v>
      </c>
      <c r="B658" s="1"/>
      <c r="C658" s="203">
        <v>0</v>
      </c>
      <c r="D658" s="203">
        <v>0</v>
      </c>
      <c r="E658" s="268">
        <f>E635</f>
        <v>0</v>
      </c>
      <c r="F658" s="208"/>
      <c r="G658" s="205">
        <f>ROUND(E658*$C658*$E$604,0)</f>
        <v>0</v>
      </c>
      <c r="H658" s="205">
        <f>ROUND(E658*$D658*$E$604,0)</f>
        <v>0</v>
      </c>
      <c r="I658" s="268">
        <f>I635</f>
        <v>0</v>
      </c>
      <c r="J658" s="208"/>
      <c r="K658" s="205">
        <f>ROUND(I658*$C658*$E$604,0)</f>
        <v>0</v>
      </c>
      <c r="M658" s="20"/>
      <c r="N658" s="20"/>
      <c r="O658" s="71"/>
      <c r="P658" s="71"/>
      <c r="Q658" s="20"/>
      <c r="R658" s="20"/>
      <c r="S658" s="20"/>
      <c r="T658" s="20"/>
      <c r="U658" s="20"/>
      <c r="V658" s="20"/>
      <c r="W658" s="20"/>
      <c r="X658" s="20"/>
      <c r="Y658" s="20"/>
      <c r="Z658" s="20"/>
      <c r="AA658" s="20"/>
      <c r="AB658" s="20"/>
      <c r="AC658" s="20"/>
    </row>
    <row r="659" spans="1:29">
      <c r="A659" s="193" t="s">
        <v>441</v>
      </c>
      <c r="B659" s="1"/>
      <c r="C659" s="203">
        <v>0</v>
      </c>
      <c r="D659" s="203">
        <v>0</v>
      </c>
      <c r="E659" s="268">
        <f>E636</f>
        <v>301</v>
      </c>
      <c r="F659" s="208"/>
      <c r="G659" s="205">
        <f>ROUND(E659*$C659*$E$604,0)</f>
        <v>0</v>
      </c>
      <c r="H659" s="205">
        <f>ROUND(E659*$D659*$E$604,0)</f>
        <v>0</v>
      </c>
      <c r="I659" s="268">
        <f>I636</f>
        <v>333</v>
      </c>
      <c r="J659" s="208"/>
      <c r="K659" s="205">
        <f>ROUND(I659*$C659*$E$604,0)</f>
        <v>0</v>
      </c>
      <c r="M659" s="20"/>
      <c r="N659" s="20"/>
      <c r="O659" s="71"/>
      <c r="P659" s="71"/>
      <c r="Q659" s="20"/>
      <c r="R659" s="20"/>
      <c r="S659" s="20"/>
      <c r="T659" s="20"/>
      <c r="U659" s="20"/>
      <c r="V659" s="20"/>
      <c r="W659" s="20"/>
      <c r="X659" s="20"/>
      <c r="Y659" s="20"/>
      <c r="Z659" s="20"/>
      <c r="AA659" s="20"/>
      <c r="AB659" s="20"/>
      <c r="AC659" s="20"/>
    </row>
    <row r="660" spans="1:29">
      <c r="A660" s="193" t="s">
        <v>442</v>
      </c>
      <c r="B660" s="1"/>
      <c r="C660" s="203">
        <v>0</v>
      </c>
      <c r="D660" s="203">
        <v>0</v>
      </c>
      <c r="E660" s="268">
        <f>E637</f>
        <v>1215</v>
      </c>
      <c r="F660" s="208"/>
      <c r="G660" s="205">
        <f>ROUND(E660*$C660*$E$604,0)</f>
        <v>0</v>
      </c>
      <c r="H660" s="205">
        <f>ROUND(E660*$D660*$E$604,0)</f>
        <v>0</v>
      </c>
      <c r="I660" s="268">
        <f>I637</f>
        <v>1335</v>
      </c>
      <c r="J660" s="208"/>
      <c r="K660" s="205">
        <f>ROUND(I660*$C660*$E$604,0)</f>
        <v>0</v>
      </c>
      <c r="M660" s="20"/>
      <c r="N660" s="20"/>
      <c r="O660" s="71"/>
      <c r="P660" s="71"/>
      <c r="Q660" s="20"/>
      <c r="R660" s="20"/>
      <c r="S660" s="20"/>
      <c r="T660" s="20"/>
      <c r="U660" s="20"/>
      <c r="V660" s="20"/>
      <c r="W660" s="20"/>
      <c r="X660" s="20"/>
      <c r="Y660" s="20"/>
      <c r="Z660" s="20"/>
      <c r="AA660" s="20"/>
      <c r="AB660" s="20"/>
      <c r="AC660" s="20"/>
    </row>
    <row r="661" spans="1:29">
      <c r="A661" s="193" t="s">
        <v>378</v>
      </c>
      <c r="B661" s="1"/>
      <c r="C661" s="203">
        <v>0</v>
      </c>
      <c r="D661" s="203">
        <v>0</v>
      </c>
      <c r="E661" s="268">
        <f>E642</f>
        <v>19.87</v>
      </c>
      <c r="F661" s="208"/>
      <c r="G661" s="205">
        <f>ROUND(E661*$C661*$E$604,0)</f>
        <v>0</v>
      </c>
      <c r="H661" s="205">
        <f>ROUND(E661*$D661*$E$604,0)</f>
        <v>0</v>
      </c>
      <c r="I661" s="268">
        <f>I642</f>
        <v>21.83</v>
      </c>
      <c r="J661" s="208"/>
      <c r="K661" s="205">
        <f>ROUND(I661*$C661*$E$604,0)</f>
        <v>0</v>
      </c>
      <c r="M661" s="20"/>
      <c r="N661" s="20"/>
      <c r="O661" s="71"/>
      <c r="P661" s="71"/>
      <c r="Q661" s="20"/>
      <c r="R661" s="20"/>
      <c r="S661" s="20"/>
      <c r="T661" s="20"/>
      <c r="U661" s="20"/>
      <c r="V661" s="20"/>
      <c r="W661" s="20"/>
      <c r="X661" s="20"/>
      <c r="Y661" s="20"/>
      <c r="Z661" s="20"/>
      <c r="AA661" s="20"/>
      <c r="AB661" s="20"/>
      <c r="AC661" s="20"/>
    </row>
    <row r="662" spans="1:29">
      <c r="A662" s="193" t="s">
        <v>379</v>
      </c>
      <c r="B662" s="1"/>
      <c r="C662" s="203"/>
      <c r="D662" s="203"/>
      <c r="E662" s="268"/>
      <c r="F662" s="208"/>
      <c r="G662" s="205"/>
      <c r="H662" s="205"/>
      <c r="I662" s="268"/>
      <c r="J662" s="208"/>
      <c r="K662" s="205"/>
      <c r="M662" s="20"/>
      <c r="N662" s="20"/>
      <c r="O662" s="71"/>
      <c r="P662" s="71"/>
      <c r="Q662" s="20"/>
      <c r="R662" s="20"/>
      <c r="S662" s="20"/>
      <c r="T662" s="20"/>
      <c r="U662" s="20"/>
      <c r="V662" s="20"/>
      <c r="W662" s="20"/>
      <c r="X662" s="20"/>
      <c r="Y662" s="20"/>
      <c r="Z662" s="20"/>
      <c r="AA662" s="20"/>
      <c r="AB662" s="20"/>
      <c r="AC662" s="20"/>
    </row>
    <row r="663" spans="1:29">
      <c r="A663" s="193" t="s">
        <v>440</v>
      </c>
      <c r="B663" s="1"/>
      <c r="C663" s="203">
        <v>0</v>
      </c>
      <c r="D663" s="203">
        <f>ROUND(($D$676/$C$676)*C663,0)</f>
        <v>0</v>
      </c>
      <c r="E663" s="268">
        <f>E644</f>
        <v>19.87</v>
      </c>
      <c r="F663" s="208"/>
      <c r="G663" s="205">
        <f>ROUND(E663*$C663*$E$604,0)</f>
        <v>0</v>
      </c>
      <c r="H663" s="205">
        <f>ROUND(E663*$D663*$E$604,0)</f>
        <v>0</v>
      </c>
      <c r="I663" s="268">
        <f>I644</f>
        <v>21.83</v>
      </c>
      <c r="J663" s="208"/>
      <c r="K663" s="205">
        <f>ROUND(I663*$C663*$E$604,0)</f>
        <v>0</v>
      </c>
      <c r="M663" s="20"/>
      <c r="N663" s="20"/>
      <c r="O663" s="71"/>
      <c r="P663" s="71"/>
      <c r="Q663" s="20"/>
      <c r="R663" s="20"/>
      <c r="S663" s="20"/>
      <c r="T663" s="20"/>
      <c r="U663" s="20"/>
      <c r="V663" s="20"/>
      <c r="W663" s="20"/>
      <c r="X663" s="20"/>
      <c r="Y663" s="20"/>
      <c r="Z663" s="20"/>
      <c r="AA663" s="20"/>
      <c r="AB663" s="20"/>
      <c r="AC663" s="20"/>
    </row>
    <row r="664" spans="1:29">
      <c r="A664" s="193" t="s">
        <v>441</v>
      </c>
      <c r="B664" s="1"/>
      <c r="C664" s="203">
        <v>0</v>
      </c>
      <c r="D664" s="203">
        <f>ROUND(($D$676/$C$676)*C664,0)</f>
        <v>0</v>
      </c>
      <c r="E664" s="268">
        <f>E645</f>
        <v>13.64</v>
      </c>
      <c r="F664" s="208"/>
      <c r="G664" s="205">
        <f>ROUND(E664*$C664*$E$604,0)</f>
        <v>0</v>
      </c>
      <c r="H664" s="205">
        <f>ROUND(E664*$D664*$E$604,0)</f>
        <v>0</v>
      </c>
      <c r="I664" s="268">
        <f>I645</f>
        <v>14.98</v>
      </c>
      <c r="J664" s="208"/>
      <c r="K664" s="205">
        <f>ROUND(I664*$C664*$E$604,0)</f>
        <v>0</v>
      </c>
      <c r="M664" s="20"/>
      <c r="N664" s="20"/>
      <c r="O664" s="71"/>
      <c r="P664" s="71"/>
      <c r="Q664" s="20"/>
      <c r="R664" s="20"/>
      <c r="S664" s="20"/>
      <c r="T664" s="20"/>
      <c r="U664" s="20"/>
      <c r="V664" s="20"/>
      <c r="W664" s="20"/>
      <c r="X664" s="20"/>
      <c r="Y664" s="20"/>
      <c r="Z664" s="20"/>
      <c r="AA664" s="20"/>
      <c r="AB664" s="20"/>
      <c r="AC664" s="20"/>
    </row>
    <row r="665" spans="1:29">
      <c r="A665" s="193" t="s">
        <v>442</v>
      </c>
      <c r="B665" s="1"/>
      <c r="C665" s="203">
        <v>0</v>
      </c>
      <c r="D665" s="203">
        <f>ROUND(($D$676/$C$676)*C665,0)</f>
        <v>0</v>
      </c>
      <c r="E665" s="268">
        <f>E646</f>
        <v>10.62</v>
      </c>
      <c r="F665" s="208"/>
      <c r="G665" s="205">
        <f>ROUND(E665*$C665*$E$604,0)</f>
        <v>0</v>
      </c>
      <c r="H665" s="205">
        <f>ROUND(E665*$D665*$E$604,0)</f>
        <v>0</v>
      </c>
      <c r="I665" s="268">
        <f>I646</f>
        <v>11.67</v>
      </c>
      <c r="J665" s="208"/>
      <c r="K665" s="205">
        <f>ROUND(I665*$C665*$E$604,0)</f>
        <v>0</v>
      </c>
      <c r="M665" s="20"/>
      <c r="N665" s="20"/>
      <c r="O665" s="71"/>
      <c r="P665" s="71"/>
      <c r="Q665" s="20"/>
      <c r="R665" s="20"/>
      <c r="S665" s="20"/>
      <c r="T665" s="20"/>
      <c r="U665" s="20"/>
      <c r="V665" s="20"/>
      <c r="W665" s="20"/>
      <c r="X665" s="20"/>
      <c r="Y665" s="20"/>
      <c r="Z665" s="20"/>
      <c r="AA665" s="20"/>
      <c r="AB665" s="20"/>
      <c r="AC665" s="20"/>
    </row>
    <row r="666" spans="1:29">
      <c r="A666" s="193" t="s">
        <v>453</v>
      </c>
      <c r="B666" s="1"/>
      <c r="C666" s="203">
        <v>0</v>
      </c>
      <c r="D666" s="203">
        <v>0</v>
      </c>
      <c r="E666" s="237">
        <f>E647</f>
        <v>59.61</v>
      </c>
      <c r="F666" s="208"/>
      <c r="G666" s="205">
        <f>ROUND(E666*$C666*$E$604,0)</f>
        <v>0</v>
      </c>
      <c r="H666" s="205">
        <f>ROUND(E666*$D666*$E$604,0)</f>
        <v>0</v>
      </c>
      <c r="I666" s="237">
        <f>I647</f>
        <v>65.48</v>
      </c>
      <c r="J666" s="208"/>
      <c r="K666" s="205">
        <f>ROUND(I666*$C666*$E$604,0)</f>
        <v>0</v>
      </c>
      <c r="M666" s="20"/>
      <c r="N666" s="20"/>
      <c r="O666" s="71"/>
      <c r="P666" s="71"/>
      <c r="Q666" s="20"/>
      <c r="R666" s="20"/>
      <c r="S666" s="20"/>
      <c r="T666" s="20"/>
      <c r="U666" s="20"/>
      <c r="V666" s="20"/>
      <c r="W666" s="20"/>
      <c r="X666" s="20"/>
      <c r="Y666" s="20"/>
      <c r="Z666" s="20"/>
      <c r="AA666" s="20"/>
      <c r="AB666" s="20"/>
      <c r="AC666" s="20"/>
    </row>
    <row r="667" spans="1:29">
      <c r="A667" s="193" t="s">
        <v>454</v>
      </c>
      <c r="B667" s="1"/>
      <c r="C667" s="203">
        <v>0</v>
      </c>
      <c r="D667" s="203">
        <v>0</v>
      </c>
      <c r="E667" s="237">
        <f>E648</f>
        <v>119.22</v>
      </c>
      <c r="F667" s="208"/>
      <c r="G667" s="205">
        <f>ROUND(E667*$C667*$E$604,0)</f>
        <v>0</v>
      </c>
      <c r="H667" s="205">
        <f>ROUND(E667*$D667*$E$604,0)</f>
        <v>0</v>
      </c>
      <c r="I667" s="237">
        <f>I648</f>
        <v>130.96</v>
      </c>
      <c r="J667" s="208"/>
      <c r="K667" s="205">
        <f>ROUND(I667*$C667*$E$604,0)</f>
        <v>0</v>
      </c>
      <c r="M667" s="20"/>
      <c r="N667" s="20"/>
      <c r="O667" s="71"/>
      <c r="P667" s="71"/>
      <c r="Q667" s="20"/>
      <c r="R667" s="20"/>
      <c r="S667" s="20"/>
      <c r="T667" s="20"/>
      <c r="U667" s="20"/>
      <c r="V667" s="20"/>
      <c r="W667" s="20"/>
      <c r="X667" s="20"/>
      <c r="Y667" s="20"/>
      <c r="Z667" s="20"/>
      <c r="AA667" s="20"/>
      <c r="AB667" s="20"/>
      <c r="AC667" s="20"/>
    </row>
    <row r="668" spans="1:29">
      <c r="A668" s="193" t="s">
        <v>450</v>
      </c>
      <c r="B668" s="1"/>
      <c r="C668" s="203"/>
      <c r="D668" s="203"/>
      <c r="E668" s="221"/>
      <c r="F668" s="208"/>
      <c r="G668" s="205"/>
      <c r="H668" s="205"/>
      <c r="I668" s="221"/>
      <c r="J668" s="208"/>
      <c r="K668" s="205"/>
      <c r="M668" s="20"/>
      <c r="N668" s="20"/>
      <c r="O668" s="71"/>
      <c r="P668" s="71"/>
      <c r="Q668" s="20"/>
      <c r="R668" s="20"/>
      <c r="S668" s="20"/>
      <c r="T668" s="20"/>
      <c r="U668" s="20"/>
      <c r="V668" s="20"/>
      <c r="W668" s="20"/>
      <c r="X668" s="20"/>
      <c r="Y668" s="20"/>
      <c r="Z668" s="20"/>
      <c r="AA668" s="20"/>
      <c r="AB668" s="20"/>
      <c r="AC668" s="20"/>
    </row>
    <row r="669" spans="1:29">
      <c r="A669" s="193" t="s">
        <v>445</v>
      </c>
      <c r="B669" s="1"/>
      <c r="C669" s="203">
        <v>0</v>
      </c>
      <c r="D669" s="203">
        <f>ROUND(($D$676/$C$676)*C669,0)</f>
        <v>0</v>
      </c>
      <c r="E669" s="247">
        <f>E650</f>
        <v>-19.87</v>
      </c>
      <c r="F669" s="208"/>
      <c r="G669" s="205">
        <f>ROUND(E669*$C669*$E$604,0)</f>
        <v>0</v>
      </c>
      <c r="H669" s="205">
        <f>ROUND(E669*$D669*$E$604,0)</f>
        <v>0</v>
      </c>
      <c r="I669" s="247">
        <f>I650</f>
        <v>-21.83</v>
      </c>
      <c r="J669" s="208"/>
      <c r="K669" s="205">
        <f>ROUND(I669*$C669*$E$604,0)</f>
        <v>0</v>
      </c>
      <c r="M669" s="20"/>
      <c r="N669" s="20"/>
      <c r="O669" s="71"/>
      <c r="P669" s="71"/>
      <c r="Q669" s="20"/>
      <c r="R669" s="20"/>
      <c r="S669" s="20"/>
      <c r="T669" s="20"/>
      <c r="U669" s="20"/>
      <c r="V669" s="20"/>
      <c r="W669" s="20"/>
      <c r="X669" s="20"/>
      <c r="Y669" s="20"/>
      <c r="Z669" s="20"/>
      <c r="AA669" s="20"/>
      <c r="AB669" s="20"/>
      <c r="AC669" s="20"/>
    </row>
    <row r="670" spans="1:29">
      <c r="A670" s="193" t="s">
        <v>451</v>
      </c>
      <c r="B670" s="1"/>
      <c r="C670" s="203">
        <v>0</v>
      </c>
      <c r="D670" s="203">
        <f>ROUND(($D$676/$C$676)*C670,0)</f>
        <v>0</v>
      </c>
      <c r="E670" s="247">
        <f>E651</f>
        <v>-19.87</v>
      </c>
      <c r="F670" s="208"/>
      <c r="G670" s="205">
        <f>ROUND(E670*$C670*$E$604,0)</f>
        <v>0</v>
      </c>
      <c r="H670" s="205">
        <f>ROUND(E670*$D670*$E$604,0)</f>
        <v>0</v>
      </c>
      <c r="I670" s="247">
        <f>I651</f>
        <v>-21.83</v>
      </c>
      <c r="J670" s="208"/>
      <c r="K670" s="205">
        <f>ROUND(I670*$C670*$E$604,0)</f>
        <v>0</v>
      </c>
      <c r="M670" s="20"/>
      <c r="N670" s="20"/>
      <c r="O670" s="71"/>
      <c r="P670" s="71"/>
      <c r="Q670" s="20"/>
      <c r="R670" s="20"/>
      <c r="S670" s="20"/>
      <c r="T670" s="20"/>
      <c r="U670" s="20"/>
      <c r="V670" s="20"/>
      <c r="W670" s="20"/>
      <c r="X670" s="20"/>
      <c r="Y670" s="20"/>
      <c r="Z670" s="20"/>
      <c r="AA670" s="20"/>
      <c r="AB670" s="20"/>
      <c r="AC670" s="20"/>
    </row>
    <row r="671" spans="1:29">
      <c r="A671" s="207" t="s">
        <v>414</v>
      </c>
      <c r="B671" s="1"/>
      <c r="C671" s="203"/>
      <c r="D671" s="203"/>
      <c r="E671" s="268"/>
      <c r="F671" s="205"/>
      <c r="G671" s="205"/>
      <c r="H671" s="205"/>
      <c r="I671" s="268"/>
      <c r="J671" s="205"/>
      <c r="K671" s="205"/>
      <c r="M671" s="20"/>
      <c r="N671" s="20"/>
      <c r="O671" s="71"/>
      <c r="P671" s="71"/>
      <c r="Q671" s="20"/>
      <c r="R671" s="20"/>
      <c r="S671" s="20"/>
      <c r="T671" s="20"/>
      <c r="U671" s="20"/>
      <c r="V671" s="20"/>
      <c r="W671" s="20"/>
      <c r="X671" s="20"/>
      <c r="Y671" s="20"/>
      <c r="Z671" s="20"/>
      <c r="AA671" s="20"/>
      <c r="AB671" s="20"/>
      <c r="AC671" s="20"/>
    </row>
    <row r="672" spans="1:29">
      <c r="A672" s="193" t="s">
        <v>452</v>
      </c>
      <c r="B672" s="1"/>
      <c r="C672" s="203">
        <v>0</v>
      </c>
      <c r="D672" s="203">
        <f>ROUND(($D$676/$C$676)*C672,0)</f>
        <v>0</v>
      </c>
      <c r="E672" s="269">
        <f>E653</f>
        <v>5.3710000000000004</v>
      </c>
      <c r="F672" s="205" t="s">
        <v>362</v>
      </c>
      <c r="G672" s="205">
        <f>ROUND(E672/100*$C672*$E$604,0)</f>
        <v>0</v>
      </c>
      <c r="H672" s="205">
        <f>ROUND(E672/100*$D672*$E$604,0)</f>
        <v>0</v>
      </c>
      <c r="I672" s="269">
        <f>I653</f>
        <v>5.9</v>
      </c>
      <c r="J672" s="205" t="s">
        <v>362</v>
      </c>
      <c r="K672" s="205">
        <f>ROUND(I672/100*$C672*$E$604,0)</f>
        <v>0</v>
      </c>
      <c r="M672" s="20"/>
      <c r="N672" s="20"/>
      <c r="O672" s="71"/>
      <c r="P672" s="71"/>
      <c r="Q672" s="20"/>
      <c r="R672" s="20"/>
      <c r="S672" s="20"/>
      <c r="T672" s="20"/>
      <c r="U672" s="20"/>
      <c r="V672" s="20"/>
      <c r="W672" s="20"/>
      <c r="X672" s="20"/>
      <c r="Y672" s="20"/>
      <c r="Z672" s="20"/>
      <c r="AA672" s="20"/>
      <c r="AB672" s="20"/>
      <c r="AC672" s="20"/>
    </row>
    <row r="673" spans="1:29">
      <c r="A673" s="207" t="s">
        <v>388</v>
      </c>
      <c r="B673" s="1"/>
      <c r="C673" s="203">
        <v>0</v>
      </c>
      <c r="D673" s="203">
        <f>ROUND(($D$676/$C$676)*C673,0)</f>
        <v>0</v>
      </c>
      <c r="E673" s="259">
        <f>E654</f>
        <v>45</v>
      </c>
      <c r="F673" s="205" t="s">
        <v>362</v>
      </c>
      <c r="G673" s="205">
        <f>ROUND(E673/100*$C673*$E$604,0)</f>
        <v>0</v>
      </c>
      <c r="H673" s="205">
        <f>ROUND(E673/100*$D673*$E$604,0)</f>
        <v>0</v>
      </c>
      <c r="I673" s="259">
        <f>I654</f>
        <v>50</v>
      </c>
      <c r="J673" s="207" t="s">
        <v>362</v>
      </c>
      <c r="K673" s="205">
        <f>ROUND(I673/100*$C673*$E$604,0)</f>
        <v>0</v>
      </c>
      <c r="M673" s="20"/>
      <c r="N673" s="20"/>
      <c r="O673" s="71"/>
      <c r="P673" s="71"/>
      <c r="Q673" s="20"/>
      <c r="R673" s="20"/>
      <c r="S673" s="20"/>
      <c r="T673" s="20"/>
      <c r="U673" s="20"/>
      <c r="V673" s="20"/>
      <c r="W673" s="20"/>
      <c r="X673" s="20"/>
      <c r="Y673" s="20"/>
      <c r="Z673" s="20"/>
      <c r="AA673" s="20"/>
      <c r="AB673" s="20"/>
      <c r="AC673" s="20"/>
    </row>
    <row r="674" spans="1:29">
      <c r="A674" s="207" t="s">
        <v>431</v>
      </c>
      <c r="B674" s="1"/>
      <c r="C674" s="203">
        <v>0</v>
      </c>
      <c r="D674" s="203">
        <v>0</v>
      </c>
      <c r="E674" s="182">
        <f>$E$623</f>
        <v>60</v>
      </c>
      <c r="F674" s="248" t="s">
        <v>31</v>
      </c>
      <c r="G674" s="205">
        <f>ROUND(E674*$C674,0)</f>
        <v>0</v>
      </c>
      <c r="H674" s="205">
        <f>ROUND(E674*$D674,0)</f>
        <v>0</v>
      </c>
      <c r="I674" s="182">
        <f>$I$623</f>
        <v>60</v>
      </c>
      <c r="J674" s="1"/>
      <c r="K674" s="205">
        <f>ROUND(I674*$C674,0)</f>
        <v>0</v>
      </c>
      <c r="M674" s="20"/>
      <c r="N674" s="20"/>
      <c r="O674" s="71"/>
      <c r="P674" s="71"/>
      <c r="Q674" s="20"/>
      <c r="R674" s="20"/>
      <c r="S674" s="20"/>
      <c r="T674" s="20"/>
      <c r="U674" s="20"/>
      <c r="V674" s="20"/>
      <c r="W674" s="20"/>
      <c r="X674" s="20"/>
      <c r="Y674" s="20"/>
      <c r="Z674" s="20"/>
      <c r="AA674" s="20"/>
      <c r="AB674" s="20"/>
      <c r="AC674" s="20"/>
    </row>
    <row r="675" spans="1:29">
      <c r="A675" s="207" t="s">
        <v>432</v>
      </c>
      <c r="B675" s="1"/>
      <c r="C675" s="203">
        <v>0</v>
      </c>
      <c r="D675" s="203">
        <f>ROUND(($D$676/$C$676)*C675,0)</f>
        <v>0</v>
      </c>
      <c r="E675" s="223">
        <f>$E$624</f>
        <v>-30</v>
      </c>
      <c r="F675" s="205" t="s">
        <v>362</v>
      </c>
      <c r="G675" s="205">
        <f>ROUND(E675*$C675,0)</f>
        <v>0</v>
      </c>
      <c r="H675" s="205">
        <f>ROUND(E675*$D675,0)</f>
        <v>0</v>
      </c>
      <c r="I675" s="223">
        <f>$I$624</f>
        <v>-30</v>
      </c>
      <c r="J675" s="205" t="s">
        <v>362</v>
      </c>
      <c r="K675" s="205">
        <f>ROUND(I675*$C675,0)</f>
        <v>0</v>
      </c>
      <c r="M675" s="20"/>
      <c r="N675" s="20"/>
      <c r="O675" s="71"/>
      <c r="P675" s="71"/>
      <c r="Q675" s="20"/>
      <c r="R675" s="20"/>
      <c r="S675" s="20"/>
      <c r="T675" s="20"/>
      <c r="U675" s="20"/>
      <c r="V675" s="20"/>
      <c r="W675" s="20"/>
      <c r="X675" s="20"/>
      <c r="Y675" s="20"/>
      <c r="Z675" s="20"/>
      <c r="AA675" s="20"/>
      <c r="AB675" s="20"/>
      <c r="AC675" s="20"/>
    </row>
    <row r="676" spans="1:29">
      <c r="A676" s="1" t="s">
        <v>369</v>
      </c>
      <c r="B676" s="1"/>
      <c r="C676" s="203">
        <f>SUM(C653:C653)</f>
        <v>144173305</v>
      </c>
      <c r="D676" s="203">
        <v>132402479.40697747</v>
      </c>
      <c r="E676" s="214"/>
      <c r="F676" s="2"/>
      <c r="G676" s="2">
        <f>SUM(G633:G675)</f>
        <v>9419089</v>
      </c>
      <c r="H676" s="2">
        <f>SUM(H633:H675)</f>
        <v>8660203</v>
      </c>
      <c r="I676" s="214"/>
      <c r="J676" s="207"/>
      <c r="K676" s="2">
        <f>SUM(K633:K675)</f>
        <v>10347787</v>
      </c>
      <c r="M676" s="20"/>
      <c r="N676" s="20"/>
      <c r="O676" s="71"/>
      <c r="P676" s="71"/>
      <c r="Q676" s="20"/>
      <c r="R676" s="20"/>
      <c r="S676" s="20"/>
      <c r="T676" s="20"/>
      <c r="U676" s="20"/>
      <c r="V676" s="20"/>
      <c r="W676" s="20"/>
      <c r="X676" s="20"/>
      <c r="Y676" s="20"/>
      <c r="Z676" s="20"/>
      <c r="AA676" s="20"/>
      <c r="AB676" s="20"/>
      <c r="AC676" s="20"/>
    </row>
    <row r="677" spans="1:29">
      <c r="A677" s="1" t="s">
        <v>351</v>
      </c>
      <c r="B677" s="1"/>
      <c r="C677" s="233" t="e">
        <f>#REF!</f>
        <v>#REF!</v>
      </c>
      <c r="D677" s="233">
        <v>0</v>
      </c>
      <c r="E677" s="193"/>
      <c r="F677" s="193"/>
      <c r="G677" s="194" t="e">
        <f>#REF!</f>
        <v>#REF!</v>
      </c>
      <c r="H677" s="194">
        <v>0</v>
      </c>
      <c r="I677" s="193"/>
      <c r="J677" s="193"/>
      <c r="K677" s="194" t="e">
        <f>G677</f>
        <v>#REF!</v>
      </c>
      <c r="M677" s="328"/>
      <c r="N677" s="328"/>
      <c r="O677" s="171"/>
      <c r="P677" s="71"/>
      <c r="Q677" s="20"/>
      <c r="R677" s="20"/>
      <c r="S677" s="20"/>
      <c r="T677" s="20"/>
      <c r="U677" s="20"/>
      <c r="V677" s="20"/>
      <c r="W677" s="20"/>
      <c r="X677" s="20"/>
      <c r="Y677" s="20"/>
      <c r="Z677" s="20"/>
      <c r="AA677" s="20"/>
      <c r="AB677" s="20"/>
      <c r="AC677" s="20"/>
    </row>
    <row r="678" spans="1:29" ht="16.5" thickBot="1">
      <c r="A678" s="1" t="s">
        <v>370</v>
      </c>
      <c r="B678" s="1"/>
      <c r="C678" s="250" t="e">
        <f>SUM(C676:C677)</f>
        <v>#REF!</v>
      </c>
      <c r="D678" s="250">
        <f>SUM(D676:D677)</f>
        <v>132402479.40697747</v>
      </c>
      <c r="E678" s="226"/>
      <c r="F678" s="227"/>
      <c r="G678" s="228" t="e">
        <f>G676+G677</f>
        <v>#REF!</v>
      </c>
      <c r="H678" s="228">
        <f>H676+H677</f>
        <v>8660203</v>
      </c>
      <c r="I678" s="226"/>
      <c r="J678" s="229"/>
      <c r="K678" s="228" t="e">
        <f>K676+K677</f>
        <v>#REF!</v>
      </c>
      <c r="M678" s="295"/>
      <c r="N678" s="295"/>
      <c r="O678" s="354"/>
      <c r="P678" s="71"/>
      <c r="Q678" s="20"/>
      <c r="R678" s="20"/>
      <c r="S678" s="20"/>
      <c r="T678" s="20"/>
      <c r="U678" s="20"/>
      <c r="V678" s="20"/>
      <c r="W678" s="20"/>
      <c r="X678" s="20"/>
      <c r="Y678" s="20"/>
      <c r="Z678" s="20"/>
      <c r="AA678" s="20"/>
      <c r="AB678" s="20"/>
      <c r="AC678" s="20"/>
    </row>
    <row r="679" spans="1:29" ht="16.5" thickTop="1">
      <c r="A679" s="1"/>
      <c r="B679" s="1"/>
      <c r="C679" s="25"/>
      <c r="D679" s="25"/>
      <c r="E679" s="235"/>
      <c r="F679" s="236"/>
      <c r="G679" s="206"/>
      <c r="H679" s="206"/>
      <c r="I679" s="270" t="s">
        <v>31</v>
      </c>
      <c r="J679" s="23"/>
      <c r="K679" s="156" t="s">
        <v>31</v>
      </c>
      <c r="M679" s="20"/>
      <c r="N679" s="20"/>
      <c r="O679" s="71"/>
      <c r="P679" s="71"/>
      <c r="Q679" s="20"/>
      <c r="R679" s="20"/>
      <c r="S679" s="20"/>
      <c r="T679" s="20"/>
      <c r="U679" s="20"/>
      <c r="V679" s="20"/>
      <c r="W679" s="20"/>
      <c r="X679" s="20"/>
      <c r="Y679" s="20"/>
      <c r="Z679" s="20"/>
      <c r="AA679" s="20"/>
      <c r="AB679" s="20"/>
      <c r="AC679" s="20"/>
    </row>
    <row r="680" spans="1:29">
      <c r="A680" s="177" t="s">
        <v>455</v>
      </c>
      <c r="B680" s="1"/>
      <c r="C680" s="21"/>
      <c r="D680" s="21"/>
      <c r="E680" s="221"/>
      <c r="F680" s="2"/>
      <c r="G680" s="2"/>
      <c r="H680" s="2"/>
      <c r="I680" s="221"/>
      <c r="J680" s="1"/>
      <c r="K680" s="2"/>
      <c r="M680" s="20"/>
      <c r="N680" s="20"/>
      <c r="O680" s="71"/>
      <c r="P680" s="71"/>
      <c r="Q680" s="20"/>
      <c r="R680" s="20"/>
      <c r="S680" s="20"/>
      <c r="T680" s="20"/>
      <c r="U680" s="20"/>
      <c r="V680" s="20"/>
      <c r="W680" s="20"/>
      <c r="X680" s="20"/>
      <c r="Y680" s="20"/>
      <c r="Z680" s="20"/>
      <c r="AA680" s="20"/>
      <c r="AB680" s="20"/>
      <c r="AC680" s="20"/>
    </row>
    <row r="681" spans="1:29">
      <c r="A681" s="193" t="s">
        <v>456</v>
      </c>
      <c r="B681" s="1"/>
      <c r="C681" s="21"/>
      <c r="D681" s="21"/>
      <c r="E681" s="221"/>
      <c r="F681" s="2"/>
      <c r="G681" s="2"/>
      <c r="H681" s="2"/>
      <c r="I681" s="221"/>
      <c r="J681" s="1"/>
      <c r="K681" s="2"/>
      <c r="M681" s="20"/>
      <c r="N681" s="20"/>
      <c r="O681" s="71"/>
      <c r="P681" s="71"/>
      <c r="Q681" s="20"/>
      <c r="R681" s="20"/>
      <c r="S681" s="20"/>
      <c r="T681" s="20"/>
      <c r="U681" s="20"/>
      <c r="V681" s="20"/>
      <c r="W681" s="20"/>
      <c r="X681" s="20"/>
      <c r="Y681" s="20"/>
      <c r="Z681" s="20"/>
      <c r="AA681" s="20"/>
      <c r="AB681" s="20"/>
      <c r="AC681" s="20"/>
    </row>
    <row r="682" spans="1:29">
      <c r="A682" s="207"/>
      <c r="B682" s="1"/>
      <c r="C682" s="21"/>
      <c r="D682" s="21"/>
      <c r="E682" s="221"/>
      <c r="F682" s="2"/>
      <c r="G682" s="264"/>
      <c r="H682" s="264"/>
      <c r="I682" s="221"/>
      <c r="J682" s="1"/>
      <c r="K682" s="265"/>
      <c r="M682" s="20"/>
      <c r="N682" s="20"/>
      <c r="O682" s="71"/>
      <c r="P682" s="71"/>
      <c r="Q682" s="20"/>
      <c r="R682" s="20"/>
      <c r="S682" s="20"/>
      <c r="T682" s="20"/>
      <c r="U682" s="20"/>
      <c r="V682" s="20"/>
      <c r="W682" s="20"/>
      <c r="X682" s="20"/>
      <c r="Y682" s="20"/>
      <c r="Z682" s="20"/>
      <c r="AA682" s="20"/>
      <c r="AB682" s="20"/>
      <c r="AC682" s="20"/>
    </row>
    <row r="683" spans="1:29">
      <c r="A683" s="193" t="s">
        <v>437</v>
      </c>
      <c r="B683" s="1"/>
      <c r="C683" s="203"/>
      <c r="D683" s="203"/>
      <c r="E683" s="2" t="s">
        <v>31</v>
      </c>
      <c r="F683" s="2"/>
      <c r="G683" s="1"/>
      <c r="H683" s="1"/>
      <c r="I683" s="2" t="s">
        <v>31</v>
      </c>
      <c r="J683" s="1"/>
      <c r="K683" s="1"/>
      <c r="M683" s="20"/>
      <c r="N683" s="20"/>
      <c r="O683" s="71"/>
      <c r="P683" s="71"/>
      <c r="Q683" s="20"/>
      <c r="R683" s="20"/>
      <c r="S683" s="20"/>
      <c r="T683" s="20"/>
      <c r="U683" s="20"/>
      <c r="V683" s="20"/>
      <c r="W683" s="20"/>
      <c r="X683" s="20"/>
      <c r="Y683" s="20"/>
      <c r="Z683" s="20"/>
      <c r="AA683" s="20"/>
      <c r="AB683" s="20"/>
      <c r="AC683" s="20"/>
    </row>
    <row r="684" spans="1:29">
      <c r="A684" s="193" t="s">
        <v>438</v>
      </c>
      <c r="B684" s="1"/>
      <c r="C684" s="203">
        <v>161</v>
      </c>
      <c r="D684" s="203">
        <v>167</v>
      </c>
      <c r="E684" s="221">
        <f>$E$582</f>
        <v>0</v>
      </c>
      <c r="F684" s="208"/>
      <c r="G684" s="205">
        <f>ROUND(E684*$C684,0)</f>
        <v>0</v>
      </c>
      <c r="H684" s="205">
        <f>ROUND(E684*$D684,0)</f>
        <v>0</v>
      </c>
      <c r="I684" s="221">
        <f>$I$582</f>
        <v>0</v>
      </c>
      <c r="J684" s="208"/>
      <c r="K684" s="205">
        <f>ROUND(I684*$C684,0)</f>
        <v>0</v>
      </c>
      <c r="M684" s="20"/>
      <c r="N684" s="20"/>
      <c r="O684" s="71"/>
      <c r="P684" s="71"/>
      <c r="Q684" s="20"/>
      <c r="R684" s="20"/>
      <c r="S684" s="20"/>
      <c r="T684" s="20"/>
      <c r="U684" s="20"/>
      <c r="V684" s="20"/>
      <c r="W684" s="20"/>
      <c r="X684" s="20"/>
      <c r="Y684" s="20"/>
      <c r="Z684" s="20"/>
      <c r="AA684" s="20"/>
      <c r="AB684" s="20"/>
      <c r="AC684" s="20"/>
    </row>
    <row r="685" spans="1:29">
      <c r="A685" s="193" t="s">
        <v>439</v>
      </c>
      <c r="B685" s="1"/>
      <c r="C685" s="203"/>
      <c r="D685" s="203"/>
      <c r="E685" s="221"/>
      <c r="F685" s="208"/>
      <c r="G685" s="205"/>
      <c r="H685" s="205"/>
      <c r="I685" s="221"/>
      <c r="J685" s="208"/>
      <c r="K685" s="205"/>
      <c r="M685" s="20"/>
      <c r="N685" s="20"/>
      <c r="O685" s="71"/>
      <c r="P685" s="71"/>
      <c r="Q685" s="20"/>
      <c r="R685" s="20"/>
      <c r="S685" s="20"/>
      <c r="T685" s="20"/>
      <c r="U685" s="20"/>
      <c r="V685" s="20"/>
      <c r="W685" s="20"/>
      <c r="X685" s="20"/>
      <c r="Y685" s="20"/>
      <c r="Z685" s="20"/>
      <c r="AA685" s="20"/>
      <c r="AB685" s="20"/>
      <c r="AC685" s="20"/>
    </row>
    <row r="686" spans="1:29">
      <c r="A686" s="193" t="s">
        <v>440</v>
      </c>
      <c r="B686" s="1"/>
      <c r="C686" s="203">
        <v>387</v>
      </c>
      <c r="D686" s="203">
        <v>401</v>
      </c>
      <c r="E686" s="221">
        <f>$E$584</f>
        <v>0</v>
      </c>
      <c r="F686" s="208"/>
      <c r="G686" s="205">
        <f>ROUND(E686*$C686,0)</f>
        <v>0</v>
      </c>
      <c r="H686" s="205">
        <f>ROUND(E686*$D686,0)</f>
        <v>0</v>
      </c>
      <c r="I686" s="221">
        <f>$I$584</f>
        <v>0</v>
      </c>
      <c r="J686" s="208"/>
      <c r="K686" s="205">
        <f>ROUND(I686*$C686,0)</f>
        <v>0</v>
      </c>
      <c r="M686" s="20"/>
      <c r="N686" s="20"/>
      <c r="O686" s="71"/>
      <c r="P686" s="71"/>
      <c r="Q686" s="20"/>
      <c r="R686" s="20"/>
      <c r="S686" s="20"/>
      <c r="T686" s="20"/>
      <c r="U686" s="20"/>
      <c r="V686" s="20"/>
      <c r="W686" s="20"/>
      <c r="X686" s="20"/>
      <c r="Y686" s="20"/>
      <c r="Z686" s="20"/>
      <c r="AA686" s="20"/>
      <c r="AB686" s="20"/>
      <c r="AC686" s="20"/>
    </row>
    <row r="687" spans="1:29">
      <c r="A687" s="193" t="s">
        <v>441</v>
      </c>
      <c r="B687" s="1"/>
      <c r="C687" s="203">
        <v>37</v>
      </c>
      <c r="D687" s="203">
        <v>38</v>
      </c>
      <c r="E687" s="221">
        <f>$E$585</f>
        <v>301</v>
      </c>
      <c r="F687" s="208"/>
      <c r="G687" s="205">
        <f>ROUND(E687*$C687,0)</f>
        <v>11137</v>
      </c>
      <c r="H687" s="205">
        <f>ROUND(E687*$D687,0)</f>
        <v>11438</v>
      </c>
      <c r="I687" s="221">
        <f>$I$585</f>
        <v>333</v>
      </c>
      <c r="J687" s="208"/>
      <c r="K687" s="205">
        <f>ROUND(I687*$C687,0)</f>
        <v>12321</v>
      </c>
      <c r="M687" s="20"/>
      <c r="N687" s="20"/>
      <c r="O687" s="71"/>
      <c r="P687" s="71"/>
      <c r="Q687" s="20"/>
      <c r="R687" s="20"/>
      <c r="S687" s="20"/>
      <c r="T687" s="20"/>
      <c r="U687" s="20"/>
      <c r="V687" s="20"/>
      <c r="W687" s="20"/>
      <c r="X687" s="20"/>
      <c r="Y687" s="20"/>
      <c r="Z687" s="20"/>
      <c r="AA687" s="20"/>
      <c r="AB687" s="20"/>
      <c r="AC687" s="20"/>
    </row>
    <row r="688" spans="1:29">
      <c r="A688" s="193" t="s">
        <v>442</v>
      </c>
      <c r="B688" s="1"/>
      <c r="C688" s="203">
        <v>2</v>
      </c>
      <c r="D688" s="203">
        <v>2</v>
      </c>
      <c r="E688" s="221">
        <f>$E$586</f>
        <v>1215</v>
      </c>
      <c r="F688" s="208"/>
      <c r="G688" s="205">
        <f>ROUND(E688*$C688,0)</f>
        <v>2430</v>
      </c>
      <c r="H688" s="205">
        <f>ROUND(E688*$D688,0)</f>
        <v>2430</v>
      </c>
      <c r="I688" s="221">
        <f>$I$586</f>
        <v>1335</v>
      </c>
      <c r="J688" s="208"/>
      <c r="K688" s="205">
        <f>ROUND(I688*$C688,0)</f>
        <v>2670</v>
      </c>
      <c r="M688" s="20"/>
      <c r="N688" s="20"/>
      <c r="O688" s="71"/>
      <c r="P688" s="71"/>
      <c r="Q688" s="20"/>
      <c r="R688" s="20"/>
      <c r="S688" s="20"/>
      <c r="T688" s="20"/>
      <c r="U688" s="20"/>
      <c r="V688" s="20"/>
      <c r="W688" s="20"/>
      <c r="X688" s="20"/>
      <c r="Y688" s="20"/>
      <c r="Z688" s="20"/>
      <c r="AA688" s="20"/>
      <c r="AB688" s="20"/>
      <c r="AC688" s="20"/>
    </row>
    <row r="689" spans="1:29">
      <c r="A689" s="193" t="s">
        <v>350</v>
      </c>
      <c r="B689" s="1"/>
      <c r="C689" s="203">
        <f>SUM(C684:C688)</f>
        <v>587</v>
      </c>
      <c r="D689" s="203">
        <v>608.93144040394361</v>
      </c>
      <c r="E689" s="221"/>
      <c r="F689" s="208"/>
      <c r="G689" s="205"/>
      <c r="H689" s="205"/>
      <c r="I689" s="221"/>
      <c r="J689" s="208"/>
      <c r="K689" s="205"/>
      <c r="M689" s="20"/>
      <c r="N689" s="20"/>
      <c r="O689" s="71"/>
      <c r="P689" s="71"/>
      <c r="Q689" s="20"/>
      <c r="R689" s="20"/>
      <c r="S689" s="20"/>
      <c r="T689" s="20"/>
      <c r="U689" s="20"/>
      <c r="V689" s="20"/>
      <c r="W689" s="20"/>
      <c r="X689" s="20"/>
      <c r="Y689" s="20"/>
      <c r="Z689" s="20"/>
      <c r="AA689" s="20"/>
      <c r="AB689" s="20"/>
      <c r="AC689" s="20"/>
    </row>
    <row r="690" spans="1:29">
      <c r="A690" s="193" t="s">
        <v>443</v>
      </c>
      <c r="B690" s="1"/>
      <c r="C690" s="203">
        <f>4+8+1033+2769+281+16</f>
        <v>4111</v>
      </c>
      <c r="D690" s="203">
        <v>4265</v>
      </c>
      <c r="E690" s="221"/>
      <c r="F690" s="205"/>
      <c r="G690" s="205"/>
      <c r="H690" s="205"/>
      <c r="I690" s="221"/>
      <c r="J690" s="205"/>
      <c r="K690" s="205"/>
      <c r="M690" s="20"/>
      <c r="N690" s="20"/>
      <c r="O690" s="71"/>
      <c r="P690" s="71"/>
      <c r="Q690" s="20"/>
      <c r="R690" s="20"/>
      <c r="S690" s="20"/>
      <c r="T690" s="20"/>
      <c r="U690" s="20"/>
      <c r="V690" s="20"/>
      <c r="W690" s="20"/>
      <c r="X690" s="20"/>
      <c r="Y690" s="20"/>
      <c r="Z690" s="20"/>
      <c r="AA690" s="20"/>
      <c r="AB690" s="20"/>
      <c r="AC690" s="20"/>
    </row>
    <row r="691" spans="1:29">
      <c r="A691" s="193" t="s">
        <v>104</v>
      </c>
      <c r="B691" s="1"/>
      <c r="C691" s="203">
        <f>1+1+181+460+38+2</f>
        <v>683</v>
      </c>
      <c r="D691" s="203">
        <v>709</v>
      </c>
      <c r="E691" s="221"/>
      <c r="F691" s="205"/>
      <c r="G691" s="205"/>
      <c r="H691" s="205"/>
      <c r="I691" s="221"/>
      <c r="J691" s="205"/>
      <c r="K691" s="205"/>
      <c r="M691" s="20"/>
      <c r="N691" s="20"/>
      <c r="O691" s="71"/>
      <c r="P691" s="71"/>
      <c r="Q691" s="20"/>
      <c r="R691" s="20"/>
      <c r="S691" s="20"/>
      <c r="T691" s="20"/>
      <c r="U691" s="20"/>
      <c r="V691" s="20"/>
      <c r="W691" s="20"/>
      <c r="X691" s="20"/>
      <c r="Y691" s="20"/>
      <c r="Z691" s="20"/>
      <c r="AA691" s="20"/>
      <c r="AB691" s="20"/>
      <c r="AC691" s="20"/>
    </row>
    <row r="692" spans="1:29">
      <c r="A692" s="193" t="s">
        <v>444</v>
      </c>
      <c r="B692" s="1"/>
      <c r="C692" s="203"/>
      <c r="D692" s="203"/>
      <c r="E692" s="221"/>
      <c r="F692" s="208"/>
      <c r="G692" s="205"/>
      <c r="H692" s="205"/>
      <c r="I692" s="221"/>
      <c r="J692" s="208"/>
      <c r="K692" s="205"/>
      <c r="M692" s="20"/>
      <c r="N692" s="20"/>
      <c r="O692" s="71"/>
      <c r="P692" s="71"/>
      <c r="Q692" s="20"/>
      <c r="R692" s="20"/>
      <c r="S692" s="20"/>
      <c r="T692" s="20"/>
      <c r="U692" s="20"/>
      <c r="V692" s="20"/>
      <c r="W692" s="20"/>
      <c r="X692" s="20"/>
      <c r="Y692" s="20"/>
      <c r="Z692" s="20"/>
      <c r="AA692" s="20"/>
      <c r="AB692" s="20"/>
      <c r="AC692" s="20"/>
    </row>
    <row r="693" spans="1:29">
      <c r="A693" s="193" t="s">
        <v>445</v>
      </c>
      <c r="B693" s="1"/>
      <c r="C693" s="203">
        <v>959</v>
      </c>
      <c r="D693" s="203">
        <f>ROUND(($D$727/$C$727)*C693,0)</f>
        <v>874</v>
      </c>
      <c r="E693" s="221">
        <f>$E$591</f>
        <v>19.87</v>
      </c>
      <c r="F693" s="208"/>
      <c r="G693" s="205">
        <f>ROUND(E693*$C693,0)</f>
        <v>19055</v>
      </c>
      <c r="H693" s="205">
        <f>ROUND(E693*$D693,0)</f>
        <v>17366</v>
      </c>
      <c r="I693" s="221">
        <f>$I$591</f>
        <v>21.83</v>
      </c>
      <c r="J693" s="208"/>
      <c r="K693" s="205">
        <f>ROUND(I693*$C693,0)</f>
        <v>20935</v>
      </c>
      <c r="M693" s="20"/>
      <c r="N693" s="20"/>
      <c r="O693" s="71"/>
      <c r="P693" s="71"/>
      <c r="Q693" s="20"/>
      <c r="R693" s="20"/>
      <c r="S693" s="20"/>
      <c r="T693" s="20"/>
      <c r="U693" s="20"/>
      <c r="V693" s="20"/>
      <c r="W693" s="20"/>
      <c r="X693" s="20"/>
      <c r="Y693" s="20"/>
      <c r="Z693" s="20"/>
      <c r="AA693" s="20"/>
      <c r="AB693" s="20"/>
      <c r="AC693" s="20"/>
    </row>
    <row r="694" spans="1:29">
      <c r="A694" s="193" t="s">
        <v>446</v>
      </c>
      <c r="B694" s="1"/>
      <c r="C694" s="203"/>
      <c r="D694" s="203"/>
      <c r="E694" s="221"/>
      <c r="F694" s="208"/>
      <c r="G694" s="205"/>
      <c r="H694" s="205"/>
      <c r="I694" s="221"/>
      <c r="J694" s="208"/>
      <c r="K694" s="205"/>
      <c r="M694" s="20"/>
      <c r="N694" s="20"/>
      <c r="O694" s="71"/>
      <c r="P694" s="71"/>
      <c r="Q694" s="20"/>
      <c r="R694" s="20"/>
      <c r="S694" s="20"/>
      <c r="T694" s="20"/>
      <c r="U694" s="20"/>
      <c r="V694" s="20"/>
      <c r="W694" s="20"/>
      <c r="X694" s="20"/>
      <c r="Y694" s="20"/>
      <c r="Z694" s="20"/>
      <c r="AA694" s="20"/>
      <c r="AB694" s="20"/>
      <c r="AC694" s="20"/>
    </row>
    <row r="695" spans="1:29">
      <c r="A695" s="193" t="s">
        <v>440</v>
      </c>
      <c r="B695" s="1"/>
      <c r="C695" s="203">
        <f>6331+40</f>
        <v>6371</v>
      </c>
      <c r="D695" s="203">
        <f>ROUND(($D$727/$C$727)*C695,0)</f>
        <v>5809</v>
      </c>
      <c r="E695" s="221">
        <f>$E$593</f>
        <v>19.87</v>
      </c>
      <c r="F695" s="208"/>
      <c r="G695" s="205">
        <f>ROUND(E695*$C695,0)</f>
        <v>126592</v>
      </c>
      <c r="H695" s="205">
        <f>ROUND(E695*$D695,0)</f>
        <v>115425</v>
      </c>
      <c r="I695" s="221">
        <f>$I$593</f>
        <v>21.83</v>
      </c>
      <c r="J695" s="208"/>
      <c r="K695" s="205">
        <f>ROUND(I695*$C695,0)</f>
        <v>139079</v>
      </c>
      <c r="M695" s="20"/>
      <c r="N695" s="20"/>
      <c r="O695" s="71"/>
      <c r="P695" s="71"/>
      <c r="Q695" s="20"/>
      <c r="R695" s="20"/>
      <c r="S695" s="20"/>
      <c r="T695" s="20"/>
      <c r="U695" s="20"/>
      <c r="V695" s="20"/>
      <c r="W695" s="20"/>
      <c r="X695" s="20"/>
      <c r="Y695" s="20"/>
      <c r="Z695" s="20"/>
      <c r="AA695" s="20"/>
      <c r="AB695" s="20"/>
      <c r="AC695" s="20"/>
    </row>
    <row r="696" spans="1:29">
      <c r="A696" s="193" t="s">
        <v>441</v>
      </c>
      <c r="B696" s="1"/>
      <c r="C696" s="203">
        <f>3750</f>
        <v>3750</v>
      </c>
      <c r="D696" s="203">
        <f>ROUND(($D$727/$C$727)*C696,0)</f>
        <v>3419</v>
      </c>
      <c r="E696" s="221">
        <f>$E$594</f>
        <v>13.64</v>
      </c>
      <c r="F696" s="208"/>
      <c r="G696" s="205">
        <f>ROUND(E696*$C696,0)</f>
        <v>51150</v>
      </c>
      <c r="H696" s="205">
        <f>ROUND(E696*$D696,0)</f>
        <v>46635</v>
      </c>
      <c r="I696" s="221">
        <f>$I$594</f>
        <v>14.98</v>
      </c>
      <c r="J696" s="208"/>
      <c r="K696" s="205">
        <f>ROUND(I696*$C696,0)</f>
        <v>56175</v>
      </c>
      <c r="M696" s="20"/>
      <c r="N696" s="20"/>
      <c r="O696" s="71"/>
      <c r="P696" s="71"/>
      <c r="Q696" s="20"/>
      <c r="R696" s="20"/>
      <c r="S696" s="20"/>
      <c r="T696" s="20"/>
      <c r="U696" s="20"/>
      <c r="V696" s="20"/>
      <c r="W696" s="20"/>
      <c r="X696" s="20"/>
      <c r="Y696" s="20"/>
      <c r="Z696" s="20"/>
      <c r="AA696" s="20"/>
      <c r="AB696" s="20"/>
      <c r="AC696" s="20"/>
    </row>
    <row r="697" spans="1:29">
      <c r="A697" s="193" t="s">
        <v>442</v>
      </c>
      <c r="B697" s="1"/>
      <c r="C697" s="203">
        <f>969</f>
        <v>969</v>
      </c>
      <c r="D697" s="203">
        <f>ROUND(($D$727/$C$727)*C697,0)</f>
        <v>884</v>
      </c>
      <c r="E697" s="221">
        <f>$E$595</f>
        <v>10.62</v>
      </c>
      <c r="F697" s="208"/>
      <c r="G697" s="205">
        <f>ROUND(E697*$C697,0)</f>
        <v>10291</v>
      </c>
      <c r="H697" s="205">
        <f>ROUND(E697*$D697,0)</f>
        <v>9388</v>
      </c>
      <c r="I697" s="221">
        <f>$I$595</f>
        <v>11.67</v>
      </c>
      <c r="J697" s="208"/>
      <c r="K697" s="205">
        <f>ROUND(I697*$C697,0)</f>
        <v>11308</v>
      </c>
      <c r="M697" s="20"/>
      <c r="N697" s="20"/>
      <c r="O697" s="71"/>
      <c r="P697" s="71"/>
      <c r="Q697" s="20"/>
      <c r="R697" s="20"/>
      <c r="S697" s="20"/>
      <c r="T697" s="20"/>
      <c r="U697" s="20"/>
      <c r="V697" s="20"/>
      <c r="W697" s="20"/>
      <c r="X697" s="20"/>
      <c r="Y697" s="20"/>
      <c r="Z697" s="20"/>
      <c r="AA697" s="20"/>
      <c r="AB697" s="20"/>
      <c r="AC697" s="20"/>
    </row>
    <row r="698" spans="1:29">
      <c r="A698" s="193" t="s">
        <v>448</v>
      </c>
      <c r="B698" s="1"/>
      <c r="C698" s="203">
        <v>31</v>
      </c>
      <c r="D698" s="203">
        <v>28</v>
      </c>
      <c r="E698" s="221">
        <f>$E$596</f>
        <v>59.61</v>
      </c>
      <c r="F698" s="208"/>
      <c r="G698" s="205">
        <f>ROUND(E698*$C698,0)</f>
        <v>1848</v>
      </c>
      <c r="H698" s="205">
        <f>ROUND(E698*$D698,0)</f>
        <v>1669</v>
      </c>
      <c r="I698" s="221">
        <f>$I$596</f>
        <v>65.48</v>
      </c>
      <c r="J698" s="208"/>
      <c r="K698" s="205">
        <f>ROUND(I698*$C698,0)</f>
        <v>2030</v>
      </c>
      <c r="M698" s="20"/>
      <c r="N698" s="20"/>
      <c r="O698" s="71"/>
      <c r="P698" s="71"/>
      <c r="Q698" s="20"/>
      <c r="R698" s="20"/>
      <c r="S698" s="20"/>
      <c r="T698" s="20"/>
      <c r="U698" s="20"/>
      <c r="V698" s="20"/>
      <c r="W698" s="20"/>
      <c r="X698" s="20"/>
      <c r="Y698" s="20"/>
      <c r="Z698" s="20"/>
      <c r="AA698" s="20"/>
      <c r="AB698" s="20"/>
      <c r="AC698" s="20"/>
    </row>
    <row r="699" spans="1:29">
      <c r="A699" s="193" t="s">
        <v>449</v>
      </c>
      <c r="B699" s="1"/>
      <c r="C699" s="203">
        <v>148</v>
      </c>
      <c r="D699" s="203">
        <v>135</v>
      </c>
      <c r="E699" s="221">
        <f>$E$597</f>
        <v>119.22</v>
      </c>
      <c r="F699" s="208"/>
      <c r="G699" s="205">
        <f>ROUND(E699*$C699,0)</f>
        <v>17645</v>
      </c>
      <c r="H699" s="205">
        <f>ROUND(E699*$D699,0)</f>
        <v>16095</v>
      </c>
      <c r="I699" s="221">
        <f>$I$597</f>
        <v>130.96</v>
      </c>
      <c r="J699" s="208"/>
      <c r="K699" s="205">
        <f>ROUND(I699*$C699,0)</f>
        <v>19382</v>
      </c>
      <c r="M699" s="20"/>
      <c r="N699" s="20"/>
      <c r="O699" s="71"/>
      <c r="P699" s="71"/>
      <c r="Q699" s="20"/>
      <c r="R699" s="20"/>
      <c r="S699" s="20"/>
      <c r="T699" s="20"/>
      <c r="U699" s="20"/>
      <c r="V699" s="20"/>
      <c r="W699" s="20"/>
      <c r="X699" s="20"/>
      <c r="Y699" s="20"/>
      <c r="Z699" s="20"/>
      <c r="AA699" s="20"/>
      <c r="AB699" s="20"/>
      <c r="AC699" s="20"/>
    </row>
    <row r="700" spans="1:29">
      <c r="A700" s="193" t="s">
        <v>450</v>
      </c>
      <c r="B700" s="1"/>
      <c r="C700" s="203"/>
      <c r="D700" s="203"/>
      <c r="E700" s="221"/>
      <c r="F700" s="208"/>
      <c r="G700" s="205"/>
      <c r="H700" s="205"/>
      <c r="I700" s="221"/>
      <c r="J700" s="208"/>
      <c r="K700" s="205"/>
      <c r="M700" s="20"/>
      <c r="N700" s="20"/>
      <c r="O700" s="71"/>
      <c r="P700" s="71"/>
      <c r="Q700" s="20"/>
      <c r="R700" s="20"/>
      <c r="S700" s="20"/>
      <c r="T700" s="20"/>
      <c r="U700" s="20"/>
      <c r="V700" s="20"/>
      <c r="W700" s="20"/>
      <c r="X700" s="20"/>
      <c r="Y700" s="20"/>
      <c r="Z700" s="20"/>
      <c r="AA700" s="20"/>
      <c r="AB700" s="20"/>
      <c r="AC700" s="20"/>
    </row>
    <row r="701" spans="1:29">
      <c r="A701" s="193" t="s">
        <v>445</v>
      </c>
      <c r="B701" s="1"/>
      <c r="C701" s="203">
        <v>23</v>
      </c>
      <c r="D701" s="203">
        <f>ROUND(($D$727/$C$727)*C701,0)</f>
        <v>21</v>
      </c>
      <c r="E701" s="247">
        <f>-E693</f>
        <v>-19.87</v>
      </c>
      <c r="F701" s="208"/>
      <c r="G701" s="205">
        <f>ROUND(E701*$C701,0)</f>
        <v>-457</v>
      </c>
      <c r="H701" s="205">
        <f>ROUND(E701*$D701,0)</f>
        <v>-417</v>
      </c>
      <c r="I701" s="247">
        <f>-I693</f>
        <v>-21.83</v>
      </c>
      <c r="J701" s="208"/>
      <c r="K701" s="205">
        <f>ROUND(I701*$C701,0)</f>
        <v>-502</v>
      </c>
      <c r="M701" s="20"/>
      <c r="N701" s="20"/>
      <c r="O701" s="71"/>
      <c r="P701" s="71"/>
      <c r="Q701" s="20"/>
      <c r="R701" s="20"/>
      <c r="S701" s="20"/>
      <c r="T701" s="20"/>
      <c r="U701" s="20"/>
      <c r="V701" s="20"/>
      <c r="W701" s="20"/>
      <c r="X701" s="20"/>
      <c r="Y701" s="20"/>
      <c r="Z701" s="20"/>
      <c r="AA701" s="20"/>
      <c r="AB701" s="20"/>
      <c r="AC701" s="20"/>
    </row>
    <row r="702" spans="1:29">
      <c r="A702" s="193" t="s">
        <v>451</v>
      </c>
      <c r="B702" s="1"/>
      <c r="C702" s="203">
        <v>959</v>
      </c>
      <c r="D702" s="203">
        <f>ROUND(($D$727/$C$727)*C702,0)</f>
        <v>874</v>
      </c>
      <c r="E702" s="247">
        <f>-E695</f>
        <v>-19.87</v>
      </c>
      <c r="F702" s="208"/>
      <c r="G702" s="205">
        <f>ROUND(E702*$C702,0)</f>
        <v>-19055</v>
      </c>
      <c r="H702" s="205">
        <f>ROUND(E702*$D702,0)</f>
        <v>-17366</v>
      </c>
      <c r="I702" s="247">
        <f>-I695</f>
        <v>-21.83</v>
      </c>
      <c r="J702" s="208"/>
      <c r="K702" s="205">
        <f>ROUND(I702*$C702,0)</f>
        <v>-20935</v>
      </c>
      <c r="M702" s="20"/>
      <c r="N702" s="20"/>
      <c r="O702" s="71"/>
      <c r="P702" s="71"/>
      <c r="Q702" s="20"/>
      <c r="R702" s="20"/>
      <c r="S702" s="20"/>
      <c r="T702" s="20"/>
      <c r="U702" s="20"/>
      <c r="V702" s="20"/>
      <c r="W702" s="20"/>
      <c r="X702" s="20"/>
      <c r="Y702" s="20"/>
      <c r="Z702" s="20"/>
      <c r="AA702" s="20"/>
      <c r="AB702" s="20"/>
      <c r="AC702" s="20"/>
    </row>
    <row r="703" spans="1:29">
      <c r="A703" s="207" t="s">
        <v>414</v>
      </c>
      <c r="B703" s="1"/>
      <c r="C703" s="203"/>
      <c r="D703" s="203"/>
      <c r="E703" s="221"/>
      <c r="F703" s="205"/>
      <c r="G703" s="205"/>
      <c r="H703" s="205"/>
      <c r="I703" s="221"/>
      <c r="J703" s="205"/>
      <c r="K703" s="205"/>
      <c r="M703" s="20"/>
      <c r="N703" s="20"/>
      <c r="O703" s="71"/>
      <c r="P703" s="71"/>
      <c r="Q703" s="20"/>
      <c r="R703" s="20"/>
      <c r="S703" s="20"/>
      <c r="T703" s="20"/>
      <c r="U703" s="20"/>
      <c r="V703" s="20"/>
      <c r="W703" s="20"/>
      <c r="X703" s="20"/>
      <c r="Y703" s="20"/>
      <c r="Z703" s="20"/>
      <c r="AA703" s="20"/>
      <c r="AB703" s="20"/>
      <c r="AC703" s="20"/>
    </row>
    <row r="704" spans="1:29">
      <c r="A704" s="193" t="s">
        <v>452</v>
      </c>
      <c r="B704" s="1"/>
      <c r="C704" s="203">
        <f>25216+1069389+10368352+7152668+1908160</f>
        <v>20523785</v>
      </c>
      <c r="D704" s="203">
        <f>ROUND(($D$727/$C$727)*C704,0)</f>
        <v>18714383</v>
      </c>
      <c r="E704" s="266">
        <f>$E$602</f>
        <v>5.3710000000000004</v>
      </c>
      <c r="F704" s="205" t="s">
        <v>362</v>
      </c>
      <c r="G704" s="205">
        <f>ROUND(E704/100*$C704,0)</f>
        <v>1102332</v>
      </c>
      <c r="H704" s="205">
        <f>ROUND(E704/100*$D704,0)</f>
        <v>1005150</v>
      </c>
      <c r="I704" s="266">
        <f>$I$602</f>
        <v>5.9</v>
      </c>
      <c r="J704" s="205" t="s">
        <v>362</v>
      </c>
      <c r="K704" s="205">
        <f>ROUND(I704/100*$C704,0)</f>
        <v>1210903</v>
      </c>
      <c r="M704" s="20"/>
      <c r="N704" s="20"/>
      <c r="O704" s="71"/>
      <c r="P704" s="71"/>
      <c r="Q704" s="20"/>
      <c r="R704" s="20"/>
      <c r="S704" s="20"/>
      <c r="T704" s="20"/>
      <c r="U704" s="20"/>
      <c r="V704" s="20"/>
      <c r="W704" s="20"/>
      <c r="X704" s="20"/>
      <c r="Y704" s="20"/>
      <c r="Z704" s="20"/>
      <c r="AA704" s="20"/>
      <c r="AB704" s="20"/>
      <c r="AC704" s="20"/>
    </row>
    <row r="705" spans="1:29">
      <c r="A705" s="207" t="s">
        <v>388</v>
      </c>
      <c r="B705" s="1"/>
      <c r="C705" s="203">
        <f>362+2244+156</f>
        <v>2762</v>
      </c>
      <c r="D705" s="203">
        <f>ROUND(($D$727/$C$727)*C705,0)</f>
        <v>2518</v>
      </c>
      <c r="E705" s="223">
        <f>$E$603</f>
        <v>45</v>
      </c>
      <c r="F705" s="207" t="s">
        <v>362</v>
      </c>
      <c r="G705" s="205">
        <f>ROUND(E705*$C705/100,0)</f>
        <v>1243</v>
      </c>
      <c r="H705" s="205">
        <f>ROUND(E705*$D705/100,0)</f>
        <v>1133</v>
      </c>
      <c r="I705" s="223">
        <f>$I$603</f>
        <v>50</v>
      </c>
      <c r="J705" s="207" t="s">
        <v>362</v>
      </c>
      <c r="K705" s="205">
        <f>ROUND(I705*$C705/100,0)</f>
        <v>1381</v>
      </c>
      <c r="M705" s="20"/>
      <c r="N705" s="20"/>
      <c r="O705" s="71"/>
      <c r="P705" s="71"/>
      <c r="Q705" s="20"/>
      <c r="R705" s="20"/>
      <c r="S705" s="20"/>
      <c r="T705" s="20"/>
      <c r="U705" s="20"/>
      <c r="V705" s="20"/>
      <c r="W705" s="20"/>
      <c r="X705" s="20"/>
      <c r="Y705" s="20"/>
      <c r="Z705" s="20"/>
      <c r="AA705" s="20"/>
      <c r="AB705" s="20"/>
      <c r="AC705" s="20"/>
    </row>
    <row r="706" spans="1:29">
      <c r="A706" s="244" t="s">
        <v>389</v>
      </c>
      <c r="B706" s="1"/>
      <c r="C706" s="203"/>
      <c r="D706" s="203"/>
      <c r="E706" s="216">
        <v>-0.01</v>
      </c>
      <c r="F706" s="2"/>
      <c r="G706" s="205"/>
      <c r="H706" s="205"/>
      <c r="I706" s="216">
        <v>-0.01</v>
      </c>
      <c r="J706" s="1"/>
      <c r="K706" s="205"/>
      <c r="M706" s="20"/>
      <c r="N706" s="20"/>
      <c r="O706" s="71"/>
      <c r="P706" s="71"/>
      <c r="Q706" s="20"/>
      <c r="R706" s="20"/>
      <c r="S706" s="20"/>
      <c r="T706" s="20"/>
      <c r="U706" s="20"/>
      <c r="V706" s="20"/>
      <c r="W706" s="20"/>
      <c r="X706" s="20"/>
      <c r="Y706" s="20"/>
      <c r="Z706" s="20"/>
      <c r="AA706" s="20"/>
      <c r="AB706" s="20"/>
      <c r="AC706" s="20"/>
    </row>
    <row r="707" spans="1:29">
      <c r="A707" s="193" t="s">
        <v>378</v>
      </c>
      <c r="B707" s="1"/>
      <c r="C707" s="203">
        <v>0</v>
      </c>
      <c r="D707" s="203">
        <v>0</v>
      </c>
      <c r="E707" s="268">
        <f>E684</f>
        <v>0</v>
      </c>
      <c r="F707" s="208"/>
      <c r="G707" s="205">
        <f>ROUND(E707*$C707*$E$604,0)</f>
        <v>0</v>
      </c>
      <c r="H707" s="205">
        <f>ROUND(E707*$D707*$E$604,0)</f>
        <v>0</v>
      </c>
      <c r="I707" s="268">
        <f>I684</f>
        <v>0</v>
      </c>
      <c r="J707" s="208"/>
      <c r="K707" s="205">
        <f>ROUND(I707*$C707*$E$604,0)</f>
        <v>0</v>
      </c>
      <c r="M707" s="20"/>
      <c r="N707" s="20"/>
      <c r="O707" s="71"/>
      <c r="P707" s="71"/>
      <c r="Q707" s="20"/>
      <c r="R707" s="20"/>
      <c r="S707" s="20"/>
      <c r="T707" s="20"/>
      <c r="U707" s="20"/>
      <c r="V707" s="20"/>
      <c r="W707" s="20"/>
      <c r="X707" s="20"/>
      <c r="Y707" s="20"/>
      <c r="Z707" s="20"/>
      <c r="AA707" s="20"/>
      <c r="AB707" s="20"/>
      <c r="AC707" s="20"/>
    </row>
    <row r="708" spans="1:29">
      <c r="A708" s="193" t="s">
        <v>379</v>
      </c>
      <c r="B708" s="1"/>
      <c r="C708" s="203"/>
      <c r="D708" s="203"/>
      <c r="E708" s="268"/>
      <c r="F708" s="208"/>
      <c r="G708" s="205"/>
      <c r="H708" s="205"/>
      <c r="I708" s="268"/>
      <c r="J708" s="208"/>
      <c r="K708" s="205"/>
      <c r="M708" s="20"/>
      <c r="N708" s="20"/>
      <c r="O708" s="71"/>
      <c r="P708" s="71"/>
      <c r="Q708" s="20"/>
      <c r="R708" s="20"/>
      <c r="S708" s="20"/>
      <c r="T708" s="20"/>
      <c r="U708" s="20"/>
      <c r="V708" s="20"/>
      <c r="W708" s="20"/>
      <c r="X708" s="20"/>
      <c r="Y708" s="20"/>
      <c r="Z708" s="20"/>
      <c r="AA708" s="20"/>
      <c r="AB708" s="20"/>
      <c r="AC708" s="20"/>
    </row>
    <row r="709" spans="1:29">
      <c r="A709" s="193" t="s">
        <v>440</v>
      </c>
      <c r="B709" s="1"/>
      <c r="C709" s="203">
        <v>1</v>
      </c>
      <c r="D709" s="203">
        <v>1</v>
      </c>
      <c r="E709" s="268">
        <f>E686</f>
        <v>0</v>
      </c>
      <c r="F709" s="208"/>
      <c r="G709" s="205">
        <f>ROUND(E709*$C709*$E$604,0)</f>
        <v>0</v>
      </c>
      <c r="H709" s="205">
        <f>ROUND(E709*$D709*$E$604,0)</f>
        <v>0</v>
      </c>
      <c r="I709" s="268">
        <f>I686</f>
        <v>0</v>
      </c>
      <c r="J709" s="208"/>
      <c r="K709" s="205">
        <f>ROUND(I709*$C709*$E$604,0)</f>
        <v>0</v>
      </c>
      <c r="M709" s="20"/>
      <c r="N709" s="20"/>
      <c r="O709" s="71"/>
      <c r="P709" s="71"/>
      <c r="Q709" s="20"/>
      <c r="R709" s="20"/>
      <c r="S709" s="20"/>
      <c r="T709" s="20"/>
      <c r="U709" s="20"/>
      <c r="V709" s="20"/>
      <c r="W709" s="20"/>
      <c r="X709" s="20"/>
      <c r="Y709" s="20"/>
      <c r="Z709" s="20"/>
      <c r="AA709" s="20"/>
      <c r="AB709" s="20"/>
      <c r="AC709" s="20"/>
    </row>
    <row r="710" spans="1:29">
      <c r="A710" s="193" t="s">
        <v>441</v>
      </c>
      <c r="B710" s="1"/>
      <c r="C710" s="203">
        <v>0</v>
      </c>
      <c r="D710" s="203">
        <v>0</v>
      </c>
      <c r="E710" s="268">
        <f>E687</f>
        <v>301</v>
      </c>
      <c r="F710" s="208"/>
      <c r="G710" s="205">
        <f>ROUND(E710*$C710*$E$604,0)</f>
        <v>0</v>
      </c>
      <c r="H710" s="205">
        <f>ROUND(E710*$D710*$E$604,0)</f>
        <v>0</v>
      </c>
      <c r="I710" s="268">
        <f>I687</f>
        <v>333</v>
      </c>
      <c r="J710" s="208"/>
      <c r="K710" s="205">
        <f>ROUND(I710*$C710*$E$604,0)</f>
        <v>0</v>
      </c>
      <c r="M710" s="20"/>
      <c r="N710" s="20"/>
      <c r="O710" s="71"/>
      <c r="P710" s="71"/>
      <c r="Q710" s="20"/>
      <c r="R710" s="20"/>
      <c r="S710" s="20"/>
      <c r="T710" s="20"/>
      <c r="U710" s="20"/>
      <c r="V710" s="20"/>
      <c r="W710" s="20"/>
      <c r="X710" s="20"/>
      <c r="Y710" s="20"/>
      <c r="Z710" s="20"/>
      <c r="AA710" s="20"/>
      <c r="AB710" s="20"/>
      <c r="AC710" s="20"/>
    </row>
    <row r="711" spans="1:29">
      <c r="A711" s="193" t="s">
        <v>442</v>
      </c>
      <c r="B711" s="1"/>
      <c r="C711" s="203">
        <v>0</v>
      </c>
      <c r="D711" s="203">
        <v>0</v>
      </c>
      <c r="E711" s="268">
        <f>E688</f>
        <v>1215</v>
      </c>
      <c r="F711" s="208"/>
      <c r="G711" s="205">
        <f>ROUND(E711*$C711*$E$604,0)</f>
        <v>0</v>
      </c>
      <c r="H711" s="205">
        <f>ROUND(E711*$D711*$E$604,0)</f>
        <v>0</v>
      </c>
      <c r="I711" s="268">
        <f>I688</f>
        <v>1335</v>
      </c>
      <c r="J711" s="208"/>
      <c r="K711" s="205">
        <f>ROUND(I711*$C711*$E$604,0)</f>
        <v>0</v>
      </c>
      <c r="M711" s="20"/>
      <c r="N711" s="20"/>
      <c r="O711" s="71"/>
      <c r="P711" s="71"/>
      <c r="Q711" s="20"/>
      <c r="R711" s="20"/>
      <c r="S711" s="20"/>
      <c r="T711" s="20"/>
      <c r="U711" s="20"/>
      <c r="V711" s="20"/>
      <c r="W711" s="20"/>
      <c r="X711" s="20"/>
      <c r="Y711" s="20"/>
      <c r="Z711" s="20"/>
      <c r="AA711" s="20"/>
      <c r="AB711" s="20"/>
      <c r="AC711" s="20"/>
    </row>
    <row r="712" spans="1:29">
      <c r="A712" s="193" t="s">
        <v>378</v>
      </c>
      <c r="B712" s="1"/>
      <c r="C712" s="203">
        <v>0</v>
      </c>
      <c r="D712" s="203">
        <f>ROUND(($D$727/$C$727)*C712,0)</f>
        <v>0</v>
      </c>
      <c r="E712" s="268">
        <f>E693</f>
        <v>19.87</v>
      </c>
      <c r="F712" s="208"/>
      <c r="G712" s="205">
        <f>ROUND(E712*$C712*$E$604,0)</f>
        <v>0</v>
      </c>
      <c r="H712" s="205">
        <f>ROUND(E712*$D712*$E$604,0)</f>
        <v>0</v>
      </c>
      <c r="I712" s="268">
        <f>I693</f>
        <v>21.83</v>
      </c>
      <c r="J712" s="208"/>
      <c r="K712" s="205">
        <f>ROUND(I712*$C712*$E$604,0)</f>
        <v>0</v>
      </c>
      <c r="M712" s="20"/>
      <c r="N712" s="20"/>
      <c r="O712" s="71"/>
      <c r="P712" s="71"/>
      <c r="Q712" s="20"/>
      <c r="R712" s="20"/>
      <c r="S712" s="20"/>
      <c r="T712" s="20"/>
      <c r="U712" s="20"/>
      <c r="V712" s="20"/>
      <c r="W712" s="20"/>
      <c r="X712" s="20"/>
      <c r="Y712" s="20"/>
      <c r="Z712" s="20"/>
      <c r="AA712" s="20"/>
      <c r="AB712" s="20"/>
      <c r="AC712" s="20"/>
    </row>
    <row r="713" spans="1:29">
      <c r="A713" s="193" t="s">
        <v>379</v>
      </c>
      <c r="B713" s="1"/>
      <c r="C713" s="203"/>
      <c r="D713" s="203"/>
      <c r="E713" s="268"/>
      <c r="F713" s="208"/>
      <c r="G713" s="205"/>
      <c r="H713" s="205"/>
      <c r="I713" s="268"/>
      <c r="J713" s="208"/>
      <c r="K713" s="205"/>
      <c r="M713" s="20"/>
      <c r="N713" s="20"/>
      <c r="O713" s="71"/>
      <c r="P713" s="71"/>
      <c r="Q713" s="20"/>
      <c r="R713" s="20"/>
      <c r="S713" s="20"/>
      <c r="T713" s="20"/>
      <c r="U713" s="20"/>
      <c r="V713" s="20"/>
      <c r="W713" s="20"/>
      <c r="X713" s="20"/>
      <c r="Y713" s="20"/>
      <c r="Z713" s="20"/>
      <c r="AA713" s="20"/>
      <c r="AB713" s="20"/>
      <c r="AC713" s="20"/>
    </row>
    <row r="714" spans="1:29">
      <c r="A714" s="193" t="s">
        <v>440</v>
      </c>
      <c r="B714" s="1"/>
      <c r="C714" s="203">
        <v>40</v>
      </c>
      <c r="D714" s="203">
        <f>ROUND(($D$727/$C$727)*C714,0)</f>
        <v>36</v>
      </c>
      <c r="E714" s="268">
        <f>E695</f>
        <v>19.87</v>
      </c>
      <c r="F714" s="208"/>
      <c r="G714" s="205">
        <f>ROUND(E714*$C714*$E$604,0)</f>
        <v>-8</v>
      </c>
      <c r="H714" s="205">
        <f>ROUND(E714*$D714*$E$604,0)</f>
        <v>-7</v>
      </c>
      <c r="I714" s="268">
        <f>I695</f>
        <v>21.83</v>
      </c>
      <c r="J714" s="208"/>
      <c r="K714" s="205">
        <f>ROUND(I714*$C714*$E$604,0)</f>
        <v>-9</v>
      </c>
      <c r="M714" s="20"/>
      <c r="N714" s="20"/>
      <c r="O714" s="71"/>
      <c r="P714" s="71"/>
      <c r="Q714" s="20"/>
      <c r="R714" s="20"/>
      <c r="S714" s="20"/>
      <c r="T714" s="20"/>
      <c r="U714" s="20"/>
      <c r="V714" s="20"/>
      <c r="W714" s="20"/>
      <c r="X714" s="20"/>
      <c r="Y714" s="20"/>
      <c r="Z714" s="20"/>
      <c r="AA714" s="20"/>
      <c r="AB714" s="20"/>
      <c r="AC714" s="20"/>
    </row>
    <row r="715" spans="1:29">
      <c r="A715" s="193" t="s">
        <v>441</v>
      </c>
      <c r="B715" s="1"/>
      <c r="C715" s="203">
        <v>0</v>
      </c>
      <c r="D715" s="203">
        <f>ROUND(($D$727/$C$727)*C715,0)</f>
        <v>0</v>
      </c>
      <c r="E715" s="268">
        <f>E696</f>
        <v>13.64</v>
      </c>
      <c r="F715" s="208"/>
      <c r="G715" s="205">
        <f>ROUND(E715*$C715*$E$604,0)</f>
        <v>0</v>
      </c>
      <c r="H715" s="205">
        <f>ROUND(E715*$D715*$E$604,0)</f>
        <v>0</v>
      </c>
      <c r="I715" s="268">
        <f>I696</f>
        <v>14.98</v>
      </c>
      <c r="J715" s="208"/>
      <c r="K715" s="205">
        <f>ROUND(I715*$C715*$E$604,0)</f>
        <v>0</v>
      </c>
      <c r="M715" s="20"/>
      <c r="N715" s="20"/>
      <c r="O715" s="71"/>
      <c r="P715" s="71"/>
      <c r="Q715" s="20"/>
      <c r="R715" s="20"/>
      <c r="S715" s="20"/>
      <c r="T715" s="20"/>
      <c r="U715" s="20"/>
      <c r="V715" s="20"/>
      <c r="W715" s="20"/>
      <c r="X715" s="20"/>
      <c r="Y715" s="20"/>
      <c r="Z715" s="20"/>
      <c r="AA715" s="20"/>
      <c r="AB715" s="20"/>
      <c r="AC715" s="20"/>
    </row>
    <row r="716" spans="1:29">
      <c r="A716" s="193" t="s">
        <v>442</v>
      </c>
      <c r="B716" s="1"/>
      <c r="C716" s="203">
        <v>0</v>
      </c>
      <c r="D716" s="203">
        <f>ROUND(($D$727/$C$727)*C716,0)</f>
        <v>0</v>
      </c>
      <c r="E716" s="268">
        <f>E697</f>
        <v>10.62</v>
      </c>
      <c r="F716" s="208"/>
      <c r="G716" s="205">
        <f>ROUND(E716*$C716*$E$604,0)</f>
        <v>0</v>
      </c>
      <c r="H716" s="205">
        <f>ROUND(E716*$D716*$E$604,0)</f>
        <v>0</v>
      </c>
      <c r="I716" s="268">
        <f>I697</f>
        <v>11.67</v>
      </c>
      <c r="J716" s="208"/>
      <c r="K716" s="205">
        <f>ROUND(I716*$C716*$E$604,0)</f>
        <v>0</v>
      </c>
      <c r="M716" s="20"/>
      <c r="N716" s="20"/>
      <c r="O716" s="71"/>
      <c r="P716" s="71"/>
      <c r="Q716" s="20"/>
      <c r="R716" s="20"/>
      <c r="S716" s="20"/>
      <c r="T716" s="20"/>
      <c r="U716" s="20"/>
      <c r="V716" s="20"/>
      <c r="W716" s="20"/>
      <c r="X716" s="20"/>
      <c r="Y716" s="20"/>
      <c r="Z716" s="20"/>
      <c r="AA716" s="20"/>
      <c r="AB716" s="20"/>
      <c r="AC716" s="20"/>
    </row>
    <row r="717" spans="1:29">
      <c r="A717" s="193" t="s">
        <v>453</v>
      </c>
      <c r="B717" s="1"/>
      <c r="C717" s="203">
        <v>0</v>
      </c>
      <c r="D717" s="203">
        <v>0</v>
      </c>
      <c r="E717" s="237">
        <f>E698</f>
        <v>59.61</v>
      </c>
      <c r="F717" s="208"/>
      <c r="G717" s="205">
        <f>ROUND(E717*$C717*$E$604,0)</f>
        <v>0</v>
      </c>
      <c r="H717" s="205">
        <f>ROUND(E717*$D717*$E$604,0)</f>
        <v>0</v>
      </c>
      <c r="I717" s="237">
        <f>I698</f>
        <v>65.48</v>
      </c>
      <c r="J717" s="208"/>
      <c r="K717" s="205">
        <f>ROUND(I717*$C717*$E$604,0)</f>
        <v>0</v>
      </c>
      <c r="M717" s="20"/>
      <c r="N717" s="20"/>
      <c r="O717" s="71"/>
      <c r="P717" s="71"/>
      <c r="Q717" s="20"/>
      <c r="R717" s="20"/>
      <c r="S717" s="20"/>
      <c r="T717" s="20"/>
      <c r="U717" s="20"/>
      <c r="V717" s="20"/>
      <c r="W717" s="20"/>
      <c r="X717" s="20"/>
      <c r="Y717" s="20"/>
      <c r="Z717" s="20"/>
      <c r="AA717" s="20"/>
      <c r="AB717" s="20"/>
      <c r="AC717" s="20"/>
    </row>
    <row r="718" spans="1:29">
      <c r="A718" s="193" t="s">
        <v>454</v>
      </c>
      <c r="B718" s="1"/>
      <c r="C718" s="203">
        <v>0</v>
      </c>
      <c r="D718" s="203">
        <v>0</v>
      </c>
      <c r="E718" s="237">
        <f>E699</f>
        <v>119.22</v>
      </c>
      <c r="F718" s="208"/>
      <c r="G718" s="205">
        <f>ROUND(E718*$C718*$E$604,0)</f>
        <v>0</v>
      </c>
      <c r="H718" s="205">
        <f>ROUND(E718*$D718*$E$604,0)</f>
        <v>0</v>
      </c>
      <c r="I718" s="237">
        <f>I699</f>
        <v>130.96</v>
      </c>
      <c r="J718" s="208"/>
      <c r="K718" s="205">
        <f>ROUND(I718*$C718*$E$604,0)</f>
        <v>0</v>
      </c>
      <c r="M718" s="20"/>
      <c r="N718" s="20"/>
      <c r="O718" s="71"/>
      <c r="P718" s="71"/>
      <c r="Q718" s="20"/>
      <c r="R718" s="20"/>
      <c r="S718" s="20"/>
      <c r="T718" s="20"/>
      <c r="U718" s="20"/>
      <c r="V718" s="20"/>
      <c r="W718" s="20"/>
      <c r="X718" s="20"/>
      <c r="Y718" s="20"/>
      <c r="Z718" s="20"/>
      <c r="AA718" s="20"/>
      <c r="AB718" s="20"/>
      <c r="AC718" s="20"/>
    </row>
    <row r="719" spans="1:29">
      <c r="A719" s="193" t="s">
        <v>450</v>
      </c>
      <c r="B719" s="1"/>
      <c r="C719" s="203"/>
      <c r="D719" s="203"/>
      <c r="E719" s="221"/>
      <c r="F719" s="208"/>
      <c r="G719" s="205"/>
      <c r="H719" s="205"/>
      <c r="I719" s="221"/>
      <c r="J719" s="208"/>
      <c r="K719" s="205"/>
      <c r="M719" s="20"/>
      <c r="N719" s="20"/>
      <c r="O719" s="71"/>
      <c r="P719" s="71"/>
      <c r="Q719" s="20"/>
      <c r="R719" s="20"/>
      <c r="S719" s="20"/>
      <c r="T719" s="20"/>
      <c r="U719" s="20"/>
      <c r="V719" s="20"/>
      <c r="W719" s="20"/>
      <c r="X719" s="20"/>
      <c r="Y719" s="20"/>
      <c r="Z719" s="20"/>
      <c r="AA719" s="20"/>
      <c r="AB719" s="20"/>
      <c r="AC719" s="20"/>
    </row>
    <row r="720" spans="1:29">
      <c r="A720" s="193" t="s">
        <v>445</v>
      </c>
      <c r="B720" s="1"/>
      <c r="C720" s="203">
        <v>0</v>
      </c>
      <c r="D720" s="203">
        <f>ROUND(($D$727/$C$727)*C720,0)</f>
        <v>0</v>
      </c>
      <c r="E720" s="247">
        <f>E701</f>
        <v>-19.87</v>
      </c>
      <c r="F720" s="208"/>
      <c r="G720" s="205">
        <f>ROUND(E720*$C720*$E$604,0)</f>
        <v>0</v>
      </c>
      <c r="H720" s="205">
        <f>ROUND(E720*$D720*$E$604,0)</f>
        <v>0</v>
      </c>
      <c r="I720" s="247">
        <f>I701</f>
        <v>-21.83</v>
      </c>
      <c r="J720" s="208"/>
      <c r="K720" s="205">
        <f>ROUND(I720*$C720*$E$604,0)</f>
        <v>0</v>
      </c>
      <c r="M720" s="20"/>
      <c r="N720" s="20"/>
      <c r="O720" s="71"/>
      <c r="P720" s="71"/>
      <c r="Q720" s="20"/>
      <c r="R720" s="20"/>
      <c r="S720" s="20"/>
      <c r="T720" s="20"/>
      <c r="U720" s="20"/>
      <c r="V720" s="20"/>
      <c r="W720" s="20"/>
      <c r="X720" s="20"/>
      <c r="Y720" s="20"/>
      <c r="Z720" s="20"/>
      <c r="AA720" s="20"/>
      <c r="AB720" s="20"/>
      <c r="AC720" s="20"/>
    </row>
    <row r="721" spans="1:29">
      <c r="A721" s="193" t="s">
        <v>451</v>
      </c>
      <c r="B721" s="1"/>
      <c r="C721" s="203">
        <v>0</v>
      </c>
      <c r="D721" s="203">
        <f>ROUND(($D$727/$C$727)*C721,0)</f>
        <v>0</v>
      </c>
      <c r="E721" s="247">
        <f>E702</f>
        <v>-19.87</v>
      </c>
      <c r="F721" s="208"/>
      <c r="G721" s="205">
        <f>ROUND(E721*$C721*$E$604,0)</f>
        <v>0</v>
      </c>
      <c r="H721" s="205">
        <f>ROUND(E721*$D721*$E$604,0)</f>
        <v>0</v>
      </c>
      <c r="I721" s="247">
        <f>I702</f>
        <v>-21.83</v>
      </c>
      <c r="J721" s="208"/>
      <c r="K721" s="205">
        <f>ROUND(I721*$C721*$E$604,0)</f>
        <v>0</v>
      </c>
      <c r="M721" s="20"/>
      <c r="N721" s="20"/>
      <c r="O721" s="71"/>
      <c r="P721" s="71"/>
      <c r="Q721" s="20"/>
      <c r="R721" s="20"/>
      <c r="S721" s="20"/>
      <c r="T721" s="20"/>
      <c r="U721" s="20"/>
      <c r="V721" s="20"/>
      <c r="W721" s="20"/>
      <c r="X721" s="20"/>
      <c r="Y721" s="20"/>
      <c r="Z721" s="20"/>
      <c r="AA721" s="20"/>
      <c r="AB721" s="20"/>
      <c r="AC721" s="20"/>
    </row>
    <row r="722" spans="1:29">
      <c r="A722" s="207" t="s">
        <v>414</v>
      </c>
      <c r="B722" s="1"/>
      <c r="C722" s="203"/>
      <c r="D722" s="203"/>
      <c r="E722" s="268"/>
      <c r="F722" s="205"/>
      <c r="G722" s="205"/>
      <c r="H722" s="205"/>
      <c r="I722" s="268"/>
      <c r="J722" s="205"/>
      <c r="K722" s="205"/>
      <c r="M722" s="20"/>
      <c r="N722" s="20"/>
      <c r="O722" s="71"/>
      <c r="P722" s="71"/>
      <c r="Q722" s="20"/>
      <c r="R722" s="20"/>
      <c r="S722" s="20"/>
      <c r="T722" s="20"/>
      <c r="U722" s="20"/>
      <c r="V722" s="20"/>
      <c r="W722" s="20"/>
      <c r="X722" s="20"/>
      <c r="Y722" s="20"/>
      <c r="Z722" s="20"/>
      <c r="AA722" s="20"/>
      <c r="AB722" s="20"/>
      <c r="AC722" s="20"/>
    </row>
    <row r="723" spans="1:29">
      <c r="A723" s="193" t="s">
        <v>452</v>
      </c>
      <c r="B723" s="1"/>
      <c r="C723" s="203">
        <f>25216</f>
        <v>25216</v>
      </c>
      <c r="D723" s="203">
        <f>ROUND(($D$727/$C$727)*C723,0)</f>
        <v>22993</v>
      </c>
      <c r="E723" s="269">
        <f>E704</f>
        <v>5.3710000000000004</v>
      </c>
      <c r="F723" s="205" t="s">
        <v>362</v>
      </c>
      <c r="G723" s="205">
        <f>ROUND(E723/100*$C723*$E$604,0)</f>
        <v>-14</v>
      </c>
      <c r="H723" s="205">
        <f>ROUND(E723/100*$D723*$E$604,0)</f>
        <v>-12</v>
      </c>
      <c r="I723" s="269">
        <f>I704</f>
        <v>5.9</v>
      </c>
      <c r="J723" s="205" t="s">
        <v>362</v>
      </c>
      <c r="K723" s="205">
        <f>ROUND(I723/100*$C723*$E$604,0)</f>
        <v>-15</v>
      </c>
      <c r="M723" s="20"/>
      <c r="N723" s="20"/>
      <c r="O723" s="71"/>
      <c r="P723" s="71"/>
      <c r="Q723" s="20"/>
      <c r="R723" s="20"/>
      <c r="S723" s="20"/>
      <c r="T723" s="20"/>
      <c r="U723" s="20"/>
      <c r="V723" s="20"/>
      <c r="W723" s="20"/>
      <c r="X723" s="20"/>
      <c r="Y723" s="20"/>
      <c r="Z723" s="20"/>
      <c r="AA723" s="20"/>
      <c r="AB723" s="20"/>
      <c r="AC723" s="20"/>
    </row>
    <row r="724" spans="1:29">
      <c r="A724" s="207" t="s">
        <v>388</v>
      </c>
      <c r="B724" s="1"/>
      <c r="C724" s="203">
        <v>0</v>
      </c>
      <c r="D724" s="203">
        <f>ROUND(($D$727/$C$727)*C724,0)</f>
        <v>0</v>
      </c>
      <c r="E724" s="259">
        <f>E705</f>
        <v>45</v>
      </c>
      <c r="F724" s="205" t="s">
        <v>362</v>
      </c>
      <c r="G724" s="205">
        <f>ROUND(E724/100*$C724*$E$604,0)</f>
        <v>0</v>
      </c>
      <c r="H724" s="205">
        <f>ROUND(E724/100*$D724*$E$604,0)</f>
        <v>0</v>
      </c>
      <c r="I724" s="259">
        <f>I705</f>
        <v>50</v>
      </c>
      <c r="J724" s="207" t="s">
        <v>362</v>
      </c>
      <c r="K724" s="205">
        <f>ROUND(I724/100*$C724*$E$604,0)</f>
        <v>0</v>
      </c>
      <c r="M724" s="20"/>
      <c r="N724" s="20"/>
      <c r="O724" s="71"/>
      <c r="P724" s="71"/>
      <c r="Q724" s="20"/>
      <c r="R724" s="20"/>
      <c r="S724" s="20"/>
      <c r="T724" s="20"/>
      <c r="U724" s="20"/>
      <c r="V724" s="20"/>
      <c r="W724" s="20"/>
      <c r="X724" s="20"/>
      <c r="Y724" s="20"/>
      <c r="Z724" s="20"/>
      <c r="AA724" s="20"/>
      <c r="AB724" s="20"/>
      <c r="AC724" s="20"/>
    </row>
    <row r="725" spans="1:29">
      <c r="A725" s="207" t="s">
        <v>431</v>
      </c>
      <c r="B725" s="1"/>
      <c r="C725" s="203">
        <f>5+7</f>
        <v>12</v>
      </c>
      <c r="D725" s="203">
        <v>12</v>
      </c>
      <c r="E725" s="182">
        <f>$E$623</f>
        <v>60</v>
      </c>
      <c r="F725" s="248" t="s">
        <v>31</v>
      </c>
      <c r="G725" s="205">
        <f>ROUND(E725*$C725,0)</f>
        <v>720</v>
      </c>
      <c r="H725" s="205">
        <f>ROUND(E725*$D725,0)</f>
        <v>720</v>
      </c>
      <c r="I725" s="182">
        <f>$I$623</f>
        <v>60</v>
      </c>
      <c r="J725" s="1"/>
      <c r="K725" s="205">
        <f>ROUND(I725*$C725,0)</f>
        <v>720</v>
      </c>
      <c r="M725" s="20"/>
      <c r="N725" s="20"/>
      <c r="O725" s="71"/>
      <c r="P725" s="71"/>
      <c r="Q725" s="20"/>
      <c r="R725" s="20"/>
      <c r="S725" s="20"/>
      <c r="T725" s="20"/>
      <c r="U725" s="20"/>
      <c r="V725" s="20"/>
      <c r="W725" s="20"/>
      <c r="X725" s="20"/>
      <c r="Y725" s="20"/>
      <c r="Z725" s="20"/>
      <c r="AA725" s="20"/>
      <c r="AB725" s="20"/>
      <c r="AC725" s="20"/>
    </row>
    <row r="726" spans="1:29">
      <c r="A726" s="207" t="s">
        <v>432</v>
      </c>
      <c r="B726" s="1"/>
      <c r="C726" s="203">
        <f>8*C714</f>
        <v>320</v>
      </c>
      <c r="D726" s="203">
        <f>ROUND(($D$727/$C$727)*C726,0)</f>
        <v>292</v>
      </c>
      <c r="E726" s="223">
        <f>$E$624</f>
        <v>-30</v>
      </c>
      <c r="F726" s="205" t="s">
        <v>362</v>
      </c>
      <c r="G726" s="205">
        <f>ROUND(E726*$C726/100,0)</f>
        <v>-96</v>
      </c>
      <c r="H726" s="205">
        <f>ROUND(E726*$D726/100,0)</f>
        <v>-88</v>
      </c>
      <c r="I726" s="223">
        <f>$I$624</f>
        <v>-30</v>
      </c>
      <c r="J726" s="205" t="s">
        <v>362</v>
      </c>
      <c r="K726" s="205">
        <f>ROUND(I726*$C726/100,0)</f>
        <v>-96</v>
      </c>
      <c r="M726" s="20"/>
      <c r="N726" s="20"/>
      <c r="O726" s="71"/>
      <c r="P726" s="71"/>
      <c r="Q726" s="20"/>
      <c r="R726" s="20"/>
      <c r="S726" s="20"/>
      <c r="T726" s="20"/>
      <c r="U726" s="20"/>
      <c r="V726" s="20"/>
      <c r="W726" s="20"/>
      <c r="X726" s="20"/>
      <c r="Y726" s="20"/>
      <c r="Z726" s="20"/>
      <c r="AA726" s="20"/>
      <c r="AB726" s="20"/>
      <c r="AC726" s="20"/>
    </row>
    <row r="727" spans="1:29">
      <c r="A727" s="1" t="s">
        <v>369</v>
      </c>
      <c r="B727" s="1"/>
      <c r="C727" s="203">
        <f>SUM(C704:C704)</f>
        <v>20523785</v>
      </c>
      <c r="D727" s="203">
        <v>18714383.130874861</v>
      </c>
      <c r="E727" s="214"/>
      <c r="F727" s="2"/>
      <c r="G727" s="2">
        <f>SUM(G684:G726)</f>
        <v>1324813</v>
      </c>
      <c r="H727" s="2">
        <f>SUM(H684:H726)</f>
        <v>1209559</v>
      </c>
      <c r="I727" s="214"/>
      <c r="J727" s="207"/>
      <c r="K727" s="2">
        <f>SUM(K684:K726)</f>
        <v>1455347</v>
      </c>
      <c r="M727" s="20"/>
      <c r="N727" s="20"/>
      <c r="O727" s="71"/>
      <c r="P727" s="71"/>
      <c r="Q727" s="20"/>
      <c r="R727" s="20"/>
      <c r="S727" s="20"/>
      <c r="T727" s="20"/>
      <c r="U727" s="20"/>
      <c r="V727" s="20"/>
      <c r="W727" s="20"/>
      <c r="X727" s="20"/>
      <c r="Y727" s="20"/>
      <c r="Z727" s="20"/>
      <c r="AA727" s="20"/>
      <c r="AB727" s="20"/>
      <c r="AC727" s="20"/>
    </row>
    <row r="728" spans="1:29">
      <c r="A728" s="1" t="s">
        <v>351</v>
      </c>
      <c r="B728" s="1"/>
      <c r="C728" s="233" t="e">
        <f>#REF!</f>
        <v>#REF!</v>
      </c>
      <c r="D728" s="233">
        <v>0</v>
      </c>
      <c r="E728" s="193"/>
      <c r="F728" s="193"/>
      <c r="G728" s="194" t="e">
        <f>#REF!</f>
        <v>#REF!</v>
      </c>
      <c r="H728" s="194">
        <v>0</v>
      </c>
      <c r="I728" s="193"/>
      <c r="J728" s="193"/>
      <c r="K728" s="194" t="e">
        <f>G728</f>
        <v>#REF!</v>
      </c>
      <c r="M728" s="328"/>
      <c r="N728" s="328"/>
      <c r="O728" s="171"/>
      <c r="P728" s="71"/>
      <c r="Q728" s="20"/>
      <c r="R728" s="20"/>
      <c r="S728" s="20"/>
      <c r="T728" s="20"/>
      <c r="U728" s="20"/>
      <c r="V728" s="20"/>
      <c r="W728" s="20"/>
      <c r="X728" s="20"/>
      <c r="Y728" s="20"/>
      <c r="Z728" s="20"/>
      <c r="AA728" s="20"/>
      <c r="AB728" s="20"/>
      <c r="AC728" s="20"/>
    </row>
    <row r="729" spans="1:29" ht="16.5" thickBot="1">
      <c r="A729" s="1" t="s">
        <v>370</v>
      </c>
      <c r="B729" s="1"/>
      <c r="C729" s="250" t="e">
        <f>SUM(C727:C728)</f>
        <v>#REF!</v>
      </c>
      <c r="D729" s="250">
        <f>SUM(D727:D728)</f>
        <v>18714383.130874861</v>
      </c>
      <c r="E729" s="226"/>
      <c r="F729" s="227"/>
      <c r="G729" s="228" t="e">
        <f>G727+G728</f>
        <v>#REF!</v>
      </c>
      <c r="H729" s="228">
        <f>H727+H728</f>
        <v>1209559</v>
      </c>
      <c r="I729" s="226"/>
      <c r="J729" s="229"/>
      <c r="K729" s="228" t="e">
        <f>K727+K728</f>
        <v>#REF!</v>
      </c>
      <c r="M729" s="295"/>
      <c r="N729" s="295"/>
      <c r="O729" s="354"/>
      <c r="P729" s="71"/>
      <c r="Q729" s="20"/>
      <c r="R729" s="20"/>
      <c r="S729" s="20"/>
      <c r="T729" s="20"/>
      <c r="U729" s="20"/>
      <c r="V729" s="20"/>
      <c r="W729" s="20"/>
      <c r="X729" s="20"/>
      <c r="Y729" s="20"/>
      <c r="Z729" s="20"/>
      <c r="AA729" s="20"/>
      <c r="AB729" s="20"/>
      <c r="AC729" s="20"/>
    </row>
    <row r="730" spans="1:29" ht="16.5" thickTop="1">
      <c r="A730" s="187"/>
      <c r="B730" s="262"/>
      <c r="C730" s="187"/>
      <c r="D730" s="187"/>
      <c r="E730" s="21"/>
      <c r="F730" s="21"/>
      <c r="G730" s="263"/>
      <c r="H730" s="263"/>
      <c r="I730" s="187"/>
      <c r="J730" s="187"/>
      <c r="K730" s="187"/>
      <c r="M730" s="20"/>
      <c r="N730" s="20"/>
      <c r="O730" s="71"/>
      <c r="P730" s="71"/>
      <c r="Q730" s="20"/>
      <c r="R730" s="20"/>
      <c r="S730" s="20"/>
      <c r="T730" s="20"/>
      <c r="U730" s="20"/>
      <c r="V730" s="20"/>
      <c r="W730" s="20"/>
      <c r="X730" s="20"/>
      <c r="Y730" s="20"/>
      <c r="Z730" s="20"/>
      <c r="AA730" s="20"/>
      <c r="AB730" s="20"/>
      <c r="AC730" s="20"/>
    </row>
    <row r="731" spans="1:29">
      <c r="A731" s="177" t="s">
        <v>457</v>
      </c>
      <c r="B731" s="1"/>
      <c r="C731" s="1"/>
      <c r="D731" s="1"/>
      <c r="E731" s="2"/>
      <c r="F731" s="2"/>
      <c r="G731" s="1"/>
      <c r="H731" s="1"/>
      <c r="I731" s="2"/>
      <c r="J731" s="1"/>
      <c r="K731" s="1"/>
      <c r="M731" s="20"/>
      <c r="N731" s="20"/>
      <c r="O731" s="71"/>
      <c r="P731" s="71"/>
      <c r="Q731" s="20"/>
      <c r="R731" s="20"/>
      <c r="S731" s="20"/>
      <c r="T731" s="20"/>
      <c r="U731" s="20"/>
      <c r="V731" s="20"/>
      <c r="W731" s="20"/>
      <c r="X731" s="20"/>
      <c r="Y731" s="20"/>
      <c r="Z731" s="20"/>
      <c r="AA731" s="20"/>
      <c r="AB731" s="20"/>
      <c r="AC731" s="20"/>
    </row>
    <row r="732" spans="1:29">
      <c r="A732" s="193" t="s">
        <v>458</v>
      </c>
      <c r="B732" s="1"/>
      <c r="C732" s="1"/>
      <c r="D732" s="1"/>
      <c r="E732" s="2"/>
      <c r="F732" s="2"/>
      <c r="G732" s="1"/>
      <c r="H732" s="1"/>
      <c r="I732" s="2"/>
      <c r="J732" s="1"/>
      <c r="K732" s="1"/>
      <c r="M732" s="20"/>
      <c r="N732" s="20"/>
      <c r="O732" s="71"/>
      <c r="P732" s="71"/>
      <c r="Q732" s="20"/>
      <c r="R732" s="20"/>
      <c r="S732" s="20"/>
      <c r="T732" s="20"/>
      <c r="U732" s="20"/>
      <c r="V732" s="20"/>
      <c r="W732" s="20"/>
      <c r="X732" s="20"/>
      <c r="Y732" s="20"/>
      <c r="Z732" s="20"/>
      <c r="AA732" s="20"/>
      <c r="AB732" s="20"/>
      <c r="AC732" s="20"/>
    </row>
    <row r="733" spans="1:29">
      <c r="A733" s="207"/>
      <c r="B733" s="1"/>
      <c r="C733" s="1"/>
      <c r="D733" s="1"/>
      <c r="E733" s="2"/>
      <c r="F733" s="2"/>
      <c r="G733" s="1"/>
      <c r="H733" s="1"/>
      <c r="I733" s="2"/>
      <c r="J733" s="1"/>
      <c r="K733" s="1"/>
      <c r="M733" s="20"/>
      <c r="N733" s="20"/>
      <c r="O733" s="71"/>
      <c r="P733" s="71"/>
      <c r="Q733" s="20"/>
      <c r="R733" s="20"/>
      <c r="S733" s="20"/>
      <c r="T733" s="20"/>
      <c r="U733" s="20"/>
      <c r="V733" s="20"/>
      <c r="W733" s="20"/>
      <c r="X733" s="20"/>
      <c r="Y733" s="20"/>
      <c r="Z733" s="20"/>
      <c r="AA733" s="20"/>
      <c r="AB733" s="20"/>
      <c r="AC733" s="20"/>
    </row>
    <row r="734" spans="1:29">
      <c r="A734" s="207" t="s">
        <v>381</v>
      </c>
      <c r="B734" s="1"/>
      <c r="C734" s="203"/>
      <c r="D734" s="203"/>
      <c r="E734" s="2"/>
      <c r="F734" s="2"/>
      <c r="G734" s="1"/>
      <c r="H734" s="1"/>
      <c r="I734" s="2"/>
      <c r="J734" s="1"/>
      <c r="K734" s="1"/>
      <c r="M734" s="20"/>
      <c r="N734" s="20"/>
      <c r="O734" s="71"/>
      <c r="P734" s="71"/>
      <c r="Q734" s="20"/>
      <c r="R734" s="20"/>
      <c r="S734" s="20"/>
      <c r="T734" s="20"/>
      <c r="U734" s="20"/>
      <c r="V734" s="20"/>
      <c r="W734" s="20"/>
      <c r="X734" s="20"/>
      <c r="Y734" s="20"/>
      <c r="Z734" s="20"/>
      <c r="AA734" s="20"/>
      <c r="AB734" s="20"/>
      <c r="AC734" s="20"/>
    </row>
    <row r="735" spans="1:29">
      <c r="A735" s="207" t="s">
        <v>459</v>
      </c>
      <c r="B735" s="1"/>
      <c r="C735" s="203">
        <v>12</v>
      </c>
      <c r="D735" s="203">
        <v>12</v>
      </c>
      <c r="E735" s="268">
        <f t="shared" ref="E735:E740" si="61">E794</f>
        <v>1205</v>
      </c>
      <c r="F735" s="221"/>
      <c r="G735" s="2">
        <f>ROUND(E735*$C735,0)</f>
        <v>14460</v>
      </c>
      <c r="H735" s="2">
        <f>ROUND(E735*$D735,0)</f>
        <v>14460</v>
      </c>
      <c r="I735" s="268">
        <f t="shared" ref="I735:I740" si="62">I794</f>
        <v>1330</v>
      </c>
      <c r="J735" s="205"/>
      <c r="K735" s="2">
        <f>ROUND(I735*$C735,0)</f>
        <v>15960</v>
      </c>
      <c r="M735" s="81">
        <f>I735*D735</f>
        <v>15960</v>
      </c>
      <c r="O735" s="14"/>
      <c r="Q735" s="20"/>
      <c r="R735" s="20"/>
      <c r="S735" s="20"/>
      <c r="T735" s="20"/>
      <c r="U735" s="20"/>
      <c r="V735" s="20"/>
      <c r="W735" s="20"/>
      <c r="X735" s="20"/>
      <c r="Y735" s="20"/>
      <c r="Z735" s="20"/>
      <c r="AA735" s="20"/>
      <c r="AB735" s="20"/>
      <c r="AC735" s="20"/>
    </row>
    <row r="736" spans="1:29">
      <c r="A736" s="207" t="s">
        <v>460</v>
      </c>
      <c r="B736" s="1"/>
      <c r="C736" s="203">
        <v>0</v>
      </c>
      <c r="D736" s="203">
        <v>0</v>
      </c>
      <c r="E736" s="268">
        <f t="shared" si="61"/>
        <v>1450</v>
      </c>
      <c r="F736" s="221"/>
      <c r="G736" s="2">
        <f>ROUND(E736*$C736,0)</f>
        <v>0</v>
      </c>
      <c r="H736" s="2">
        <f>ROUND(E736*$D736,0)</f>
        <v>0</v>
      </c>
      <c r="I736" s="268">
        <f t="shared" si="62"/>
        <v>1600</v>
      </c>
      <c r="J736" s="208"/>
      <c r="K736" s="2">
        <f>ROUND(I736*$C736,0)</f>
        <v>0</v>
      </c>
      <c r="M736" s="81">
        <f>I736*D736</f>
        <v>0</v>
      </c>
      <c r="O736" s="14"/>
      <c r="Q736" s="20"/>
      <c r="R736" s="20"/>
      <c r="S736" s="20"/>
      <c r="T736" s="20"/>
      <c r="U736" s="20"/>
      <c r="V736" s="20"/>
      <c r="W736" s="20"/>
      <c r="X736" s="20"/>
      <c r="Y736" s="20"/>
      <c r="Z736" s="20"/>
      <c r="AA736" s="20"/>
      <c r="AB736" s="20"/>
      <c r="AC736" s="20"/>
    </row>
    <row r="737" spans="1:29">
      <c r="A737" s="207" t="s">
        <v>382</v>
      </c>
      <c r="B737" s="1"/>
      <c r="C737" s="203">
        <f>SUM(C735:C736)</f>
        <v>12</v>
      </c>
      <c r="D737" s="203">
        <f>SUM(D735:D736)</f>
        <v>12</v>
      </c>
      <c r="E737" s="268" t="str">
        <f t="shared" si="61"/>
        <v xml:space="preserve"> </v>
      </c>
      <c r="F737" s="221"/>
      <c r="G737" s="2" t="s">
        <v>31</v>
      </c>
      <c r="H737" s="2" t="s">
        <v>31</v>
      </c>
      <c r="I737" s="268" t="str">
        <f t="shared" si="62"/>
        <v xml:space="preserve"> </v>
      </c>
      <c r="J737" s="205"/>
      <c r="K737" s="2" t="s">
        <v>31</v>
      </c>
      <c r="Q737" s="20"/>
      <c r="R737" s="20"/>
      <c r="S737" s="20"/>
      <c r="T737" s="20"/>
      <c r="U737" s="20"/>
      <c r="V737" s="20"/>
      <c r="W737" s="20"/>
      <c r="X737" s="20"/>
      <c r="Y737" s="20"/>
      <c r="Z737" s="20"/>
      <c r="AA737" s="20"/>
      <c r="AB737" s="20"/>
      <c r="AC737" s="20"/>
    </row>
    <row r="738" spans="1:29">
      <c r="A738" s="207" t="s">
        <v>461</v>
      </c>
      <c r="B738" s="1"/>
      <c r="C738" s="203">
        <f>14980</f>
        <v>14980</v>
      </c>
      <c r="D738" s="203">
        <f>ROUND(($D$758/$C$758)*C738,0)</f>
        <v>28971</v>
      </c>
      <c r="E738" s="268">
        <f t="shared" si="61"/>
        <v>0.91</v>
      </c>
      <c r="F738" s="221"/>
      <c r="G738" s="2">
        <f>ROUND(E738*$C738,0)</f>
        <v>13632</v>
      </c>
      <c r="H738" s="2">
        <f>ROUND(E738*$D738,0)</f>
        <v>26364</v>
      </c>
      <c r="I738" s="268">
        <f t="shared" si="62"/>
        <v>1.01</v>
      </c>
      <c r="J738" s="205"/>
      <c r="K738" s="2">
        <f>ROUND(I738*$C738,0)</f>
        <v>15130</v>
      </c>
      <c r="M738" s="81">
        <f>I738*D738</f>
        <v>29260.71</v>
      </c>
      <c r="O738" s="14"/>
      <c r="Q738" s="20"/>
      <c r="R738" s="20"/>
      <c r="S738" s="20"/>
      <c r="T738" s="20"/>
      <c r="U738" s="20"/>
      <c r="V738" s="20"/>
      <c r="W738" s="20"/>
      <c r="X738" s="20"/>
      <c r="Y738" s="20"/>
      <c r="Z738" s="20"/>
      <c r="AA738" s="20"/>
      <c r="AB738" s="20"/>
      <c r="AC738" s="20"/>
    </row>
    <row r="739" spans="1:29">
      <c r="A739" s="207" t="s">
        <v>462</v>
      </c>
      <c r="B739" s="1"/>
      <c r="C739" s="203">
        <v>0</v>
      </c>
      <c r="D739" s="203">
        <v>0</v>
      </c>
      <c r="E739" s="268">
        <f t="shared" si="61"/>
        <v>0.83</v>
      </c>
      <c r="F739" s="221"/>
      <c r="G739" s="2">
        <f>ROUND(E739*$C739,0)</f>
        <v>0</v>
      </c>
      <c r="H739" s="2">
        <f>ROUND(E739*$D739,0)</f>
        <v>0</v>
      </c>
      <c r="I739" s="268">
        <f t="shared" si="62"/>
        <v>0.92</v>
      </c>
      <c r="J739" s="205"/>
      <c r="K739" s="2">
        <f>ROUND(I739*$C739,0)</f>
        <v>0</v>
      </c>
      <c r="M739" s="81">
        <f>I739*D739</f>
        <v>0</v>
      </c>
      <c r="Q739" s="20"/>
      <c r="R739" s="20"/>
      <c r="S739" s="20"/>
      <c r="T739" s="20"/>
      <c r="U739" s="20"/>
      <c r="V739" s="20"/>
      <c r="W739" s="20"/>
      <c r="X739" s="20"/>
      <c r="Y739" s="20"/>
      <c r="Z739" s="20"/>
      <c r="AA739" s="20"/>
      <c r="AB739" s="20"/>
      <c r="AC739" s="20"/>
    </row>
    <row r="740" spans="1:29">
      <c r="A740" s="193" t="s">
        <v>391</v>
      </c>
      <c r="B740" s="1"/>
      <c r="C740" s="203">
        <f>10820</f>
        <v>10820</v>
      </c>
      <c r="D740" s="203">
        <f>ROUND(($D$758/$C$758)*C740,0)</f>
        <v>20926</v>
      </c>
      <c r="E740" s="268">
        <f t="shared" si="61"/>
        <v>6.03</v>
      </c>
      <c r="F740" s="221"/>
      <c r="G740" s="2">
        <f>ROUND(E740*$C740,0)</f>
        <v>65245</v>
      </c>
      <c r="H740" s="2">
        <f>ROUND(E740*$D740,0)</f>
        <v>126184</v>
      </c>
      <c r="I740" s="268">
        <f t="shared" si="62"/>
        <v>6.53</v>
      </c>
      <c r="J740" s="205"/>
      <c r="K740" s="2">
        <f>ROUND(I740*$C740,0)</f>
        <v>70655</v>
      </c>
      <c r="M740" s="81">
        <f>I740*D740</f>
        <v>136646.78</v>
      </c>
      <c r="Q740" s="20"/>
      <c r="R740" s="20"/>
      <c r="S740" s="20"/>
      <c r="T740" s="20"/>
      <c r="U740" s="20"/>
      <c r="V740" s="20"/>
      <c r="W740" s="20"/>
      <c r="X740" s="20"/>
      <c r="Y740" s="20"/>
      <c r="Z740" s="20"/>
      <c r="AA740" s="20"/>
      <c r="AB740" s="20"/>
      <c r="AC740" s="20"/>
    </row>
    <row r="741" spans="1:29">
      <c r="A741" s="207" t="s">
        <v>414</v>
      </c>
      <c r="B741" s="1"/>
      <c r="C741" s="203"/>
      <c r="D741" s="203"/>
      <c r="E741" s="268"/>
      <c r="F741" s="221"/>
      <c r="G741" s="2"/>
      <c r="H741" s="2"/>
      <c r="I741" s="268"/>
      <c r="J741" s="205"/>
      <c r="K741" s="2"/>
      <c r="Q741" s="20"/>
      <c r="R741" s="20"/>
      <c r="S741" s="20"/>
      <c r="T741" s="20"/>
      <c r="U741" s="20"/>
      <c r="V741" s="20"/>
      <c r="W741" s="20"/>
      <c r="X741" s="20"/>
      <c r="Y741" s="20"/>
      <c r="Z741" s="20"/>
      <c r="AA741" s="20"/>
      <c r="AB741" s="20"/>
      <c r="AC741" s="20"/>
    </row>
    <row r="742" spans="1:29">
      <c r="A742" s="207" t="s">
        <v>452</v>
      </c>
      <c r="B742" s="1"/>
      <c r="C742" s="203">
        <v>1248100</v>
      </c>
      <c r="D742" s="203">
        <f>ROUND(($D$758/$C$758)*C742,0)</f>
        <v>2413782</v>
      </c>
      <c r="E742" s="271">
        <f>E801</f>
        <v>3.4990000000000001</v>
      </c>
      <c r="F742" s="205" t="s">
        <v>362</v>
      </c>
      <c r="G742" s="2">
        <f>ROUND(E742/100*$C742,0)</f>
        <v>43671</v>
      </c>
      <c r="H742" s="2">
        <f>ROUND(E742/100*$D742,0)</f>
        <v>84458</v>
      </c>
      <c r="I742" s="271">
        <f>I801</f>
        <v>3.8719999999999999</v>
      </c>
      <c r="J742" s="205" t="s">
        <v>362</v>
      </c>
      <c r="K742" s="2">
        <f>ROUND(I742/100*$C742,0)</f>
        <v>48326</v>
      </c>
      <c r="M742" s="81">
        <f>(I742/100)*D742</f>
        <v>93461.639039999995</v>
      </c>
      <c r="Q742" s="20"/>
      <c r="R742" s="20"/>
      <c r="S742" s="20"/>
      <c r="T742" s="20"/>
      <c r="U742" s="20"/>
      <c r="V742" s="20"/>
      <c r="W742" s="20"/>
      <c r="X742" s="20"/>
      <c r="Y742" s="20"/>
      <c r="Z742" s="20"/>
      <c r="AA742" s="20"/>
      <c r="AB742" s="20"/>
      <c r="AC742" s="20"/>
    </row>
    <row r="743" spans="1:29">
      <c r="A743" s="207" t="s">
        <v>388</v>
      </c>
      <c r="B743" s="1"/>
      <c r="C743" s="203">
        <v>6132</v>
      </c>
      <c r="D743" s="203">
        <f>ROUND(($D$758/$C$758)*C743,0)</f>
        <v>11859</v>
      </c>
      <c r="E743" s="268">
        <f>E802</f>
        <v>0.45</v>
      </c>
      <c r="F743" s="205"/>
      <c r="G743" s="2">
        <f>ROUND(E743*$C743,0)</f>
        <v>2759</v>
      </c>
      <c r="H743" s="2">
        <f>ROUND(E743*$D743,0)</f>
        <v>5337</v>
      </c>
      <c r="I743" s="268">
        <f>I802</f>
        <v>0.5</v>
      </c>
      <c r="J743" s="205"/>
      <c r="K743" s="2">
        <f>ROUND(I743*$C743,0)</f>
        <v>3066</v>
      </c>
      <c r="M743" s="81">
        <f>I743*D743</f>
        <v>5929.5</v>
      </c>
      <c r="N743" s="203"/>
      <c r="Q743" s="20"/>
      <c r="R743" s="20"/>
      <c r="S743" s="20"/>
      <c r="T743" s="20"/>
      <c r="U743" s="20"/>
      <c r="V743" s="20"/>
      <c r="W743" s="20"/>
      <c r="X743" s="20"/>
      <c r="Y743" s="20"/>
      <c r="Z743" s="20"/>
      <c r="AA743" s="20"/>
      <c r="AB743" s="20"/>
      <c r="AC743" s="20"/>
    </row>
    <row r="744" spans="1:29">
      <c r="A744" s="193" t="s">
        <v>416</v>
      </c>
      <c r="B744" s="1"/>
      <c r="C744" s="203">
        <v>0</v>
      </c>
      <c r="D744" s="203">
        <v>0</v>
      </c>
      <c r="E744" s="272">
        <v>5.9999999999999995E-4</v>
      </c>
      <c r="F744" s="205"/>
      <c r="G744" s="2">
        <f>ROUND(E744*$C744,0)</f>
        <v>0</v>
      </c>
      <c r="H744" s="2">
        <f>ROUND(E744*$D744,0)</f>
        <v>0</v>
      </c>
      <c r="I744" s="272">
        <v>5.9999999999999995E-4</v>
      </c>
      <c r="J744" s="205"/>
      <c r="K744" s="2">
        <f>ROUND(I744*$C744,0)</f>
        <v>0</v>
      </c>
      <c r="M744" s="81">
        <f>I744*D744</f>
        <v>0</v>
      </c>
      <c r="N744" s="203"/>
      <c r="Q744" s="20"/>
      <c r="R744" s="20"/>
      <c r="S744" s="20"/>
      <c r="T744" s="20"/>
      <c r="U744" s="20"/>
      <c r="V744" s="20"/>
      <c r="W744" s="20"/>
      <c r="X744" s="20"/>
      <c r="Y744" s="20"/>
      <c r="Z744" s="20"/>
      <c r="AA744" s="20"/>
      <c r="AB744" s="20"/>
      <c r="AC744" s="20"/>
    </row>
    <row r="745" spans="1:29">
      <c r="A745" s="244" t="s">
        <v>389</v>
      </c>
      <c r="B745" s="1"/>
      <c r="C745" s="203"/>
      <c r="D745" s="203"/>
      <c r="E745" s="273">
        <f>E803</f>
        <v>-0.01</v>
      </c>
      <c r="F745" s="216"/>
      <c r="G745" s="2"/>
      <c r="H745" s="2"/>
      <c r="I745" s="273">
        <f>I803</f>
        <v>-0.01</v>
      </c>
      <c r="J745" s="245"/>
      <c r="K745" s="2"/>
      <c r="Q745" s="20"/>
      <c r="R745" s="20"/>
      <c r="S745" s="20"/>
      <c r="T745" s="20"/>
      <c r="U745" s="20"/>
      <c r="V745" s="20"/>
      <c r="W745" s="20"/>
      <c r="X745" s="20"/>
      <c r="Y745" s="20"/>
      <c r="Z745" s="20"/>
      <c r="AA745" s="20"/>
      <c r="AB745" s="20"/>
      <c r="AC745" s="20"/>
    </row>
    <row r="746" spans="1:29">
      <c r="A746" s="207" t="s">
        <v>459</v>
      </c>
      <c r="B746" s="1"/>
      <c r="C746" s="203">
        <v>0</v>
      </c>
      <c r="D746" s="203">
        <v>0</v>
      </c>
      <c r="E746" s="268">
        <f>E735</f>
        <v>1205</v>
      </c>
      <c r="F746" s="218"/>
      <c r="G746" s="205">
        <f>ROUND(E746*$C746*$E$803,0)</f>
        <v>0</v>
      </c>
      <c r="H746" s="205">
        <f>ROUND(E746*$D746*$E$803,0)</f>
        <v>0</v>
      </c>
      <c r="I746" s="268">
        <f>I735</f>
        <v>1330</v>
      </c>
      <c r="J746" s="205"/>
      <c r="K746" s="205">
        <f>ROUND(I746*$C746*$E$803,0)</f>
        <v>0</v>
      </c>
      <c r="M746" s="81">
        <f>-(I746*D746)/100</f>
        <v>0</v>
      </c>
      <c r="Q746" s="20"/>
      <c r="R746" s="20"/>
      <c r="S746" s="20"/>
      <c r="T746" s="20"/>
      <c r="U746" s="20"/>
      <c r="V746" s="20"/>
      <c r="W746" s="20"/>
      <c r="X746" s="20"/>
      <c r="Y746" s="20"/>
      <c r="Z746" s="20"/>
      <c r="AA746" s="20"/>
      <c r="AB746" s="20"/>
      <c r="AC746" s="20"/>
    </row>
    <row r="747" spans="1:29">
      <c r="A747" s="207" t="s">
        <v>460</v>
      </c>
      <c r="B747" s="1"/>
      <c r="C747" s="203">
        <f>C736</f>
        <v>0</v>
      </c>
      <c r="D747" s="203">
        <v>0</v>
      </c>
      <c r="E747" s="268">
        <f>E736</f>
        <v>1450</v>
      </c>
      <c r="F747" s="218"/>
      <c r="G747" s="205">
        <f>ROUND(E747*$C747*$E$803,0)</f>
        <v>0</v>
      </c>
      <c r="H747" s="205">
        <f>ROUND(E747*$D747*$E$803,0)</f>
        <v>0</v>
      </c>
      <c r="I747" s="268">
        <f>I736</f>
        <v>1600</v>
      </c>
      <c r="J747" s="205"/>
      <c r="K747" s="205">
        <f>ROUND(I747*$C747*$E$803,0)</f>
        <v>0</v>
      </c>
      <c r="M747" s="81">
        <f>-(I747*D747)/100</f>
        <v>0</v>
      </c>
      <c r="Q747" s="20"/>
      <c r="R747" s="20"/>
      <c r="S747" s="20"/>
      <c r="T747" s="20"/>
      <c r="U747" s="20"/>
      <c r="V747" s="20"/>
      <c r="W747" s="20"/>
      <c r="X747" s="20"/>
      <c r="Y747" s="20"/>
      <c r="Z747" s="20"/>
      <c r="AA747" s="20"/>
      <c r="AB747" s="20"/>
      <c r="AC747" s="20"/>
    </row>
    <row r="748" spans="1:29">
      <c r="A748" s="207" t="s">
        <v>461</v>
      </c>
      <c r="B748" s="1"/>
      <c r="C748" s="203">
        <v>0</v>
      </c>
      <c r="D748" s="203">
        <v>0</v>
      </c>
      <c r="E748" s="268">
        <f>E738</f>
        <v>0.91</v>
      </c>
      <c r="F748" s="218"/>
      <c r="G748" s="205">
        <f>ROUND(E748*$C748*$E$803,0)</f>
        <v>0</v>
      </c>
      <c r="H748" s="205">
        <f>ROUND(E748*$D748*$E$803,0)</f>
        <v>0</v>
      </c>
      <c r="I748" s="268">
        <f>I738</f>
        <v>1.01</v>
      </c>
      <c r="J748" s="205"/>
      <c r="K748" s="205">
        <f>ROUND(I748*$C748*$E$803,0)</f>
        <v>0</v>
      </c>
      <c r="M748" s="81">
        <f>-(I748*D748)/100</f>
        <v>0</v>
      </c>
      <c r="Q748" s="20"/>
      <c r="R748" s="20"/>
      <c r="S748" s="20"/>
      <c r="T748" s="20"/>
      <c r="U748" s="20"/>
      <c r="V748" s="20"/>
      <c r="W748" s="20"/>
      <c r="X748" s="20"/>
      <c r="Y748" s="20"/>
      <c r="Z748" s="20"/>
      <c r="AA748" s="20"/>
      <c r="AB748" s="20"/>
      <c r="AC748" s="20"/>
    </row>
    <row r="749" spans="1:29">
      <c r="A749" s="207" t="s">
        <v>462</v>
      </c>
      <c r="B749" s="1"/>
      <c r="C749" s="203">
        <f>C739</f>
        <v>0</v>
      </c>
      <c r="D749" s="203">
        <v>0</v>
      </c>
      <c r="E749" s="268">
        <f>E739</f>
        <v>0.83</v>
      </c>
      <c r="F749" s="218"/>
      <c r="G749" s="205">
        <f>ROUND(E749*$C749*$E$803,0)</f>
        <v>0</v>
      </c>
      <c r="H749" s="205">
        <f>ROUND(E749*$D749*$E$803,0)</f>
        <v>0</v>
      </c>
      <c r="I749" s="268">
        <f>I739</f>
        <v>0.92</v>
      </c>
      <c r="J749" s="205"/>
      <c r="K749" s="205">
        <f>ROUND(I749*$C749*$E$803,0)</f>
        <v>0</v>
      </c>
      <c r="M749" s="81">
        <f>-(I749*D749)/100</f>
        <v>0</v>
      </c>
      <c r="Q749" s="20"/>
      <c r="R749" s="20"/>
      <c r="S749" s="20"/>
      <c r="T749" s="20"/>
      <c r="U749" s="20"/>
      <c r="V749" s="20"/>
      <c r="W749" s="20"/>
      <c r="X749" s="20"/>
      <c r="Y749" s="20"/>
      <c r="Z749" s="20"/>
      <c r="AA749" s="20"/>
      <c r="AB749" s="20"/>
      <c r="AC749" s="20"/>
    </row>
    <row r="750" spans="1:29">
      <c r="A750" s="193" t="s">
        <v>391</v>
      </c>
      <c r="B750" s="264"/>
      <c r="C750" s="203">
        <v>0</v>
      </c>
      <c r="D750" s="203">
        <v>0</v>
      </c>
      <c r="E750" s="268">
        <f>E740</f>
        <v>6.03</v>
      </c>
      <c r="F750" s="221"/>
      <c r="G750" s="205">
        <f>ROUND(E750*$C750*$E$803,0)</f>
        <v>0</v>
      </c>
      <c r="H750" s="205">
        <f>ROUND(E750*$D750*$E$803,0)</f>
        <v>0</v>
      </c>
      <c r="I750" s="268">
        <f>I740</f>
        <v>6.53</v>
      </c>
      <c r="J750" s="205"/>
      <c r="K750" s="205">
        <f>ROUND(I750*$C750*$E$803,0)</f>
        <v>0</v>
      </c>
      <c r="M750" s="81">
        <f>-(I750*D750)/100</f>
        <v>0</v>
      </c>
      <c r="Q750" s="20"/>
      <c r="R750" s="20"/>
      <c r="S750" s="20"/>
      <c r="T750" s="20"/>
      <c r="U750" s="20"/>
      <c r="V750" s="20"/>
      <c r="W750" s="20"/>
      <c r="X750" s="20"/>
      <c r="Y750" s="20"/>
      <c r="Z750" s="20"/>
      <c r="AA750" s="20"/>
      <c r="AB750" s="20"/>
      <c r="AC750" s="20"/>
    </row>
    <row r="751" spans="1:29">
      <c r="A751" s="207" t="s">
        <v>452</v>
      </c>
      <c r="B751" s="1"/>
      <c r="C751" s="203">
        <v>0</v>
      </c>
      <c r="D751" s="203">
        <v>0</v>
      </c>
      <c r="E751" s="274">
        <f>E742</f>
        <v>3.4990000000000001</v>
      </c>
      <c r="F751" s="205" t="s">
        <v>362</v>
      </c>
      <c r="G751" s="205">
        <f>ROUND(E751/100*$C751*$E$803,0)</f>
        <v>0</v>
      </c>
      <c r="H751" s="205">
        <f>ROUND(E751/100*$D751*$E$803,0)</f>
        <v>0</v>
      </c>
      <c r="I751" s="274">
        <f>I742</f>
        <v>3.8719999999999999</v>
      </c>
      <c r="J751" s="205" t="s">
        <v>362</v>
      </c>
      <c r="K751" s="205">
        <f>ROUND(I751/100*$C751*$E$803,0)</f>
        <v>0</v>
      </c>
      <c r="M751" s="81">
        <f>-((I751*D751)/100)/100</f>
        <v>0</v>
      </c>
      <c r="Q751" s="20"/>
      <c r="R751" s="20"/>
      <c r="S751" s="20"/>
      <c r="T751" s="20"/>
      <c r="U751" s="20"/>
      <c r="V751" s="20"/>
      <c r="W751" s="20"/>
      <c r="X751" s="20"/>
      <c r="Y751" s="20"/>
      <c r="Z751" s="20"/>
      <c r="AA751" s="20"/>
      <c r="AB751" s="20"/>
      <c r="AC751" s="20"/>
    </row>
    <row r="752" spans="1:29">
      <c r="A752" s="207" t="s">
        <v>388</v>
      </c>
      <c r="B752" s="1"/>
      <c r="C752" s="203">
        <v>0</v>
      </c>
      <c r="D752" s="203">
        <v>0</v>
      </c>
      <c r="E752" s="268">
        <f>E743</f>
        <v>0.45</v>
      </c>
      <c r="F752" s="205"/>
      <c r="G752" s="205">
        <f>ROUND(E752*$C752*$E$803,0)</f>
        <v>0</v>
      </c>
      <c r="H752" s="205">
        <f>ROUND(E752*$D752*$E$803,0)</f>
        <v>0</v>
      </c>
      <c r="I752" s="268">
        <f>I743</f>
        <v>0.5</v>
      </c>
      <c r="J752" s="205"/>
      <c r="K752" s="205">
        <f>ROUND(I752*$C752*$E$803,0)</f>
        <v>0</v>
      </c>
      <c r="M752" s="81">
        <f>-(I752*D752)/100</f>
        <v>0</v>
      </c>
      <c r="Q752" s="20"/>
      <c r="R752" s="20"/>
      <c r="S752" s="20"/>
      <c r="T752" s="20"/>
      <c r="U752" s="20"/>
      <c r="V752" s="20"/>
      <c r="W752" s="20"/>
      <c r="X752" s="20"/>
      <c r="Y752" s="20"/>
      <c r="Z752" s="20"/>
      <c r="AA752" s="20"/>
      <c r="AB752" s="20"/>
      <c r="AC752" s="20"/>
    </row>
    <row r="753" spans="1:29">
      <c r="A753" s="193" t="s">
        <v>463</v>
      </c>
      <c r="B753" s="1"/>
      <c r="C753" s="203">
        <v>0</v>
      </c>
      <c r="D753" s="203">
        <v>0</v>
      </c>
      <c r="E753" s="268">
        <f>E811</f>
        <v>60</v>
      </c>
      <c r="F753" s="221"/>
      <c r="G753" s="205">
        <f>ROUND(E753*$C753,0)</f>
        <v>0</v>
      </c>
      <c r="H753" s="205">
        <f>ROUND(E753*$D753,0)</f>
        <v>0</v>
      </c>
      <c r="I753" s="268">
        <f>I811</f>
        <v>60</v>
      </c>
      <c r="J753" s="205"/>
      <c r="K753" s="205">
        <f>ROUND(I753*$C753,0)</f>
        <v>0</v>
      </c>
      <c r="M753" s="81">
        <f>-(I753*D753)/100</f>
        <v>0</v>
      </c>
      <c r="Q753" s="20"/>
      <c r="R753" s="20"/>
      <c r="S753" s="20"/>
      <c r="T753" s="20"/>
      <c r="U753" s="20"/>
      <c r="V753" s="20"/>
      <c r="W753" s="20"/>
      <c r="X753" s="20"/>
      <c r="Y753" s="20"/>
      <c r="Z753" s="20"/>
      <c r="AA753" s="20"/>
      <c r="AB753" s="20"/>
      <c r="AC753" s="20"/>
    </row>
    <row r="754" spans="1:29">
      <c r="A754" s="193" t="s">
        <v>432</v>
      </c>
      <c r="B754" s="1"/>
      <c r="C754" s="203">
        <v>0</v>
      </c>
      <c r="D754" s="203">
        <v>0</v>
      </c>
      <c r="E754" s="268">
        <f>E812</f>
        <v>-0.75</v>
      </c>
      <c r="F754" s="205"/>
      <c r="G754" s="205">
        <f>ROUND(E754*$C754,0)</f>
        <v>0</v>
      </c>
      <c r="H754" s="205">
        <f>ROUND(E754*$D754,0)</f>
        <v>0</v>
      </c>
      <c r="I754" s="268">
        <f>I812</f>
        <v>-0.75</v>
      </c>
      <c r="J754" s="205"/>
      <c r="K754" s="205">
        <f>ROUND(I754*$C754,0)</f>
        <v>0</v>
      </c>
      <c r="M754" s="81">
        <f>-(I754*D754)/100</f>
        <v>0</v>
      </c>
      <c r="Q754" s="20"/>
      <c r="R754" s="20"/>
      <c r="S754" s="20"/>
      <c r="T754" s="20"/>
      <c r="U754" s="20"/>
      <c r="V754" s="20"/>
      <c r="W754" s="20"/>
      <c r="X754" s="20"/>
      <c r="Y754" s="20"/>
      <c r="Z754" s="20"/>
      <c r="AA754" s="20"/>
      <c r="AB754" s="20"/>
      <c r="AC754" s="20"/>
    </row>
    <row r="755" spans="1:29">
      <c r="A755" s="193" t="s">
        <v>421</v>
      </c>
      <c r="B755" s="1"/>
      <c r="C755" s="203">
        <v>1180</v>
      </c>
      <c r="D755" s="203">
        <f>ROUND(($D$758/$C$758)*C755,0)</f>
        <v>2282</v>
      </c>
      <c r="E755" s="275">
        <f>ROUND(E740/2,3)</f>
        <v>3.0150000000000001</v>
      </c>
      <c r="F755" s="205"/>
      <c r="G755" s="205">
        <f>ROUND(E755*$C755,0)</f>
        <v>3558</v>
      </c>
      <c r="H755" s="205">
        <f>ROUND(E755*$D755,0)</f>
        <v>6880</v>
      </c>
      <c r="I755" s="275">
        <f>ROUND(I740/2,3)</f>
        <v>3.2650000000000001</v>
      </c>
      <c r="J755" s="205"/>
      <c r="K755" s="205">
        <f>ROUND($C755*I755,0)</f>
        <v>3853</v>
      </c>
      <c r="M755" s="81">
        <f>I755*D755</f>
        <v>7450.7300000000005</v>
      </c>
      <c r="Q755" s="20"/>
      <c r="R755" s="20"/>
      <c r="S755" s="20"/>
      <c r="T755" s="20"/>
      <c r="U755" s="20"/>
      <c r="V755" s="20"/>
      <c r="W755" s="20"/>
      <c r="X755" s="20"/>
      <c r="Y755" s="20"/>
      <c r="Z755" s="20"/>
      <c r="AA755" s="20"/>
      <c r="AB755" s="20"/>
      <c r="AC755" s="20"/>
    </row>
    <row r="756" spans="1:29">
      <c r="A756" s="193" t="s">
        <v>422</v>
      </c>
      <c r="B756" s="1"/>
      <c r="C756" s="203">
        <v>520</v>
      </c>
      <c r="D756" s="203">
        <f>ROUND(($D$758/$C$758)*C756,0)</f>
        <v>1006</v>
      </c>
      <c r="E756" s="218">
        <f>E740*4</f>
        <v>24.12</v>
      </c>
      <c r="F756" s="205"/>
      <c r="G756" s="205">
        <f>ROUND(E756*$C756,0)</f>
        <v>12542</v>
      </c>
      <c r="H756" s="205">
        <f>ROUND(E756*$D756,0)</f>
        <v>24265</v>
      </c>
      <c r="I756" s="218">
        <f>I740*4</f>
        <v>26.12</v>
      </c>
      <c r="J756" s="205"/>
      <c r="K756" s="205">
        <f>ROUND($C756*I756,0)</f>
        <v>13582</v>
      </c>
      <c r="M756" s="81">
        <f>I756*D756</f>
        <v>26276.720000000001</v>
      </c>
      <c r="Q756" s="20"/>
      <c r="R756" s="20"/>
      <c r="S756" s="20"/>
      <c r="T756" s="20"/>
      <c r="U756" s="20"/>
      <c r="V756" s="20"/>
      <c r="W756" s="20"/>
      <c r="X756" s="20"/>
      <c r="Y756" s="20"/>
      <c r="Z756" s="20"/>
      <c r="AA756" s="20"/>
      <c r="AB756" s="20"/>
      <c r="AC756" s="20"/>
    </row>
    <row r="757" spans="1:29">
      <c r="A757" s="3" t="s">
        <v>423</v>
      </c>
      <c r="B757" s="187"/>
      <c r="C757" s="203">
        <v>11900</v>
      </c>
      <c r="D757" s="203">
        <f>ROUND(($D$758/$C$758)*C757,0)</f>
        <v>23014</v>
      </c>
      <c r="E757" s="276">
        <f>E742*4</f>
        <v>13.996</v>
      </c>
      <c r="F757" s="205" t="s">
        <v>362</v>
      </c>
      <c r="G757" s="205">
        <f>ROUND($C757*E757/100,0)</f>
        <v>1666</v>
      </c>
      <c r="H757" s="205">
        <f>ROUND($D757*E757/100,0)</f>
        <v>3221</v>
      </c>
      <c r="I757" s="276">
        <f>I742*4</f>
        <v>15.488</v>
      </c>
      <c r="J757" s="205" t="s">
        <v>362</v>
      </c>
      <c r="K757" s="205">
        <f>ROUND($C757*I757/100,0)</f>
        <v>1843</v>
      </c>
      <c r="M757" s="81">
        <f>(I757/100)*D757</f>
        <v>3564.4083199999995</v>
      </c>
      <c r="Q757" s="20"/>
      <c r="R757" s="20"/>
      <c r="S757" s="20"/>
      <c r="T757" s="20"/>
      <c r="U757" s="20"/>
      <c r="V757" s="20"/>
      <c r="W757" s="20"/>
      <c r="X757" s="20"/>
      <c r="Y757" s="20"/>
      <c r="Z757" s="20"/>
      <c r="AA757" s="20"/>
      <c r="AB757" s="20"/>
      <c r="AC757" s="20"/>
    </row>
    <row r="758" spans="1:29">
      <c r="A758" s="1" t="s">
        <v>369</v>
      </c>
      <c r="B758" s="1"/>
      <c r="C758" s="203">
        <f>C742+C757</f>
        <v>1260000</v>
      </c>
      <c r="D758" s="203">
        <v>2436796.4482688801</v>
      </c>
      <c r="E758" s="214"/>
      <c r="F758" s="2"/>
      <c r="G758" s="2">
        <f>SUM(G735:G757)</f>
        <v>157533</v>
      </c>
      <c r="H758" s="2">
        <f>SUM(H735:H757)</f>
        <v>291169</v>
      </c>
      <c r="I758" s="214"/>
      <c r="J758" s="1"/>
      <c r="K758" s="2">
        <f>SUM(K735:K757)</f>
        <v>172415</v>
      </c>
      <c r="M758" s="81">
        <f>SUM(M735:M757)</f>
        <v>318550.48735999997</v>
      </c>
      <c r="Q758" s="20"/>
      <c r="R758" s="20"/>
      <c r="S758" s="20"/>
      <c r="T758" s="20"/>
      <c r="U758" s="20"/>
      <c r="V758" s="20"/>
      <c r="W758" s="20"/>
      <c r="X758" s="20"/>
      <c r="Y758" s="20"/>
      <c r="Z758" s="20"/>
      <c r="AA758" s="20"/>
      <c r="AB758" s="20"/>
      <c r="AC758" s="20"/>
    </row>
    <row r="759" spans="1:29">
      <c r="A759" s="1" t="s">
        <v>351</v>
      </c>
      <c r="B759" s="1"/>
      <c r="C759" s="203" t="e">
        <f>#REF!</f>
        <v>#REF!</v>
      </c>
      <c r="D759" s="203">
        <v>0</v>
      </c>
      <c r="E759" s="193"/>
      <c r="F759" s="193"/>
      <c r="G759" s="225" t="e">
        <f>#REF!</f>
        <v>#REF!</v>
      </c>
      <c r="H759" s="225">
        <v>0</v>
      </c>
      <c r="I759" s="193"/>
      <c r="J759" s="193"/>
      <c r="K759" s="225" t="e">
        <f>G759</f>
        <v>#REF!</v>
      </c>
      <c r="Q759" s="20"/>
      <c r="R759" s="20"/>
      <c r="S759" s="20"/>
      <c r="T759" s="20"/>
      <c r="U759" s="20"/>
      <c r="V759" s="20"/>
      <c r="W759" s="20"/>
      <c r="X759" s="20"/>
      <c r="Y759" s="20"/>
      <c r="Z759" s="20"/>
      <c r="AA759" s="20"/>
      <c r="AB759" s="20"/>
      <c r="AC759" s="20"/>
    </row>
    <row r="760" spans="1:29" ht="16.5" thickBot="1">
      <c r="A760" s="1" t="s">
        <v>370</v>
      </c>
      <c r="B760" s="1"/>
      <c r="C760" s="277" t="e">
        <f>SUM(C758)+C759</f>
        <v>#REF!</v>
      </c>
      <c r="D760" s="277">
        <f>SUM(D742)+D759</f>
        <v>2413782</v>
      </c>
      <c r="E760" s="226"/>
      <c r="F760" s="227"/>
      <c r="G760" s="228" t="e">
        <f>G758+G759</f>
        <v>#REF!</v>
      </c>
      <c r="H760" s="228">
        <f>H758+H759</f>
        <v>291169</v>
      </c>
      <c r="I760" s="226"/>
      <c r="J760" s="229"/>
      <c r="K760" s="228" t="e">
        <f>K758+K759</f>
        <v>#REF!</v>
      </c>
      <c r="N760" s="3" t="s">
        <v>352</v>
      </c>
      <c r="O760" s="66" t="e">
        <f>#REF!*1000</f>
        <v>#REF!</v>
      </c>
      <c r="Q760" s="20"/>
      <c r="R760" s="20"/>
      <c r="S760" s="20"/>
      <c r="T760" s="20"/>
      <c r="U760" s="20"/>
      <c r="V760" s="20"/>
      <c r="W760" s="20"/>
      <c r="X760" s="20"/>
      <c r="Y760" s="20"/>
      <c r="Z760" s="20"/>
      <c r="AA760" s="20"/>
      <c r="AB760" s="20"/>
      <c r="AC760" s="20"/>
    </row>
    <row r="761" spans="1:29" ht="16.5" thickTop="1">
      <c r="A761" s="1"/>
      <c r="B761" s="1"/>
      <c r="C761" s="21"/>
      <c r="D761" s="21"/>
      <c r="E761" s="221"/>
      <c r="F761" s="2"/>
      <c r="G761" s="2"/>
      <c r="H761" s="2"/>
      <c r="I761" s="221"/>
      <c r="J761" s="1"/>
      <c r="K761" s="264"/>
      <c r="N761" s="3" t="s">
        <v>256</v>
      </c>
      <c r="O761" s="66" t="e">
        <f>O760-K760</f>
        <v>#REF!</v>
      </c>
      <c r="P761" s="14" t="e">
        <f>(O760-K760)/K760</f>
        <v>#REF!</v>
      </c>
      <c r="Q761" s="20"/>
      <c r="R761" s="20"/>
      <c r="S761" s="20"/>
      <c r="T761" s="20"/>
      <c r="U761" s="20"/>
      <c r="V761" s="20"/>
      <c r="W761" s="20"/>
      <c r="X761" s="20"/>
      <c r="Y761" s="20"/>
      <c r="Z761" s="20"/>
      <c r="AA761" s="20"/>
      <c r="AB761" s="20"/>
      <c r="AC761" s="20"/>
    </row>
    <row r="762" spans="1:29">
      <c r="A762" s="177" t="s">
        <v>464</v>
      </c>
      <c r="B762" s="1"/>
      <c r="C762" s="1"/>
      <c r="D762" s="1"/>
      <c r="E762" s="2"/>
      <c r="F762" s="2"/>
      <c r="G762" s="1"/>
      <c r="H762" s="1"/>
      <c r="I762" s="2"/>
      <c r="J762" s="1"/>
      <c r="K762" s="1"/>
      <c r="M762" s="20"/>
      <c r="N762" s="20"/>
      <c r="O762" s="71"/>
      <c r="P762" s="71"/>
      <c r="Q762" s="20"/>
      <c r="R762" s="20"/>
      <c r="S762" s="20"/>
      <c r="T762" s="20"/>
      <c r="U762" s="20"/>
      <c r="V762" s="20"/>
      <c r="W762" s="20"/>
      <c r="X762" s="20"/>
      <c r="Y762" s="20"/>
      <c r="Z762" s="20"/>
      <c r="AA762" s="20"/>
      <c r="AB762" s="20"/>
      <c r="AC762" s="20"/>
    </row>
    <row r="763" spans="1:29">
      <c r="A763" s="193" t="s">
        <v>465</v>
      </c>
      <c r="B763" s="1"/>
      <c r="C763" s="1"/>
      <c r="D763" s="1"/>
      <c r="E763" s="2"/>
      <c r="F763" s="2"/>
      <c r="G763" s="1"/>
      <c r="H763" s="1"/>
      <c r="I763" s="2"/>
      <c r="J763" s="1"/>
      <c r="K763" s="1"/>
      <c r="M763" s="20"/>
      <c r="N763" s="20"/>
      <c r="O763" s="71"/>
      <c r="P763" s="71"/>
      <c r="Q763" s="20"/>
      <c r="R763" s="20"/>
      <c r="S763" s="20"/>
      <c r="T763" s="20"/>
      <c r="U763" s="20"/>
      <c r="V763" s="20"/>
      <c r="W763" s="20"/>
      <c r="X763" s="20"/>
      <c r="Y763" s="20"/>
      <c r="Z763" s="20"/>
      <c r="AA763" s="20"/>
      <c r="AB763" s="20"/>
      <c r="AC763" s="20"/>
    </row>
    <row r="764" spans="1:29">
      <c r="A764" s="207"/>
      <c r="B764" s="1"/>
      <c r="C764" s="1"/>
      <c r="D764" s="1"/>
      <c r="E764" s="2"/>
      <c r="F764" s="2"/>
      <c r="G764" s="1"/>
      <c r="H764" s="1"/>
      <c r="I764" s="2"/>
      <c r="J764" s="1"/>
      <c r="K764" s="1"/>
      <c r="M764" s="20"/>
      <c r="N764" s="20"/>
      <c r="O764" s="71"/>
      <c r="P764" s="71"/>
      <c r="Q764" s="20"/>
      <c r="R764" s="20"/>
      <c r="S764" s="20"/>
      <c r="T764" s="20"/>
      <c r="U764" s="20"/>
      <c r="V764" s="20"/>
      <c r="W764" s="20"/>
      <c r="X764" s="20"/>
      <c r="Y764" s="20"/>
      <c r="Z764" s="20"/>
      <c r="AA764" s="20"/>
      <c r="AB764" s="20"/>
      <c r="AC764" s="20"/>
    </row>
    <row r="765" spans="1:29">
      <c r="A765" s="207" t="s">
        <v>381</v>
      </c>
      <c r="B765" s="1"/>
      <c r="C765" s="203"/>
      <c r="D765" s="203"/>
      <c r="E765" s="2"/>
      <c r="F765" s="2"/>
      <c r="G765" s="1"/>
      <c r="H765" s="1"/>
      <c r="I765" s="2"/>
      <c r="J765" s="1"/>
      <c r="K765" s="1"/>
      <c r="M765" s="20"/>
      <c r="N765" s="20"/>
      <c r="O765" s="71"/>
      <c r="P765" s="71"/>
      <c r="Q765" s="20"/>
      <c r="R765" s="20"/>
      <c r="S765" s="20"/>
      <c r="T765" s="20"/>
      <c r="U765" s="20"/>
      <c r="V765" s="20"/>
      <c r="W765" s="20"/>
      <c r="X765" s="20"/>
      <c r="Y765" s="20"/>
      <c r="Z765" s="20"/>
      <c r="AA765" s="20"/>
      <c r="AB765" s="20"/>
      <c r="AC765" s="20"/>
    </row>
    <row r="766" spans="1:29">
      <c r="A766" s="207" t="s">
        <v>459</v>
      </c>
      <c r="B766" s="1"/>
      <c r="C766" s="203">
        <f>C794+C877</f>
        <v>658</v>
      </c>
      <c r="D766" s="203">
        <f>D794+D877</f>
        <v>692</v>
      </c>
      <c r="E766" s="221">
        <v>1205</v>
      </c>
      <c r="F766" s="221"/>
      <c r="G766" s="2">
        <f>G794+G877</f>
        <v>792890</v>
      </c>
      <c r="H766" s="2">
        <f>H794+H877</f>
        <v>833860</v>
      </c>
      <c r="I766" s="221">
        <v>1330</v>
      </c>
      <c r="J766" s="205"/>
      <c r="K766" s="2">
        <f>K794+K877</f>
        <v>875140</v>
      </c>
      <c r="M766" s="81">
        <f>I766*D766</f>
        <v>920360</v>
      </c>
      <c r="O766" s="14">
        <f>(I766-E766)/E766</f>
        <v>0.1037344398340249</v>
      </c>
      <c r="P766" s="14"/>
      <c r="R766" s="213"/>
      <c r="T766" s="3" t="s">
        <v>359</v>
      </c>
      <c r="U766" s="3" t="s">
        <v>295</v>
      </c>
      <c r="V766" s="3" t="s">
        <v>360</v>
      </c>
      <c r="W766" s="3" t="s">
        <v>304</v>
      </c>
      <c r="X766" s="20"/>
      <c r="Y766" s="20"/>
      <c r="Z766" s="20"/>
      <c r="AA766" s="20"/>
      <c r="AB766" s="20"/>
      <c r="AC766" s="20"/>
    </row>
    <row r="767" spans="1:29">
      <c r="A767" s="207" t="s">
        <v>460</v>
      </c>
      <c r="B767" s="1"/>
      <c r="C767" s="203">
        <f>C795+C878</f>
        <v>60</v>
      </c>
      <c r="D767" s="203">
        <f>D795+D878</f>
        <v>62</v>
      </c>
      <c r="E767" s="221">
        <v>1450</v>
      </c>
      <c r="F767" s="221"/>
      <c r="G767" s="2">
        <f>G795+G878</f>
        <v>87000</v>
      </c>
      <c r="H767" s="2">
        <f>H795+H878</f>
        <v>89900</v>
      </c>
      <c r="I767" s="221">
        <v>1600</v>
      </c>
      <c r="J767" s="208"/>
      <c r="K767" s="2">
        <f>K795+K878</f>
        <v>95400</v>
      </c>
      <c r="M767" s="81">
        <f>I767*D767</f>
        <v>99200</v>
      </c>
      <c r="O767" s="14">
        <f>(I767-E767)/E767</f>
        <v>0.10344827586206896</v>
      </c>
      <c r="R767" s="213"/>
      <c r="S767" s="3" t="s">
        <v>20</v>
      </c>
      <c r="T767" s="103">
        <f>E766*(D766+D767+D735)</f>
        <v>923030</v>
      </c>
      <c r="U767" s="103">
        <f>I766*(D766+D767+D735)</f>
        <v>1018780</v>
      </c>
      <c r="V767" s="103">
        <v>20746.582883790943</v>
      </c>
      <c r="W767" s="128">
        <f>U767/V767</f>
        <v>49.105918102588383</v>
      </c>
      <c r="X767" s="20"/>
      <c r="Y767" s="20"/>
      <c r="Z767" s="20"/>
      <c r="AA767" s="20"/>
      <c r="AB767" s="20"/>
      <c r="AC767" s="20"/>
    </row>
    <row r="768" spans="1:29">
      <c r="A768" s="207" t="s">
        <v>382</v>
      </c>
      <c r="B768" s="1"/>
      <c r="C768" s="203">
        <f>SUM(C766:C767)</f>
        <v>718</v>
      </c>
      <c r="D768" s="203">
        <f>SUM(D766:D767)</f>
        <v>754</v>
      </c>
      <c r="E768" s="221" t="s">
        <v>31</v>
      </c>
      <c r="F768" s="221"/>
      <c r="G768" s="2"/>
      <c r="H768" s="2"/>
      <c r="I768" s="221" t="s">
        <v>31</v>
      </c>
      <c r="J768" s="205"/>
      <c r="K768" s="2"/>
      <c r="O768" s="204"/>
      <c r="S768" s="3" t="s">
        <v>392</v>
      </c>
      <c r="T768" s="103">
        <f>SUM(H766:H770)+SUM(H735:H739)-T767</f>
        <v>2074380</v>
      </c>
      <c r="U768" s="103">
        <f>SUM(K766:K770)+SUM(K735:K739)-U767</f>
        <v>1669410</v>
      </c>
      <c r="V768" s="103">
        <v>3811025.9901367896</v>
      </c>
      <c r="W768" s="128">
        <f>U768/V768</f>
        <v>0.43804739309586277</v>
      </c>
      <c r="X768" s="20"/>
      <c r="Y768" s="20"/>
      <c r="Z768" s="20"/>
      <c r="AA768" s="20"/>
      <c r="AB768" s="20"/>
      <c r="AC768" s="20"/>
    </row>
    <row r="769" spans="1:29">
      <c r="A769" s="207" t="s">
        <v>461</v>
      </c>
      <c r="B769" s="1"/>
      <c r="C769" s="203">
        <f t="shared" ref="C769:D771" si="63">C797+C880</f>
        <v>898711</v>
      </c>
      <c r="D769" s="203">
        <f t="shared" si="63"/>
        <v>1752134</v>
      </c>
      <c r="E769" s="221">
        <v>0.91</v>
      </c>
      <c r="F769" s="221"/>
      <c r="G769" s="2">
        <f t="shared" ref="G769:H771" si="64">G797+G880</f>
        <v>817827</v>
      </c>
      <c r="H769" s="2">
        <f t="shared" si="64"/>
        <v>1594442</v>
      </c>
      <c r="I769" s="221">
        <v>1.01</v>
      </c>
      <c r="J769" s="205"/>
      <c r="K769" s="2">
        <f>K797+K880</f>
        <v>907698</v>
      </c>
      <c r="M769" s="81">
        <f>I769*D769</f>
        <v>1769655.34</v>
      </c>
      <c r="O769" s="14">
        <f>(I769-E769)/E769</f>
        <v>0.10989010989010986</v>
      </c>
      <c r="S769" s="3" t="s">
        <v>430</v>
      </c>
      <c r="T769" s="103">
        <f>SUM(T767:T768)</f>
        <v>2997410</v>
      </c>
      <c r="U769" s="103">
        <f>SUM(U767:U768)</f>
        <v>2688190</v>
      </c>
      <c r="V769" s="103">
        <f>SUM(V767:V768)</f>
        <v>3831772.5730205807</v>
      </c>
      <c r="W769" s="128">
        <f>U769/V769</f>
        <v>0.70155259707412743</v>
      </c>
      <c r="X769" s="20"/>
      <c r="Y769" s="20"/>
      <c r="Z769" s="20"/>
      <c r="AA769" s="20"/>
      <c r="AB769" s="20"/>
      <c r="AC769" s="20"/>
    </row>
    <row r="770" spans="1:29">
      <c r="A770" s="207" t="s">
        <v>462</v>
      </c>
      <c r="B770" s="1"/>
      <c r="C770" s="203">
        <f t="shared" si="63"/>
        <v>875536</v>
      </c>
      <c r="D770" s="203">
        <f t="shared" si="63"/>
        <v>528174</v>
      </c>
      <c r="E770" s="221">
        <v>0.83</v>
      </c>
      <c r="F770" s="221"/>
      <c r="G770" s="2">
        <f t="shared" si="64"/>
        <v>726694</v>
      </c>
      <c r="H770" s="2">
        <f t="shared" si="64"/>
        <v>438384</v>
      </c>
      <c r="I770" s="221">
        <v>0.92</v>
      </c>
      <c r="J770" s="205"/>
      <c r="K770" s="2">
        <f>K798+K881</f>
        <v>778862</v>
      </c>
      <c r="M770" s="81">
        <f>I770*D770</f>
        <v>485920.08</v>
      </c>
      <c r="O770" s="14">
        <f>(I770-E770)/E770</f>
        <v>0.10843373493975914</v>
      </c>
      <c r="S770" s="3" t="s">
        <v>394</v>
      </c>
      <c r="T770" s="103">
        <f>H771</f>
        <v>11639274</v>
      </c>
      <c r="U770" s="103">
        <f>K771</f>
        <v>10175585</v>
      </c>
      <c r="V770" s="103">
        <v>5205301.8106998745</v>
      </c>
      <c r="W770" s="128">
        <f>U770/V770</f>
        <v>1.9548501451123061</v>
      </c>
      <c r="X770" s="20"/>
      <c r="Y770" s="20"/>
      <c r="Z770" s="20"/>
      <c r="AA770" s="20"/>
      <c r="AB770" s="20"/>
      <c r="AC770" s="20"/>
    </row>
    <row r="771" spans="1:29">
      <c r="A771" s="193" t="s">
        <v>391</v>
      </c>
      <c r="B771" s="1"/>
      <c r="C771" s="203">
        <f t="shared" si="63"/>
        <v>1557283</v>
      </c>
      <c r="D771" s="203">
        <f t="shared" si="63"/>
        <v>1930228</v>
      </c>
      <c r="E771" s="221">
        <v>6.03</v>
      </c>
      <c r="F771" s="221"/>
      <c r="G771" s="2">
        <f t="shared" si="64"/>
        <v>9390417</v>
      </c>
      <c r="H771" s="2">
        <f t="shared" si="64"/>
        <v>11639274</v>
      </c>
      <c r="I771" s="221">
        <v>6.53</v>
      </c>
      <c r="J771" s="205"/>
      <c r="K771" s="2">
        <f>K799+K882</f>
        <v>10175585</v>
      </c>
      <c r="M771" s="81">
        <f>I771*D771</f>
        <v>12604388.84</v>
      </c>
      <c r="O771" s="14">
        <f>(I771-E771)/E771</f>
        <v>8.2918739635157543E-2</v>
      </c>
      <c r="S771" s="3" t="s">
        <v>364</v>
      </c>
      <c r="T771" s="103">
        <f>H773</f>
        <v>31238595</v>
      </c>
      <c r="U771" s="103">
        <f>K773</f>
        <v>32828416</v>
      </c>
      <c r="V771" s="103">
        <v>38185452.241358206</v>
      </c>
      <c r="W771" s="128">
        <f>U771/V771</f>
        <v>0.85971002235358984</v>
      </c>
      <c r="X771" s="20"/>
      <c r="Y771" s="20"/>
      <c r="Z771" s="20"/>
      <c r="AA771" s="20"/>
      <c r="AB771" s="20"/>
      <c r="AC771" s="20"/>
    </row>
    <row r="772" spans="1:29">
      <c r="A772" s="207" t="s">
        <v>414</v>
      </c>
      <c r="B772" s="1"/>
      <c r="C772" s="203"/>
      <c r="D772" s="203"/>
      <c r="E772" s="221" t="s">
        <v>31</v>
      </c>
      <c r="F772" s="221"/>
      <c r="G772" s="2"/>
      <c r="H772" s="2"/>
      <c r="I772" s="221" t="s">
        <v>31</v>
      </c>
      <c r="J772" s="205"/>
      <c r="K772" s="2"/>
      <c r="O772" s="204"/>
      <c r="V772" s="20"/>
      <c r="W772" s="20"/>
      <c r="X772" s="20"/>
      <c r="Y772" s="20"/>
      <c r="Z772" s="20"/>
      <c r="AA772" s="20"/>
      <c r="AB772" s="20"/>
      <c r="AC772" s="20"/>
    </row>
    <row r="773" spans="1:29">
      <c r="A773" s="207" t="s">
        <v>452</v>
      </c>
      <c r="B773" s="1"/>
      <c r="C773" s="203">
        <f>C801+C884</f>
        <v>848518988</v>
      </c>
      <c r="D773" s="203">
        <f>D801+D884</f>
        <v>892786384</v>
      </c>
      <c r="E773" s="267">
        <v>3.4990000000000001</v>
      </c>
      <c r="F773" s="205" t="s">
        <v>362</v>
      </c>
      <c r="G773" s="2">
        <f>G801+G884</f>
        <v>29689679</v>
      </c>
      <c r="H773" s="2">
        <f>H801+H884</f>
        <v>31238595</v>
      </c>
      <c r="I773" s="279">
        <v>3.875</v>
      </c>
      <c r="J773" s="205" t="s">
        <v>362</v>
      </c>
      <c r="K773" s="2">
        <f>K801+K884</f>
        <v>32828416</v>
      </c>
      <c r="M773" s="81">
        <f>(I773/100)*D773</f>
        <v>34595472.380000003</v>
      </c>
      <c r="O773" s="14">
        <f>(I773-E773)/E773</f>
        <v>0.10745927407830805</v>
      </c>
      <c r="V773" s="20"/>
      <c r="W773" s="20"/>
      <c r="X773" s="20"/>
      <c r="Y773" s="20"/>
      <c r="Z773" s="20"/>
      <c r="AA773" s="20"/>
      <c r="AB773" s="20"/>
      <c r="AC773" s="20"/>
    </row>
    <row r="774" spans="1:29">
      <c r="A774" s="207" t="s">
        <v>388</v>
      </c>
      <c r="B774" s="1"/>
      <c r="C774" s="203">
        <f>C802+C885</f>
        <v>395613</v>
      </c>
      <c r="D774" s="203">
        <f>D802+D885</f>
        <v>541286</v>
      </c>
      <c r="E774" s="221">
        <v>0.45</v>
      </c>
      <c r="F774" s="205"/>
      <c r="G774" s="2">
        <f>G802+G885</f>
        <v>178026</v>
      </c>
      <c r="H774" s="2">
        <f>H802+H885</f>
        <v>243579</v>
      </c>
      <c r="I774" s="221">
        <v>0.5</v>
      </c>
      <c r="J774" s="205"/>
      <c r="K774" s="2">
        <f>K802+K885</f>
        <v>197807</v>
      </c>
      <c r="M774" s="81">
        <f>I774*D774</f>
        <v>270643</v>
      </c>
      <c r="N774" s="204"/>
      <c r="O774" s="14">
        <f>(I774-E774)/E774</f>
        <v>0.11111111111111108</v>
      </c>
      <c r="V774" s="20"/>
      <c r="W774" s="20"/>
      <c r="X774" s="20"/>
      <c r="Y774" s="20"/>
      <c r="Z774" s="20"/>
      <c r="AA774" s="20"/>
      <c r="AB774" s="20"/>
      <c r="AC774" s="20"/>
    </row>
    <row r="775" spans="1:29">
      <c r="A775" s="244" t="s">
        <v>389</v>
      </c>
      <c r="B775" s="1"/>
      <c r="C775" s="203"/>
      <c r="D775" s="203"/>
      <c r="E775" s="216">
        <v>-0.01</v>
      </c>
      <c r="F775" s="216"/>
      <c r="G775" s="2"/>
      <c r="H775" s="2"/>
      <c r="I775" s="216">
        <v>-0.01</v>
      </c>
      <c r="J775" s="245"/>
      <c r="K775" s="2"/>
      <c r="V775" s="20"/>
      <c r="W775" s="20"/>
      <c r="X775" s="20"/>
      <c r="Y775" s="20"/>
      <c r="Z775" s="20"/>
      <c r="AA775" s="20"/>
      <c r="AB775" s="20"/>
      <c r="AC775" s="20"/>
    </row>
    <row r="776" spans="1:29">
      <c r="A776" s="207" t="s">
        <v>459</v>
      </c>
      <c r="B776" s="1"/>
      <c r="C776" s="203">
        <f t="shared" ref="C776:D786" si="65">C804+C887</f>
        <v>135</v>
      </c>
      <c r="D776" s="203">
        <f t="shared" si="65"/>
        <v>143</v>
      </c>
      <c r="E776" s="218">
        <f>E766</f>
        <v>1205</v>
      </c>
      <c r="F776" s="218"/>
      <c r="G776" s="205">
        <f t="shared" ref="G776:H786" si="66">G804+G887</f>
        <v>-1627</v>
      </c>
      <c r="H776" s="205">
        <f t="shared" si="66"/>
        <v>-1723</v>
      </c>
      <c r="I776" s="218">
        <f>I766</f>
        <v>1330</v>
      </c>
      <c r="J776" s="205"/>
      <c r="K776" s="205">
        <f t="shared" ref="K776:K785" si="67">K804+K887</f>
        <v>-1795</v>
      </c>
      <c r="M776" s="81">
        <f>-(I776/100)*D776</f>
        <v>-1901.9</v>
      </c>
      <c r="V776" s="20"/>
      <c r="W776" s="20"/>
      <c r="X776" s="20"/>
      <c r="Y776" s="20"/>
      <c r="Z776" s="20"/>
      <c r="AA776" s="20"/>
      <c r="AB776" s="20"/>
      <c r="AC776" s="20"/>
    </row>
    <row r="777" spans="1:29">
      <c r="A777" s="207" t="s">
        <v>460</v>
      </c>
      <c r="B777" s="1"/>
      <c r="C777" s="203">
        <f t="shared" si="65"/>
        <v>35</v>
      </c>
      <c r="D777" s="203">
        <f t="shared" si="65"/>
        <v>36</v>
      </c>
      <c r="E777" s="218">
        <f>E767</f>
        <v>1450</v>
      </c>
      <c r="F777" s="218"/>
      <c r="G777" s="205">
        <f t="shared" si="66"/>
        <v>-508</v>
      </c>
      <c r="H777" s="205">
        <f t="shared" si="66"/>
        <v>-522</v>
      </c>
      <c r="I777" s="218">
        <f>I767</f>
        <v>1600</v>
      </c>
      <c r="J777" s="205"/>
      <c r="K777" s="205">
        <f t="shared" si="67"/>
        <v>-554</v>
      </c>
      <c r="M777" s="81">
        <f>-(I777/100)*D777</f>
        <v>-576</v>
      </c>
      <c r="V777" s="20"/>
      <c r="W777" s="20"/>
      <c r="X777" s="20"/>
      <c r="Y777" s="20"/>
      <c r="Z777" s="20"/>
      <c r="AA777" s="20"/>
      <c r="AB777" s="20"/>
      <c r="AC777" s="20"/>
    </row>
    <row r="778" spans="1:29">
      <c r="A778" s="207" t="s">
        <v>461</v>
      </c>
      <c r="B778" s="1"/>
      <c r="C778" s="203">
        <f t="shared" si="65"/>
        <v>189773</v>
      </c>
      <c r="D778" s="203">
        <f t="shared" si="65"/>
        <v>250152</v>
      </c>
      <c r="E778" s="218">
        <f>E769</f>
        <v>0.91</v>
      </c>
      <c r="F778" s="218"/>
      <c r="G778" s="205">
        <f t="shared" si="66"/>
        <v>-1727</v>
      </c>
      <c r="H778" s="205">
        <f t="shared" si="66"/>
        <v>-2276</v>
      </c>
      <c r="I778" s="218">
        <f>I769</f>
        <v>1.01</v>
      </c>
      <c r="J778" s="205"/>
      <c r="K778" s="205">
        <f t="shared" si="67"/>
        <v>-1917</v>
      </c>
      <c r="M778" s="81">
        <f>-(I778/100)*D778</f>
        <v>-2526.5351999999998</v>
      </c>
      <c r="V778" s="20"/>
      <c r="W778" s="20"/>
      <c r="X778" s="20"/>
      <c r="Y778" s="20"/>
      <c r="Z778" s="20"/>
      <c r="AA778" s="20"/>
      <c r="AB778" s="20"/>
      <c r="AC778" s="20"/>
    </row>
    <row r="779" spans="1:29">
      <c r="A779" s="207" t="s">
        <v>462</v>
      </c>
      <c r="B779" s="1"/>
      <c r="C779" s="203">
        <f t="shared" si="65"/>
        <v>767389</v>
      </c>
      <c r="D779" s="203">
        <f t="shared" si="65"/>
        <v>242431</v>
      </c>
      <c r="E779" s="218">
        <f>E770</f>
        <v>0.83</v>
      </c>
      <c r="F779" s="218"/>
      <c r="G779" s="205">
        <f t="shared" si="66"/>
        <v>-6369</v>
      </c>
      <c r="H779" s="205">
        <f t="shared" si="66"/>
        <v>-2012</v>
      </c>
      <c r="I779" s="218">
        <f>I770</f>
        <v>0.92</v>
      </c>
      <c r="J779" s="205"/>
      <c r="K779" s="205">
        <f t="shared" si="67"/>
        <v>-6793</v>
      </c>
      <c r="M779" s="81">
        <f>-(I779/100)*D779</f>
        <v>-2230.3652000000002</v>
      </c>
      <c r="V779" s="20"/>
      <c r="W779" s="20"/>
      <c r="X779" s="20"/>
      <c r="Y779" s="20"/>
      <c r="Z779" s="20"/>
      <c r="AA779" s="20"/>
      <c r="AB779" s="20"/>
      <c r="AC779" s="20"/>
    </row>
    <row r="780" spans="1:29">
      <c r="A780" s="193" t="s">
        <v>391</v>
      </c>
      <c r="B780" s="264"/>
      <c r="C780" s="203">
        <f t="shared" si="65"/>
        <v>887827</v>
      </c>
      <c r="D780" s="203">
        <f t="shared" si="65"/>
        <v>417760</v>
      </c>
      <c r="E780" s="218">
        <f>E771</f>
        <v>6.03</v>
      </c>
      <c r="F780" s="221"/>
      <c r="G780" s="205">
        <f t="shared" si="66"/>
        <v>-53535</v>
      </c>
      <c r="H780" s="205">
        <f t="shared" si="66"/>
        <v>-25191</v>
      </c>
      <c r="I780" s="218">
        <f>I771</f>
        <v>6.53</v>
      </c>
      <c r="J780" s="205"/>
      <c r="K780" s="205">
        <f t="shared" si="67"/>
        <v>-58041</v>
      </c>
      <c r="M780" s="81">
        <f>-(I780/100)*D780</f>
        <v>-27279.727999999999</v>
      </c>
      <c r="V780" s="20"/>
      <c r="W780" s="20"/>
      <c r="X780" s="20"/>
      <c r="Y780" s="20"/>
      <c r="Z780" s="20"/>
      <c r="AA780" s="20"/>
      <c r="AB780" s="20"/>
      <c r="AC780" s="20"/>
    </row>
    <row r="781" spans="1:29">
      <c r="A781" s="207" t="s">
        <v>452</v>
      </c>
      <c r="B781" s="1"/>
      <c r="C781" s="203">
        <f t="shared" si="65"/>
        <v>541097802</v>
      </c>
      <c r="D781" s="203">
        <f t="shared" si="65"/>
        <v>196350613</v>
      </c>
      <c r="E781" s="219">
        <f>E773</f>
        <v>3.4990000000000001</v>
      </c>
      <c r="F781" s="205" t="s">
        <v>362</v>
      </c>
      <c r="G781" s="205">
        <f t="shared" si="66"/>
        <v>-189330</v>
      </c>
      <c r="H781" s="205">
        <f t="shared" si="66"/>
        <v>-68703</v>
      </c>
      <c r="I781" s="219">
        <f>I773</f>
        <v>3.875</v>
      </c>
      <c r="J781" s="205" t="s">
        <v>362</v>
      </c>
      <c r="K781" s="205">
        <f t="shared" si="67"/>
        <v>-209251</v>
      </c>
      <c r="M781" s="81">
        <f>-((I781/100)*D781)/100</f>
        <v>-76085.862537499997</v>
      </c>
      <c r="V781" s="20"/>
      <c r="W781" s="20"/>
      <c r="X781" s="20"/>
      <c r="Y781" s="20"/>
      <c r="Z781" s="20"/>
      <c r="AA781" s="20"/>
      <c r="AB781" s="20"/>
      <c r="AC781" s="20"/>
    </row>
    <row r="782" spans="1:29">
      <c r="A782" s="207" t="s">
        <v>388</v>
      </c>
      <c r="B782" s="1"/>
      <c r="C782" s="203">
        <f t="shared" si="65"/>
        <v>208290</v>
      </c>
      <c r="D782" s="203">
        <f t="shared" si="65"/>
        <v>87611</v>
      </c>
      <c r="E782" s="268">
        <f>E774</f>
        <v>0.45</v>
      </c>
      <c r="F782" s="205"/>
      <c r="G782" s="205">
        <f t="shared" si="66"/>
        <v>-937</v>
      </c>
      <c r="H782" s="205">
        <f t="shared" si="66"/>
        <v>-394</v>
      </c>
      <c r="I782" s="268">
        <f>I774</f>
        <v>0.5</v>
      </c>
      <c r="J782" s="205"/>
      <c r="K782" s="205">
        <f t="shared" si="67"/>
        <v>-1041</v>
      </c>
      <c r="M782" s="81">
        <f>-(I782/100)*D782</f>
        <v>-438.05500000000001</v>
      </c>
      <c r="V782" s="20"/>
      <c r="W782" s="20"/>
      <c r="X782" s="20"/>
      <c r="Y782" s="20"/>
      <c r="Z782" s="20"/>
      <c r="AA782" s="20"/>
      <c r="AB782" s="20"/>
      <c r="AC782" s="20"/>
    </row>
    <row r="783" spans="1:29">
      <c r="A783" s="193" t="s">
        <v>463</v>
      </c>
      <c r="B783" s="1"/>
      <c r="C783" s="203">
        <f t="shared" si="65"/>
        <v>170</v>
      </c>
      <c r="D783" s="203">
        <f t="shared" si="65"/>
        <v>179</v>
      </c>
      <c r="E783" s="221">
        <v>60</v>
      </c>
      <c r="F783" s="221"/>
      <c r="G783" s="205">
        <f t="shared" si="66"/>
        <v>10200</v>
      </c>
      <c r="H783" s="205">
        <f t="shared" si="66"/>
        <v>10740</v>
      </c>
      <c r="I783" s="221">
        <f>'Blocking - detail'!I783</f>
        <v>60</v>
      </c>
      <c r="J783" s="205"/>
      <c r="K783" s="205">
        <f t="shared" si="67"/>
        <v>10200</v>
      </c>
      <c r="M783" s="81">
        <f>I783*D783</f>
        <v>10740</v>
      </c>
      <c r="V783" s="20"/>
      <c r="W783" s="20"/>
      <c r="X783" s="20"/>
      <c r="Y783" s="20"/>
      <c r="Z783" s="20"/>
      <c r="AA783" s="20"/>
      <c r="AB783" s="20"/>
      <c r="AC783" s="20"/>
    </row>
    <row r="784" spans="1:29">
      <c r="A784" s="193" t="s">
        <v>432</v>
      </c>
      <c r="B784" s="1"/>
      <c r="C784" s="203">
        <f t="shared" si="65"/>
        <v>957162</v>
      </c>
      <c r="D784" s="203">
        <f t="shared" si="65"/>
        <v>492583</v>
      </c>
      <c r="E784" s="221">
        <v>-0.75</v>
      </c>
      <c r="F784" s="205"/>
      <c r="G784" s="205">
        <f t="shared" si="66"/>
        <v>-717872</v>
      </c>
      <c r="H784" s="205">
        <f t="shared" si="66"/>
        <v>-369437</v>
      </c>
      <c r="I784" s="221">
        <f>'Blocking - detail'!I784</f>
        <v>-0.75</v>
      </c>
      <c r="J784" s="205"/>
      <c r="K784" s="205">
        <f t="shared" si="67"/>
        <v>-717872</v>
      </c>
      <c r="M784" s="81">
        <f>I784*D784</f>
        <v>-369437.25</v>
      </c>
      <c r="V784" s="20"/>
      <c r="W784" s="20"/>
      <c r="X784" s="20"/>
      <c r="Y784" s="20"/>
      <c r="Z784" s="20"/>
      <c r="AA784" s="20"/>
      <c r="AB784" s="20"/>
      <c r="AC784" s="20"/>
    </row>
    <row r="785" spans="1:29">
      <c r="A785" s="1" t="s">
        <v>369</v>
      </c>
      <c r="B785" s="1"/>
      <c r="C785" s="203">
        <f t="shared" si="65"/>
        <v>848518988</v>
      </c>
      <c r="D785" s="203">
        <f t="shared" si="65"/>
        <v>892786385.17848599</v>
      </c>
      <c r="E785" s="214"/>
      <c r="F785" s="2"/>
      <c r="G785" s="2">
        <f t="shared" si="66"/>
        <v>40720828</v>
      </c>
      <c r="H785" s="2">
        <f t="shared" si="66"/>
        <v>45618516</v>
      </c>
      <c r="I785" s="2"/>
      <c r="J785" s="1"/>
      <c r="K785" s="2">
        <f t="shared" si="67"/>
        <v>44871844</v>
      </c>
      <c r="M785" s="81">
        <f>SUM(M766:M784)</f>
        <v>50275903.944062501</v>
      </c>
      <c r="V785" s="20"/>
      <c r="W785" s="20"/>
      <c r="X785" s="20"/>
      <c r="Y785" s="20"/>
      <c r="Z785" s="20"/>
      <c r="AA785" s="20"/>
      <c r="AB785" s="20"/>
      <c r="AC785" s="20"/>
    </row>
    <row r="786" spans="1:29">
      <c r="A786" s="1" t="s">
        <v>351</v>
      </c>
      <c r="B786" s="1"/>
      <c r="C786" s="203" t="e">
        <f t="shared" si="65"/>
        <v>#REF!</v>
      </c>
      <c r="D786" s="203">
        <f t="shared" si="65"/>
        <v>0</v>
      </c>
      <c r="E786" s="193"/>
      <c r="F786" s="193"/>
      <c r="G786" s="225" t="e">
        <f t="shared" si="66"/>
        <v>#REF!</v>
      </c>
      <c r="H786" s="225">
        <f t="shared" si="66"/>
        <v>0</v>
      </c>
      <c r="I786" s="193"/>
      <c r="J786" s="193"/>
      <c r="K786" s="225" t="e">
        <f>G786</f>
        <v>#REF!</v>
      </c>
      <c r="Q786" s="160"/>
      <c r="V786" s="20"/>
      <c r="W786" s="20"/>
      <c r="X786" s="20"/>
      <c r="Y786" s="20"/>
      <c r="Z786" s="20"/>
      <c r="AA786" s="20"/>
      <c r="AB786" s="20"/>
      <c r="AC786" s="20"/>
    </row>
    <row r="787" spans="1:29" ht="16.5" thickBot="1">
      <c r="A787" s="1" t="s">
        <v>370</v>
      </c>
      <c r="B787" s="1"/>
      <c r="C787" s="277" t="e">
        <f>SUM(C785)+C786</f>
        <v>#REF!</v>
      </c>
      <c r="D787" s="277">
        <f>SUM(D773)+D786</f>
        <v>892786384</v>
      </c>
      <c r="E787" s="226"/>
      <c r="F787" s="227"/>
      <c r="G787" s="228" t="e">
        <f>G785+G786</f>
        <v>#REF!</v>
      </c>
      <c r="H787" s="228">
        <f>H785+H786</f>
        <v>45618516</v>
      </c>
      <c r="I787" s="226"/>
      <c r="J787" s="229"/>
      <c r="K787" s="228" t="e">
        <f>K785+K786</f>
        <v>#REF!</v>
      </c>
      <c r="N787" s="3" t="s">
        <v>352</v>
      </c>
      <c r="O787" s="66">
        <v>43704978.563067347</v>
      </c>
      <c r="V787" s="20"/>
      <c r="W787" s="20"/>
      <c r="X787" s="20"/>
      <c r="Y787" s="20"/>
      <c r="Z787" s="20"/>
      <c r="AA787" s="20"/>
      <c r="AB787" s="20"/>
      <c r="AC787" s="20"/>
    </row>
    <row r="788" spans="1:29" ht="16.5" thickTop="1">
      <c r="A788" s="1"/>
      <c r="B788" s="1"/>
      <c r="C788" s="21"/>
      <c r="D788" s="21"/>
      <c r="E788" s="221"/>
      <c r="F788" s="2"/>
      <c r="G788" s="2"/>
      <c r="H788" s="2"/>
      <c r="I788" s="237" t="s">
        <v>31</v>
      </c>
      <c r="J788" s="1"/>
      <c r="K788" s="2" t="s">
        <v>31</v>
      </c>
      <c r="N788" s="3" t="s">
        <v>256</v>
      </c>
      <c r="O788" s="66" t="e">
        <f>O787-K787</f>
        <v>#REF!</v>
      </c>
      <c r="P788" s="160" t="e">
        <f>(O787-K787)/K787</f>
        <v>#REF!</v>
      </c>
      <c r="V788" s="20"/>
      <c r="W788" s="20"/>
      <c r="X788" s="20"/>
      <c r="Y788" s="20"/>
      <c r="Z788" s="20"/>
      <c r="AA788" s="20"/>
      <c r="AB788" s="20"/>
      <c r="AC788" s="20"/>
    </row>
    <row r="789" spans="1:29">
      <c r="A789" s="1"/>
      <c r="B789" s="1"/>
      <c r="C789" s="21"/>
      <c r="D789" s="21"/>
      <c r="E789" s="221"/>
      <c r="F789" s="2"/>
      <c r="G789" s="2"/>
      <c r="H789" s="2"/>
      <c r="I789" s="221"/>
      <c r="J789" s="1"/>
      <c r="K789" s="264"/>
      <c r="M789" s="20"/>
      <c r="N789" s="20"/>
      <c r="O789" s="71"/>
      <c r="P789" s="71"/>
      <c r="Q789" s="20"/>
      <c r="R789" s="20"/>
      <c r="S789" s="20"/>
      <c r="T789" s="20"/>
      <c r="U789" s="20"/>
      <c r="V789" s="20"/>
      <c r="W789" s="20"/>
      <c r="X789" s="20"/>
      <c r="Y789" s="20"/>
      <c r="Z789" s="20"/>
      <c r="AA789" s="20"/>
      <c r="AB789" s="20"/>
      <c r="AC789" s="20"/>
    </row>
    <row r="790" spans="1:29">
      <c r="A790" s="177" t="s">
        <v>464</v>
      </c>
      <c r="B790" s="1"/>
      <c r="C790" s="1"/>
      <c r="D790" s="1"/>
      <c r="E790" s="2"/>
      <c r="F790" s="2"/>
      <c r="G790" s="1"/>
      <c r="H790" s="1"/>
      <c r="I790" s="2"/>
      <c r="J790" s="1"/>
      <c r="K790" s="1"/>
      <c r="M790" s="300"/>
      <c r="N790" s="300"/>
      <c r="O790" s="71"/>
      <c r="P790" s="71"/>
      <c r="Q790" s="20"/>
      <c r="R790" s="20"/>
      <c r="S790" s="20"/>
      <c r="T790" s="20"/>
      <c r="U790" s="20"/>
      <c r="V790" s="20"/>
      <c r="W790" s="20"/>
      <c r="X790" s="20"/>
      <c r="Y790" s="20"/>
      <c r="Z790" s="20"/>
      <c r="AA790" s="20"/>
      <c r="AB790" s="20"/>
      <c r="AC790" s="20"/>
    </row>
    <row r="791" spans="1:29">
      <c r="A791" s="193" t="s">
        <v>466</v>
      </c>
      <c r="B791" s="1"/>
      <c r="C791" s="1"/>
      <c r="D791" s="1"/>
      <c r="E791" s="2"/>
      <c r="F791" s="2"/>
      <c r="G791" s="1"/>
      <c r="H791" s="1"/>
      <c r="I791" s="2"/>
      <c r="J791" s="1"/>
      <c r="K791" s="1"/>
      <c r="M791" s="20"/>
      <c r="N791" s="20"/>
      <c r="O791" s="71"/>
      <c r="P791" s="71"/>
      <c r="Q791" s="20"/>
      <c r="R791" s="20"/>
      <c r="S791" s="20"/>
      <c r="T791" s="20"/>
      <c r="U791" s="20"/>
      <c r="V791" s="20"/>
      <c r="W791" s="20"/>
      <c r="X791" s="20"/>
      <c r="Y791" s="20"/>
      <c r="Z791" s="20"/>
      <c r="AA791" s="20"/>
      <c r="AB791" s="20"/>
      <c r="AC791" s="20"/>
    </row>
    <row r="792" spans="1:29">
      <c r="A792" s="207"/>
      <c r="B792" s="1"/>
      <c r="C792" s="1"/>
      <c r="D792" s="1"/>
      <c r="E792" s="2"/>
      <c r="F792" s="2"/>
      <c r="G792" s="1"/>
      <c r="H792" s="1"/>
      <c r="I792" s="2"/>
      <c r="J792" s="1"/>
      <c r="K792" s="1"/>
      <c r="M792" s="20"/>
      <c r="N792" s="20"/>
      <c r="O792" s="71"/>
      <c r="P792" s="71"/>
      <c r="Q792" s="20"/>
      <c r="R792" s="20"/>
      <c r="S792" s="20"/>
      <c r="T792" s="20"/>
      <c r="U792" s="20"/>
      <c r="V792" s="20"/>
      <c r="W792" s="20"/>
      <c r="X792" s="20"/>
      <c r="Y792" s="20"/>
      <c r="Z792" s="20"/>
      <c r="AA792" s="20"/>
      <c r="AB792" s="20"/>
      <c r="AC792" s="20"/>
    </row>
    <row r="793" spans="1:29">
      <c r="A793" s="207" t="s">
        <v>381</v>
      </c>
      <c r="B793" s="1"/>
      <c r="C793" s="203"/>
      <c r="D793" s="203"/>
      <c r="E793" s="2"/>
      <c r="F793" s="2"/>
      <c r="G793" s="1"/>
      <c r="H793" s="1"/>
      <c r="I793" s="2"/>
      <c r="J793" s="1"/>
      <c r="K793" s="1"/>
      <c r="M793" s="20"/>
      <c r="N793" s="20"/>
      <c r="O793" s="66" t="s">
        <v>31</v>
      </c>
      <c r="P793" s="71"/>
      <c r="Q793" s="20"/>
      <c r="R793" s="20"/>
      <c r="S793" s="20"/>
      <c r="T793" s="20"/>
      <c r="U793" s="20"/>
      <c r="V793" s="20"/>
      <c r="W793" s="20"/>
      <c r="X793" s="20"/>
      <c r="Y793" s="20"/>
      <c r="Z793" s="20"/>
      <c r="AA793" s="20"/>
      <c r="AB793" s="20"/>
      <c r="AC793" s="20"/>
    </row>
    <row r="794" spans="1:29">
      <c r="A794" s="207" t="s">
        <v>459</v>
      </c>
      <c r="B794" s="1"/>
      <c r="C794" s="203">
        <f>C822+C850</f>
        <v>658</v>
      </c>
      <c r="D794" s="203">
        <f>D822+D850</f>
        <v>692</v>
      </c>
      <c r="E794" s="221">
        <f>$E$766</f>
        <v>1205</v>
      </c>
      <c r="F794" s="221"/>
      <c r="G794" s="2">
        <f>G822+G850</f>
        <v>792890</v>
      </c>
      <c r="H794" s="2">
        <f>H822+H850</f>
        <v>833860</v>
      </c>
      <c r="I794" s="221">
        <v>1330</v>
      </c>
      <c r="J794" s="205"/>
      <c r="K794" s="2">
        <f>K822+K850</f>
        <v>875140</v>
      </c>
      <c r="M794" s="20"/>
      <c r="N794" s="20"/>
      <c r="O794" s="14">
        <f>(I794-E794)/E794</f>
        <v>0.1037344398340249</v>
      </c>
      <c r="P794" s="71"/>
      <c r="Q794" s="20"/>
      <c r="R794" s="20"/>
      <c r="S794" s="20"/>
      <c r="T794" s="20"/>
      <c r="U794" s="20"/>
      <c r="V794" s="20"/>
      <c r="W794" s="20"/>
      <c r="X794" s="20"/>
      <c r="Y794" s="20"/>
      <c r="Z794" s="20"/>
      <c r="AA794" s="20"/>
      <c r="AB794" s="20"/>
      <c r="AC794" s="20"/>
    </row>
    <row r="795" spans="1:29">
      <c r="A795" s="207" t="s">
        <v>460</v>
      </c>
      <c r="B795" s="1"/>
      <c r="C795" s="203">
        <f>C823+C851</f>
        <v>48</v>
      </c>
      <c r="D795" s="203">
        <f>D823+D851</f>
        <v>50</v>
      </c>
      <c r="E795" s="221">
        <f>$E$767</f>
        <v>1450</v>
      </c>
      <c r="F795" s="221"/>
      <c r="G795" s="2">
        <f>G823+G851</f>
        <v>69600</v>
      </c>
      <c r="H795" s="2">
        <f>H823+H851</f>
        <v>72500</v>
      </c>
      <c r="I795" s="221">
        <v>1600</v>
      </c>
      <c r="J795" s="208"/>
      <c r="K795" s="2">
        <f>K823+K851</f>
        <v>76800</v>
      </c>
      <c r="M795" s="20"/>
      <c r="N795" s="20"/>
      <c r="O795" s="14">
        <f>(I795-E795)/E795</f>
        <v>0.10344827586206896</v>
      </c>
      <c r="P795" s="71"/>
      <c r="Q795" s="20"/>
      <c r="R795" s="20"/>
      <c r="S795" s="20"/>
      <c r="T795" s="20"/>
      <c r="U795" s="20"/>
      <c r="V795" s="20"/>
      <c r="W795" s="20"/>
      <c r="X795" s="20"/>
      <c r="Y795" s="20"/>
      <c r="Z795" s="20"/>
      <c r="AA795" s="20"/>
      <c r="AB795" s="20"/>
      <c r="AC795" s="20"/>
    </row>
    <row r="796" spans="1:29">
      <c r="A796" s="207" t="s">
        <v>382</v>
      </c>
      <c r="B796" s="1"/>
      <c r="C796" s="203">
        <f>SUM(C794:C795)</f>
        <v>706</v>
      </c>
      <c r="D796" s="203">
        <f>SUM(D794:D795)</f>
        <v>742</v>
      </c>
      <c r="E796" s="221" t="s">
        <v>31</v>
      </c>
      <c r="F796" s="221"/>
      <c r="G796" s="2"/>
      <c r="H796" s="2"/>
      <c r="I796" s="221" t="s">
        <v>31</v>
      </c>
      <c r="J796" s="205"/>
      <c r="K796" s="2"/>
      <c r="M796" s="20"/>
      <c r="N796" s="20"/>
      <c r="O796" s="204"/>
      <c r="P796" s="71"/>
      <c r="Q796" s="20"/>
      <c r="R796" s="20"/>
      <c r="S796" s="20"/>
      <c r="T796" s="20"/>
      <c r="U796" s="20"/>
      <c r="V796" s="20"/>
      <c r="W796" s="20"/>
      <c r="X796" s="20"/>
      <c r="Y796" s="20"/>
      <c r="Z796" s="20"/>
      <c r="AA796" s="20"/>
      <c r="AB796" s="20"/>
      <c r="AC796" s="20"/>
    </row>
    <row r="797" spans="1:29">
      <c r="A797" s="207" t="s">
        <v>461</v>
      </c>
      <c r="B797" s="1"/>
      <c r="C797" s="203">
        <f t="shared" ref="C797:D799" si="68">C825+C853</f>
        <v>898711</v>
      </c>
      <c r="D797" s="203">
        <f t="shared" si="68"/>
        <v>1752134</v>
      </c>
      <c r="E797" s="221">
        <f>$E$769</f>
        <v>0.91</v>
      </c>
      <c r="F797" s="221"/>
      <c r="G797" s="2">
        <f t="shared" ref="G797:H799" si="69">G825+G853</f>
        <v>817827</v>
      </c>
      <c r="H797" s="2">
        <f t="shared" si="69"/>
        <v>1594442</v>
      </c>
      <c r="I797" s="221">
        <v>1.01</v>
      </c>
      <c r="J797" s="205"/>
      <c r="K797" s="2">
        <f>K825+K853</f>
        <v>907698</v>
      </c>
      <c r="M797" s="20"/>
      <c r="N797" s="20"/>
      <c r="O797" s="14">
        <f>(I797-E797)/E797</f>
        <v>0.10989010989010986</v>
      </c>
      <c r="P797" s="71"/>
      <c r="Q797" s="20"/>
      <c r="R797" s="20"/>
      <c r="S797" s="20"/>
      <c r="T797" s="20"/>
      <c r="U797" s="20"/>
      <c r="V797" s="20"/>
      <c r="W797" s="20"/>
      <c r="X797" s="20"/>
      <c r="Y797" s="20"/>
      <c r="Z797" s="20"/>
      <c r="AA797" s="20"/>
      <c r="AB797" s="20"/>
      <c r="AC797" s="20"/>
    </row>
    <row r="798" spans="1:29">
      <c r="A798" s="207" t="s">
        <v>462</v>
      </c>
      <c r="B798" s="1"/>
      <c r="C798" s="203">
        <f t="shared" si="68"/>
        <v>209743</v>
      </c>
      <c r="D798" s="203">
        <f t="shared" si="68"/>
        <v>487863</v>
      </c>
      <c r="E798" s="221">
        <f>$E$770</f>
        <v>0.83</v>
      </c>
      <c r="F798" s="221"/>
      <c r="G798" s="2">
        <f t="shared" si="69"/>
        <v>174086</v>
      </c>
      <c r="H798" s="2">
        <f t="shared" si="69"/>
        <v>404926</v>
      </c>
      <c r="I798" s="221">
        <v>0.92</v>
      </c>
      <c r="J798" s="205"/>
      <c r="K798" s="2">
        <f>K826+K854</f>
        <v>192964</v>
      </c>
      <c r="M798" s="20"/>
      <c r="N798" s="20"/>
      <c r="O798" s="14">
        <f>(I798-E798)/E798</f>
        <v>0.10843373493975914</v>
      </c>
      <c r="P798" s="71"/>
      <c r="Q798" s="20"/>
      <c r="R798" s="20"/>
      <c r="S798" s="20"/>
      <c r="T798" s="20"/>
      <c r="U798" s="20"/>
      <c r="V798" s="20"/>
      <c r="W798" s="20"/>
      <c r="X798" s="20"/>
      <c r="Y798" s="20"/>
      <c r="Z798" s="20"/>
      <c r="AA798" s="20"/>
      <c r="AB798" s="20"/>
      <c r="AC798" s="20"/>
    </row>
    <row r="799" spans="1:29">
      <c r="A799" s="193" t="s">
        <v>391</v>
      </c>
      <c r="B799" s="1"/>
      <c r="C799" s="203">
        <f t="shared" si="68"/>
        <v>904657</v>
      </c>
      <c r="D799" s="203">
        <f t="shared" si="68"/>
        <v>1890714</v>
      </c>
      <c r="E799" s="221">
        <f>$E$771</f>
        <v>6.03</v>
      </c>
      <c r="F799" s="221"/>
      <c r="G799" s="2">
        <f t="shared" si="69"/>
        <v>5455082</v>
      </c>
      <c r="H799" s="2">
        <f t="shared" si="69"/>
        <v>11401005</v>
      </c>
      <c r="I799" s="221">
        <v>6.53</v>
      </c>
      <c r="J799" s="205"/>
      <c r="K799" s="2">
        <f>K827+K855</f>
        <v>5907411</v>
      </c>
      <c r="M799" s="20"/>
      <c r="N799" s="20"/>
      <c r="O799" s="14">
        <f>(I799-E799)/E799</f>
        <v>8.2918739635157543E-2</v>
      </c>
      <c r="P799" s="71"/>
      <c r="Q799" s="20"/>
      <c r="R799" s="20"/>
      <c r="S799" s="20"/>
      <c r="T799" s="20"/>
      <c r="U799" s="20"/>
      <c r="V799" s="20"/>
      <c r="W799" s="20"/>
      <c r="X799" s="20"/>
      <c r="Y799" s="20"/>
      <c r="Z799" s="20"/>
      <c r="AA799" s="20"/>
      <c r="AB799" s="20"/>
      <c r="AC799" s="20"/>
    </row>
    <row r="800" spans="1:29">
      <c r="A800" s="207" t="s">
        <v>414</v>
      </c>
      <c r="B800" s="1"/>
      <c r="C800" s="203"/>
      <c r="D800" s="203"/>
      <c r="E800" s="221" t="s">
        <v>31</v>
      </c>
      <c r="F800" s="221"/>
      <c r="G800" s="2"/>
      <c r="H800" s="2"/>
      <c r="I800" s="221" t="s">
        <v>31</v>
      </c>
      <c r="J800" s="205"/>
      <c r="K800" s="2"/>
      <c r="M800" s="20"/>
      <c r="N800" s="20"/>
      <c r="O800" s="204"/>
      <c r="P800" s="71"/>
      <c r="Q800" s="20"/>
      <c r="R800" s="20"/>
      <c r="S800" s="20"/>
      <c r="T800" s="20"/>
      <c r="U800" s="20"/>
      <c r="V800" s="20"/>
      <c r="W800" s="20"/>
      <c r="X800" s="20"/>
      <c r="Y800" s="20"/>
      <c r="Z800" s="20"/>
      <c r="AA800" s="20"/>
      <c r="AB800" s="20"/>
      <c r="AC800" s="20"/>
    </row>
    <row r="801" spans="1:29">
      <c r="A801" s="207" t="s">
        <v>452</v>
      </c>
      <c r="B801" s="1"/>
      <c r="C801" s="203">
        <f>C829+C857</f>
        <v>411194188</v>
      </c>
      <c r="D801" s="203">
        <f>D829+D857</f>
        <v>866308148</v>
      </c>
      <c r="E801" s="279">
        <f>$E$773</f>
        <v>3.4990000000000001</v>
      </c>
      <c r="F801" s="205" t="s">
        <v>362</v>
      </c>
      <c r="G801" s="2">
        <f>G829+G857</f>
        <v>14387684</v>
      </c>
      <c r="H801" s="2">
        <f>H829+H857</f>
        <v>30312122</v>
      </c>
      <c r="I801" s="279">
        <v>3.8719999999999999</v>
      </c>
      <c r="J801" s="205" t="s">
        <v>362</v>
      </c>
      <c r="K801" s="2">
        <f>K829+K857</f>
        <v>15921439</v>
      </c>
      <c r="M801" s="20"/>
      <c r="N801" s="20"/>
      <c r="O801" s="14">
        <f>(I801-E801)/E801</f>
        <v>0.10660188625321514</v>
      </c>
      <c r="P801" s="71"/>
      <c r="Q801" s="20"/>
      <c r="R801" s="20"/>
      <c r="S801" s="20"/>
      <c r="T801" s="20"/>
      <c r="U801" s="20"/>
      <c r="V801" s="20"/>
      <c r="W801" s="20"/>
      <c r="X801" s="20"/>
      <c r="Y801" s="20"/>
      <c r="Z801" s="20"/>
      <c r="AA801" s="20"/>
      <c r="AB801" s="20"/>
      <c r="AC801" s="20"/>
    </row>
    <row r="802" spans="1:29">
      <c r="A802" s="207" t="s">
        <v>388</v>
      </c>
      <c r="B802" s="1"/>
      <c r="C802" s="203">
        <f>C830+C858</f>
        <v>226397</v>
      </c>
      <c r="D802" s="203">
        <f>D830+D858</f>
        <v>531041</v>
      </c>
      <c r="E802" s="221">
        <f>$E$774</f>
        <v>0.45</v>
      </c>
      <c r="F802" s="205"/>
      <c r="G802" s="2">
        <f>G830+G858</f>
        <v>101879</v>
      </c>
      <c r="H802" s="2">
        <f>H830+H858</f>
        <v>238969</v>
      </c>
      <c r="I802" s="221">
        <v>0.5</v>
      </c>
      <c r="J802" s="205"/>
      <c r="K802" s="2">
        <f>K830+K858</f>
        <v>113199</v>
      </c>
      <c r="M802" s="20"/>
      <c r="N802" s="20"/>
      <c r="O802" s="14">
        <f>(I802-E802)/E802</f>
        <v>0.11111111111111108</v>
      </c>
      <c r="P802" s="71"/>
      <c r="Q802" s="20"/>
      <c r="R802" s="20"/>
      <c r="S802" s="20"/>
      <c r="T802" s="20"/>
      <c r="U802" s="20"/>
      <c r="V802" s="20"/>
      <c r="W802" s="20"/>
      <c r="X802" s="20"/>
      <c r="Y802" s="20"/>
      <c r="Z802" s="20"/>
      <c r="AA802" s="20"/>
      <c r="AB802" s="20"/>
      <c r="AC802" s="20"/>
    </row>
    <row r="803" spans="1:29">
      <c r="A803" s="244" t="s">
        <v>389</v>
      </c>
      <c r="B803" s="1"/>
      <c r="C803" s="203"/>
      <c r="D803" s="203"/>
      <c r="E803" s="216">
        <v>-0.01</v>
      </c>
      <c r="F803" s="216"/>
      <c r="G803" s="2"/>
      <c r="H803" s="2"/>
      <c r="I803" s="216">
        <v>-0.01</v>
      </c>
      <c r="J803" s="245"/>
      <c r="K803" s="2"/>
      <c r="M803" s="20"/>
      <c r="N803" s="20"/>
      <c r="O803" s="71"/>
      <c r="P803" s="71"/>
      <c r="Q803" s="20"/>
      <c r="R803" s="20"/>
      <c r="S803" s="20"/>
      <c r="T803" s="20"/>
      <c r="U803" s="20"/>
      <c r="V803" s="20"/>
      <c r="W803" s="20"/>
      <c r="X803" s="20"/>
      <c r="Y803" s="20"/>
      <c r="Z803" s="20"/>
      <c r="AA803" s="20"/>
      <c r="AB803" s="20"/>
      <c r="AC803" s="20"/>
    </row>
    <row r="804" spans="1:29">
      <c r="A804" s="207" t="s">
        <v>459</v>
      </c>
      <c r="B804" s="1"/>
      <c r="C804" s="203">
        <f t="shared" ref="C804:D814" si="70">C832+C860</f>
        <v>135</v>
      </c>
      <c r="D804" s="203">
        <f t="shared" si="70"/>
        <v>143</v>
      </c>
      <c r="E804" s="218">
        <f>E794</f>
        <v>1205</v>
      </c>
      <c r="F804" s="218"/>
      <c r="G804" s="205">
        <f t="shared" ref="G804:H814" si="71">G832+G860</f>
        <v>-1627</v>
      </c>
      <c r="H804" s="205">
        <f t="shared" si="71"/>
        <v>-1723</v>
      </c>
      <c r="I804" s="218">
        <f>I794</f>
        <v>1330</v>
      </c>
      <c r="J804" s="205"/>
      <c r="K804" s="205">
        <f t="shared" ref="K804:K813" si="72">K832+K860</f>
        <v>-1795</v>
      </c>
      <c r="M804" s="20"/>
      <c r="N804" s="20"/>
      <c r="O804" s="71"/>
      <c r="P804" s="71"/>
      <c r="Q804" s="20"/>
      <c r="R804" s="20"/>
      <c r="S804" s="20"/>
      <c r="T804" s="20"/>
      <c r="U804" s="20"/>
      <c r="V804" s="20"/>
      <c r="W804" s="20"/>
      <c r="X804" s="20"/>
      <c r="Y804" s="20"/>
      <c r="Z804" s="20"/>
      <c r="AA804" s="20"/>
      <c r="AB804" s="20"/>
      <c r="AC804" s="20"/>
    </row>
    <row r="805" spans="1:29">
      <c r="A805" s="207" t="s">
        <v>460</v>
      </c>
      <c r="B805" s="1"/>
      <c r="C805" s="203">
        <f t="shared" si="70"/>
        <v>23</v>
      </c>
      <c r="D805" s="203">
        <f t="shared" si="70"/>
        <v>24</v>
      </c>
      <c r="E805" s="218">
        <f>E795</f>
        <v>1450</v>
      </c>
      <c r="F805" s="218"/>
      <c r="G805" s="205">
        <f t="shared" si="71"/>
        <v>-334</v>
      </c>
      <c r="H805" s="205">
        <f t="shared" si="71"/>
        <v>-348</v>
      </c>
      <c r="I805" s="218">
        <f>I795</f>
        <v>1600</v>
      </c>
      <c r="J805" s="205"/>
      <c r="K805" s="205">
        <f t="shared" si="72"/>
        <v>-368</v>
      </c>
      <c r="M805" s="20"/>
      <c r="N805" s="20"/>
      <c r="O805" s="71"/>
      <c r="P805" s="71"/>
      <c r="Q805" s="20"/>
      <c r="R805" s="20"/>
      <c r="S805" s="20"/>
      <c r="T805" s="20"/>
      <c r="U805" s="20"/>
      <c r="V805" s="20"/>
      <c r="W805" s="20"/>
      <c r="X805" s="20"/>
      <c r="Y805" s="20"/>
      <c r="Z805" s="20"/>
      <c r="AA805" s="20"/>
      <c r="AB805" s="20"/>
      <c r="AC805" s="20"/>
    </row>
    <row r="806" spans="1:29">
      <c r="A806" s="207" t="s">
        <v>461</v>
      </c>
      <c r="B806" s="1"/>
      <c r="C806" s="203">
        <f t="shared" si="70"/>
        <v>189773</v>
      </c>
      <c r="D806" s="203">
        <f t="shared" si="70"/>
        <v>250152</v>
      </c>
      <c r="E806" s="218">
        <f>E797</f>
        <v>0.91</v>
      </c>
      <c r="F806" s="218"/>
      <c r="G806" s="205">
        <f t="shared" si="71"/>
        <v>-1727</v>
      </c>
      <c r="H806" s="205">
        <f t="shared" si="71"/>
        <v>-2276</v>
      </c>
      <c r="I806" s="218">
        <f>I797</f>
        <v>1.01</v>
      </c>
      <c r="J806" s="205"/>
      <c r="K806" s="205">
        <f t="shared" si="72"/>
        <v>-1917</v>
      </c>
      <c r="M806" s="20"/>
      <c r="N806" s="20"/>
      <c r="O806" s="71"/>
      <c r="P806" s="71"/>
      <c r="Q806" s="20"/>
      <c r="R806" s="20"/>
      <c r="S806" s="20"/>
      <c r="T806" s="20"/>
      <c r="U806" s="20"/>
      <c r="V806" s="20"/>
      <c r="W806" s="20"/>
      <c r="X806" s="20"/>
      <c r="Y806" s="20"/>
      <c r="Z806" s="20"/>
      <c r="AA806" s="20"/>
      <c r="AB806" s="20"/>
      <c r="AC806" s="20"/>
    </row>
    <row r="807" spans="1:29">
      <c r="A807" s="207" t="s">
        <v>462</v>
      </c>
      <c r="B807" s="1"/>
      <c r="C807" s="203">
        <f t="shared" si="70"/>
        <v>101596</v>
      </c>
      <c r="D807" s="203">
        <f t="shared" si="70"/>
        <v>202120</v>
      </c>
      <c r="E807" s="218">
        <f>E798</f>
        <v>0.83</v>
      </c>
      <c r="F807" s="218"/>
      <c r="G807" s="205">
        <f t="shared" si="71"/>
        <v>-843</v>
      </c>
      <c r="H807" s="205">
        <f t="shared" si="71"/>
        <v>-1677</v>
      </c>
      <c r="I807" s="218">
        <f>I798</f>
        <v>0.92</v>
      </c>
      <c r="J807" s="205"/>
      <c r="K807" s="205">
        <f t="shared" si="72"/>
        <v>-934</v>
      </c>
      <c r="M807" s="20"/>
      <c r="N807" s="20"/>
      <c r="O807" s="71"/>
      <c r="P807" s="71"/>
      <c r="Q807" s="20"/>
      <c r="R807" s="20"/>
      <c r="S807" s="20"/>
      <c r="T807" s="20"/>
      <c r="U807" s="20"/>
      <c r="V807" s="20"/>
      <c r="W807" s="20"/>
      <c r="X807" s="20"/>
      <c r="Y807" s="20"/>
      <c r="Z807" s="20"/>
      <c r="AA807" s="20"/>
      <c r="AB807" s="20"/>
      <c r="AC807" s="20"/>
    </row>
    <row r="808" spans="1:29">
      <c r="A808" s="193" t="s">
        <v>391</v>
      </c>
      <c r="B808" s="264"/>
      <c r="C808" s="203">
        <f t="shared" si="70"/>
        <v>235201</v>
      </c>
      <c r="D808" s="203">
        <f t="shared" si="70"/>
        <v>378246</v>
      </c>
      <c r="E808" s="218">
        <f>E799</f>
        <v>6.03</v>
      </c>
      <c r="F808" s="221"/>
      <c r="G808" s="205">
        <f t="shared" si="71"/>
        <v>-14182</v>
      </c>
      <c r="H808" s="205">
        <f t="shared" si="71"/>
        <v>-22808</v>
      </c>
      <c r="I808" s="218">
        <f>I799</f>
        <v>6.53</v>
      </c>
      <c r="J808" s="205"/>
      <c r="K808" s="205">
        <f t="shared" si="72"/>
        <v>-15359</v>
      </c>
      <c r="M808" s="20"/>
      <c r="N808" s="20"/>
      <c r="O808" s="71"/>
      <c r="P808" s="71"/>
      <c r="Q808" s="20"/>
      <c r="R808" s="20"/>
      <c r="S808" s="20"/>
      <c r="T808" s="20"/>
      <c r="U808" s="20"/>
      <c r="V808" s="20"/>
      <c r="W808" s="20"/>
      <c r="X808" s="20"/>
      <c r="Y808" s="20"/>
      <c r="Z808" s="20"/>
      <c r="AA808" s="20"/>
      <c r="AB808" s="20"/>
      <c r="AC808" s="20"/>
    </row>
    <row r="809" spans="1:29">
      <c r="A809" s="207" t="s">
        <v>452</v>
      </c>
      <c r="B809" s="1"/>
      <c r="C809" s="203">
        <f t="shared" si="70"/>
        <v>103773002</v>
      </c>
      <c r="D809" s="203">
        <f t="shared" si="70"/>
        <v>169872377</v>
      </c>
      <c r="E809" s="219">
        <f>E801</f>
        <v>3.4990000000000001</v>
      </c>
      <c r="F809" s="205" t="s">
        <v>362</v>
      </c>
      <c r="G809" s="205">
        <f t="shared" si="71"/>
        <v>-36310</v>
      </c>
      <c r="H809" s="205">
        <f t="shared" si="71"/>
        <v>-59438</v>
      </c>
      <c r="I809" s="219">
        <f>I801</f>
        <v>3.8719999999999999</v>
      </c>
      <c r="J809" s="205" t="s">
        <v>362</v>
      </c>
      <c r="K809" s="205">
        <f t="shared" si="72"/>
        <v>-40181</v>
      </c>
      <c r="M809" s="20"/>
      <c r="N809" s="20"/>
      <c r="O809" s="71"/>
      <c r="P809" s="71"/>
      <c r="Q809" s="20"/>
      <c r="R809" s="20"/>
      <c r="S809" s="20"/>
      <c r="T809" s="20"/>
      <c r="U809" s="20"/>
      <c r="V809" s="20"/>
      <c r="W809" s="20"/>
      <c r="X809" s="20"/>
      <c r="Y809" s="20"/>
      <c r="Z809" s="20"/>
      <c r="AA809" s="20"/>
      <c r="AB809" s="20"/>
      <c r="AC809" s="20"/>
    </row>
    <row r="810" spans="1:29">
      <c r="A810" s="207" t="s">
        <v>388</v>
      </c>
      <c r="B810" s="1"/>
      <c r="C810" s="203">
        <f t="shared" si="70"/>
        <v>39074</v>
      </c>
      <c r="D810" s="203">
        <f t="shared" si="70"/>
        <v>77366</v>
      </c>
      <c r="E810" s="268">
        <f>E802</f>
        <v>0.45</v>
      </c>
      <c r="F810" s="205"/>
      <c r="G810" s="205">
        <f t="shared" si="71"/>
        <v>-176</v>
      </c>
      <c r="H810" s="205">
        <f t="shared" si="71"/>
        <v>-348</v>
      </c>
      <c r="I810" s="268">
        <f>I802</f>
        <v>0.5</v>
      </c>
      <c r="J810" s="205"/>
      <c r="K810" s="205">
        <f t="shared" si="72"/>
        <v>-195</v>
      </c>
      <c r="M810" s="20"/>
      <c r="N810" s="20"/>
      <c r="O810" s="71"/>
      <c r="P810" s="71"/>
      <c r="Q810" s="20"/>
      <c r="R810" s="20"/>
      <c r="S810" s="20"/>
      <c r="T810" s="20"/>
      <c r="U810" s="20"/>
      <c r="V810" s="20"/>
      <c r="W810" s="20"/>
      <c r="X810" s="20"/>
      <c r="Y810" s="20"/>
      <c r="Z810" s="20"/>
      <c r="AA810" s="20"/>
      <c r="AB810" s="20"/>
      <c r="AC810" s="20"/>
    </row>
    <row r="811" spans="1:29">
      <c r="A811" s="193" t="s">
        <v>463</v>
      </c>
      <c r="B811" s="1"/>
      <c r="C811" s="203">
        <f t="shared" si="70"/>
        <v>158</v>
      </c>
      <c r="D811" s="203">
        <f t="shared" si="70"/>
        <v>167</v>
      </c>
      <c r="E811" s="221">
        <f>$E$783</f>
        <v>60</v>
      </c>
      <c r="F811" s="221"/>
      <c r="G811" s="205">
        <f t="shared" si="71"/>
        <v>9480</v>
      </c>
      <c r="H811" s="205">
        <f t="shared" si="71"/>
        <v>10020</v>
      </c>
      <c r="I811" s="221">
        <f>$I$783</f>
        <v>60</v>
      </c>
      <c r="J811" s="205"/>
      <c r="K811" s="205">
        <f t="shared" si="72"/>
        <v>9480</v>
      </c>
      <c r="M811" s="20"/>
      <c r="N811" s="20"/>
      <c r="O811" s="71"/>
      <c r="P811" s="71"/>
      <c r="Q811" s="20"/>
      <c r="R811" s="20"/>
      <c r="S811" s="20"/>
      <c r="T811" s="20"/>
      <c r="U811" s="20"/>
      <c r="V811" s="20"/>
      <c r="W811" s="20"/>
      <c r="X811" s="20"/>
      <c r="Y811" s="20"/>
      <c r="Z811" s="20"/>
      <c r="AA811" s="20"/>
      <c r="AB811" s="20"/>
      <c r="AC811" s="20"/>
    </row>
    <row r="812" spans="1:29">
      <c r="A812" s="193" t="s">
        <v>432</v>
      </c>
      <c r="B812" s="1"/>
      <c r="C812" s="203">
        <f t="shared" si="70"/>
        <v>291369</v>
      </c>
      <c r="D812" s="203">
        <f t="shared" si="70"/>
        <v>452272</v>
      </c>
      <c r="E812" s="221">
        <f>$E$784</f>
        <v>-0.75</v>
      </c>
      <c r="F812" s="205"/>
      <c r="G812" s="205">
        <f t="shared" si="71"/>
        <v>-218527</v>
      </c>
      <c r="H812" s="205">
        <f t="shared" si="71"/>
        <v>-339204</v>
      </c>
      <c r="I812" s="221">
        <f>$I$784</f>
        <v>-0.75</v>
      </c>
      <c r="J812" s="205"/>
      <c r="K812" s="205">
        <f t="shared" si="72"/>
        <v>-218527</v>
      </c>
      <c r="M812" s="20"/>
      <c r="N812" s="20"/>
      <c r="O812" s="71"/>
      <c r="P812" s="71"/>
      <c r="Q812" s="20"/>
      <c r="R812" s="20"/>
      <c r="S812" s="20"/>
      <c r="T812" s="20"/>
      <c r="U812" s="20"/>
      <c r="V812" s="20"/>
      <c r="W812" s="20"/>
      <c r="X812" s="20"/>
      <c r="Y812" s="20"/>
      <c r="Z812" s="20"/>
      <c r="AA812" s="20"/>
      <c r="AB812" s="20"/>
      <c r="AC812" s="20"/>
    </row>
    <row r="813" spans="1:29">
      <c r="A813" s="1" t="s">
        <v>369</v>
      </c>
      <c r="B813" s="1"/>
      <c r="C813" s="203">
        <f t="shared" si="70"/>
        <v>411194188</v>
      </c>
      <c r="D813" s="203">
        <f t="shared" si="70"/>
        <v>866308148.72444463</v>
      </c>
      <c r="E813" s="214"/>
      <c r="F813" s="2"/>
      <c r="G813" s="2">
        <f t="shared" si="71"/>
        <v>21534802</v>
      </c>
      <c r="H813" s="2">
        <f t="shared" si="71"/>
        <v>44440022</v>
      </c>
      <c r="I813" s="2"/>
      <c r="J813" s="1"/>
      <c r="K813" s="2">
        <f t="shared" si="72"/>
        <v>23724855</v>
      </c>
      <c r="M813" s="20"/>
      <c r="N813" s="20"/>
      <c r="O813" s="71"/>
      <c r="P813" s="71"/>
      <c r="Q813" s="20"/>
      <c r="R813" s="20"/>
      <c r="S813" s="20"/>
      <c r="T813" s="20"/>
      <c r="U813" s="20"/>
      <c r="V813" s="20"/>
      <c r="W813" s="20"/>
      <c r="X813" s="20"/>
      <c r="Y813" s="20"/>
      <c r="Z813" s="20"/>
      <c r="AA813" s="20"/>
      <c r="AB813" s="20"/>
      <c r="AC813" s="20"/>
    </row>
    <row r="814" spans="1:29">
      <c r="A814" s="1" t="s">
        <v>351</v>
      </c>
      <c r="B814" s="1"/>
      <c r="C814" s="203" t="e">
        <f t="shared" si="70"/>
        <v>#REF!</v>
      </c>
      <c r="D814" s="203">
        <f t="shared" si="70"/>
        <v>0</v>
      </c>
      <c r="E814" s="193"/>
      <c r="F814" s="193"/>
      <c r="G814" s="225" t="e">
        <f t="shared" si="71"/>
        <v>#REF!</v>
      </c>
      <c r="H814" s="225">
        <f t="shared" si="71"/>
        <v>0</v>
      </c>
      <c r="I814" s="193"/>
      <c r="J814" s="193"/>
      <c r="K814" s="225" t="e">
        <f>G814</f>
        <v>#REF!</v>
      </c>
      <c r="M814" s="328"/>
      <c r="N814" s="328"/>
      <c r="O814" s="171"/>
      <c r="P814" s="71"/>
      <c r="Q814" s="20"/>
      <c r="R814" s="20"/>
      <c r="S814" s="20"/>
      <c r="T814" s="20"/>
      <c r="U814" s="20"/>
      <c r="V814" s="20"/>
      <c r="W814" s="20"/>
      <c r="X814" s="20"/>
      <c r="Y814" s="20"/>
      <c r="Z814" s="20"/>
      <c r="AA814" s="20"/>
      <c r="AB814" s="20"/>
      <c r="AC814" s="20"/>
    </row>
    <row r="815" spans="1:29" ht="16.5" thickBot="1">
      <c r="A815" s="1" t="s">
        <v>370</v>
      </c>
      <c r="B815" s="1"/>
      <c r="C815" s="277" t="e">
        <f>SUM(C813)+C814</f>
        <v>#REF!</v>
      </c>
      <c r="D815" s="277">
        <f>SUM(D801)+D814</f>
        <v>866308148</v>
      </c>
      <c r="E815" s="226"/>
      <c r="F815" s="227"/>
      <c r="G815" s="228" t="e">
        <f>G813+G814</f>
        <v>#REF!</v>
      </c>
      <c r="H815" s="228">
        <f>H813+H814</f>
        <v>44440022</v>
      </c>
      <c r="I815" s="226"/>
      <c r="J815" s="229"/>
      <c r="K815" s="228" t="e">
        <f>K813+K814</f>
        <v>#REF!</v>
      </c>
      <c r="M815" s="295"/>
      <c r="N815" s="3" t="s">
        <v>352</v>
      </c>
      <c r="O815" s="66" t="e">
        <f>#REF!*1000+#REF!*1000</f>
        <v>#REF!</v>
      </c>
      <c r="Q815" s="20"/>
      <c r="R815" s="20"/>
      <c r="S815" s="20"/>
      <c r="T815" s="20"/>
      <c r="U815" s="20"/>
      <c r="V815" s="20"/>
      <c r="W815" s="20"/>
      <c r="X815" s="20"/>
      <c r="Y815" s="20"/>
      <c r="Z815" s="20"/>
      <c r="AA815" s="20"/>
      <c r="AB815" s="20"/>
      <c r="AC815" s="20"/>
    </row>
    <row r="816" spans="1:29" ht="16.5" thickTop="1">
      <c r="A816" s="1"/>
      <c r="B816" s="1"/>
      <c r="C816" s="21"/>
      <c r="D816" s="21"/>
      <c r="E816" s="221"/>
      <c r="F816" s="2"/>
      <c r="G816" s="2"/>
      <c r="H816" s="2"/>
      <c r="I816" s="237" t="s">
        <v>31</v>
      </c>
      <c r="J816" s="1"/>
      <c r="K816" s="2" t="s">
        <v>31</v>
      </c>
      <c r="M816" s="20"/>
      <c r="N816" s="3" t="s">
        <v>256</v>
      </c>
      <c r="O816" s="66" t="e">
        <f>O815-K815-K760</f>
        <v>#REF!</v>
      </c>
      <c r="P816" s="160" t="e">
        <f>(O815-K815)/K815</f>
        <v>#REF!</v>
      </c>
      <c r="Q816" s="20"/>
      <c r="R816" s="20"/>
      <c r="S816" s="20"/>
      <c r="T816" s="20"/>
      <c r="U816" s="20"/>
      <c r="V816" s="20"/>
      <c r="W816" s="20"/>
      <c r="X816" s="20"/>
      <c r="Y816" s="20"/>
      <c r="Z816" s="20"/>
      <c r="AA816" s="20"/>
      <c r="AB816" s="20"/>
      <c r="AC816" s="20"/>
    </row>
    <row r="817" spans="1:29">
      <c r="A817" s="1"/>
      <c r="B817" s="1"/>
      <c r="C817" s="21"/>
      <c r="D817" s="21"/>
      <c r="E817" s="221"/>
      <c r="F817" s="2"/>
      <c r="G817" s="2"/>
      <c r="H817" s="2"/>
      <c r="I817" s="221"/>
      <c r="J817" s="1"/>
      <c r="K817" s="264"/>
      <c r="M817" s="20"/>
      <c r="N817" s="20"/>
      <c r="O817" s="71"/>
      <c r="P817" s="71"/>
      <c r="Q817" s="20"/>
      <c r="R817" s="20"/>
      <c r="S817" s="20"/>
      <c r="T817" s="20"/>
      <c r="U817" s="20"/>
      <c r="V817" s="20"/>
      <c r="W817" s="20"/>
      <c r="X817" s="20"/>
      <c r="Y817" s="20"/>
      <c r="Z817" s="20"/>
      <c r="AA817" s="20"/>
      <c r="AB817" s="20"/>
      <c r="AC817" s="20"/>
    </row>
    <row r="818" spans="1:29">
      <c r="A818" s="177" t="s">
        <v>464</v>
      </c>
      <c r="B818" s="1"/>
      <c r="C818" s="1"/>
      <c r="D818" s="1"/>
      <c r="E818" s="2"/>
      <c r="F818" s="2"/>
      <c r="G818" s="1"/>
      <c r="H818" s="1"/>
      <c r="I818" s="2"/>
      <c r="J818" s="1"/>
      <c r="K818" s="1"/>
      <c r="M818" s="20"/>
      <c r="N818" s="20"/>
      <c r="O818" s="71"/>
      <c r="P818" s="71"/>
      <c r="Q818" s="20"/>
      <c r="R818" s="20"/>
      <c r="S818" s="20"/>
      <c r="T818" s="20"/>
      <c r="U818" s="20"/>
      <c r="V818" s="20"/>
      <c r="W818" s="20"/>
      <c r="X818" s="20"/>
      <c r="Y818" s="20"/>
      <c r="Z818" s="20"/>
      <c r="AA818" s="20"/>
      <c r="AB818" s="20"/>
      <c r="AC818" s="20"/>
    </row>
    <row r="819" spans="1:29">
      <c r="A819" s="193" t="s">
        <v>467</v>
      </c>
      <c r="B819" s="1"/>
      <c r="C819" s="1"/>
      <c r="D819" s="1"/>
      <c r="E819" s="2"/>
      <c r="F819" s="2"/>
      <c r="G819" s="1"/>
      <c r="H819" s="1"/>
      <c r="I819" s="2"/>
      <c r="J819" s="1"/>
      <c r="K819" s="1"/>
      <c r="M819" s="20"/>
      <c r="N819" s="20"/>
      <c r="O819" s="71"/>
      <c r="P819" s="71"/>
      <c r="Q819" s="20"/>
      <c r="R819" s="20"/>
      <c r="S819" s="20"/>
      <c r="T819" s="20"/>
      <c r="U819" s="20"/>
      <c r="V819" s="20"/>
      <c r="W819" s="20"/>
      <c r="X819" s="20"/>
      <c r="Y819" s="20"/>
      <c r="Z819" s="20"/>
      <c r="AA819" s="20"/>
      <c r="AB819" s="20"/>
      <c r="AC819" s="20"/>
    </row>
    <row r="820" spans="1:29">
      <c r="A820" s="207"/>
      <c r="B820" s="1"/>
      <c r="C820" s="1"/>
      <c r="D820" s="1"/>
      <c r="E820" s="2"/>
      <c r="F820" s="2"/>
      <c r="G820" s="1"/>
      <c r="H820" s="1"/>
      <c r="I820" s="2"/>
      <c r="J820" s="1"/>
      <c r="K820" s="1"/>
      <c r="M820" s="20"/>
      <c r="N820" s="20"/>
      <c r="O820" s="71"/>
      <c r="P820" s="71"/>
      <c r="Q820" s="20"/>
      <c r="R820" s="20"/>
      <c r="S820" s="20"/>
      <c r="T820" s="20"/>
      <c r="U820" s="20"/>
      <c r="V820" s="20"/>
      <c r="W820" s="20"/>
      <c r="X820" s="20"/>
      <c r="Y820" s="20"/>
      <c r="Z820" s="20"/>
      <c r="AA820" s="20"/>
      <c r="AB820" s="20"/>
      <c r="AC820" s="20"/>
    </row>
    <row r="821" spans="1:29">
      <c r="A821" s="207" t="s">
        <v>381</v>
      </c>
      <c r="B821" s="1"/>
      <c r="C821" s="203"/>
      <c r="D821" s="203"/>
      <c r="E821" s="2"/>
      <c r="F821" s="2"/>
      <c r="G821" s="1"/>
      <c r="H821" s="1"/>
      <c r="I821" s="2"/>
      <c r="J821" s="1"/>
      <c r="K821" s="1"/>
      <c r="M821" s="20"/>
      <c r="N821" s="20"/>
      <c r="O821" s="71"/>
      <c r="P821" s="71"/>
      <c r="Q821" s="20"/>
      <c r="R821" s="20"/>
      <c r="S821" s="20"/>
      <c r="T821" s="20"/>
      <c r="U821" s="20"/>
      <c r="V821" s="20"/>
      <c r="W821" s="20"/>
      <c r="X821" s="20"/>
      <c r="Y821" s="20"/>
      <c r="Z821" s="20"/>
      <c r="AA821" s="20"/>
      <c r="AB821" s="20"/>
      <c r="AC821" s="20"/>
    </row>
    <row r="822" spans="1:29">
      <c r="A822" s="207" t="s">
        <v>459</v>
      </c>
      <c r="B822" s="1"/>
      <c r="C822" s="203">
        <f>111+187</f>
        <v>298</v>
      </c>
      <c r="D822" s="203">
        <v>317</v>
      </c>
      <c r="E822" s="221">
        <f>$E$794</f>
        <v>1205</v>
      </c>
      <c r="F822" s="221"/>
      <c r="G822" s="2">
        <f>ROUND(E822*$C822,0)</f>
        <v>359090</v>
      </c>
      <c r="H822" s="2">
        <f>ROUND(E822*$D822,0)</f>
        <v>381985</v>
      </c>
      <c r="I822" s="221">
        <f>$I$794</f>
        <v>1330</v>
      </c>
      <c r="J822" s="205"/>
      <c r="K822" s="2">
        <f>ROUND(I822*$C822,0)</f>
        <v>396340</v>
      </c>
      <c r="M822" s="20"/>
      <c r="N822" s="20"/>
      <c r="O822" s="71"/>
      <c r="P822" s="71"/>
      <c r="Q822" s="20"/>
      <c r="R822" s="20"/>
      <c r="S822" s="20"/>
      <c r="T822" s="20"/>
      <c r="U822" s="20"/>
      <c r="V822" s="20"/>
      <c r="W822" s="20"/>
      <c r="X822" s="20"/>
      <c r="Y822" s="20"/>
      <c r="Z822" s="20"/>
      <c r="AA822" s="20"/>
      <c r="AB822" s="20"/>
      <c r="AC822" s="20"/>
    </row>
    <row r="823" spans="1:29">
      <c r="A823" s="207" t="s">
        <v>460</v>
      </c>
      <c r="B823" s="1"/>
      <c r="C823" s="203">
        <v>11</v>
      </c>
      <c r="D823" s="203">
        <v>12</v>
      </c>
      <c r="E823" s="221">
        <f>$E$795</f>
        <v>1450</v>
      </c>
      <c r="F823" s="221"/>
      <c r="G823" s="2">
        <f>ROUND(E823*$C823,0)</f>
        <v>15950</v>
      </c>
      <c r="H823" s="2">
        <f>ROUND(E823*$D823,0)</f>
        <v>17400</v>
      </c>
      <c r="I823" s="221">
        <f>$I$795</f>
        <v>1600</v>
      </c>
      <c r="J823" s="208"/>
      <c r="K823" s="2">
        <f>ROUND(I823*$C823,0)</f>
        <v>17600</v>
      </c>
      <c r="M823" s="20"/>
      <c r="N823" s="20"/>
      <c r="O823" s="71"/>
      <c r="P823" s="71"/>
      <c r="Q823" s="20"/>
      <c r="R823" s="20"/>
      <c r="S823" s="20"/>
      <c r="T823" s="20"/>
      <c r="U823" s="20"/>
      <c r="V823" s="20"/>
      <c r="W823" s="20"/>
      <c r="X823" s="20"/>
      <c r="Y823" s="20"/>
      <c r="Z823" s="20"/>
      <c r="AA823" s="20"/>
      <c r="AB823" s="20"/>
      <c r="AC823" s="20"/>
    </row>
    <row r="824" spans="1:29">
      <c r="A824" s="207" t="s">
        <v>382</v>
      </c>
      <c r="B824" s="1"/>
      <c r="C824" s="203">
        <f>SUM(C822:C823)</f>
        <v>309</v>
      </c>
      <c r="D824" s="203">
        <f>SUM(D822:D823)</f>
        <v>329</v>
      </c>
      <c r="E824" s="221" t="s">
        <v>31</v>
      </c>
      <c r="F824" s="221"/>
      <c r="G824" s="2" t="s">
        <v>31</v>
      </c>
      <c r="H824" s="2" t="s">
        <v>31</v>
      </c>
      <c r="I824" s="221" t="s">
        <v>31</v>
      </c>
      <c r="J824" s="205"/>
      <c r="K824" s="2" t="s">
        <v>31</v>
      </c>
      <c r="M824" s="20"/>
      <c r="N824" s="20"/>
      <c r="O824" s="71"/>
      <c r="P824" s="71"/>
      <c r="Q824" s="20"/>
      <c r="R824" s="20"/>
      <c r="S824" s="20"/>
      <c r="T824" s="20"/>
      <c r="U824" s="20"/>
      <c r="V824" s="20"/>
      <c r="W824" s="20"/>
      <c r="X824" s="20"/>
      <c r="Y824" s="20"/>
      <c r="Z824" s="20"/>
      <c r="AA824" s="20"/>
      <c r="AB824" s="20"/>
      <c r="AC824" s="20"/>
    </row>
    <row r="825" spans="1:29">
      <c r="A825" s="207" t="s">
        <v>461</v>
      </c>
      <c r="B825" s="1"/>
      <c r="C825" s="203">
        <f>161644+238775</f>
        <v>400419</v>
      </c>
      <c r="D825" s="203">
        <f>ROUND((C825/$C$841)*$D$841,0)</f>
        <v>435560</v>
      </c>
      <c r="E825" s="221">
        <f>$E$797</f>
        <v>0.91</v>
      </c>
      <c r="F825" s="221"/>
      <c r="G825" s="2">
        <f>ROUND(E825*$C825,0)</f>
        <v>364381</v>
      </c>
      <c r="H825" s="2">
        <f>ROUND(E825*$D825,0)</f>
        <v>396360</v>
      </c>
      <c r="I825" s="221">
        <f>$I$797</f>
        <v>1.01</v>
      </c>
      <c r="J825" s="205"/>
      <c r="K825" s="2">
        <f>ROUND(I825*$C825,0)</f>
        <v>404423</v>
      </c>
      <c r="M825" s="20"/>
      <c r="N825" s="20"/>
      <c r="O825" s="71"/>
      <c r="P825" s="71"/>
      <c r="Q825" s="20"/>
      <c r="R825" s="20"/>
      <c r="S825" s="20"/>
      <c r="T825" s="20"/>
      <c r="U825" s="20"/>
      <c r="V825" s="20"/>
      <c r="W825" s="20"/>
      <c r="X825" s="20"/>
      <c r="Y825" s="20"/>
      <c r="Z825" s="20"/>
      <c r="AA825" s="20"/>
      <c r="AB825" s="20"/>
      <c r="AC825" s="20"/>
    </row>
    <row r="826" spans="1:29">
      <c r="A826" s="207" t="s">
        <v>462</v>
      </c>
      <c r="B826" s="1"/>
      <c r="C826" s="203">
        <f>42662</f>
        <v>42662</v>
      </c>
      <c r="D826" s="203">
        <f>ROUND((C826/$C$841)*$D$841,0)</f>
        <v>46406</v>
      </c>
      <c r="E826" s="221">
        <f>$E$798</f>
        <v>0.83</v>
      </c>
      <c r="F826" s="221"/>
      <c r="G826" s="2">
        <f>ROUND(E826*$C826,0)</f>
        <v>35409</v>
      </c>
      <c r="H826" s="2">
        <f>ROUND(E826*$D826,0)</f>
        <v>38517</v>
      </c>
      <c r="I826" s="221">
        <f>$I$798</f>
        <v>0.92</v>
      </c>
      <c r="J826" s="205"/>
      <c r="K826" s="2">
        <f>ROUND(I826*$C826,0)</f>
        <v>39249</v>
      </c>
      <c r="M826" s="20"/>
      <c r="N826" s="20"/>
      <c r="O826" s="71"/>
      <c r="P826" s="71"/>
      <c r="Q826" s="20"/>
      <c r="R826" s="20"/>
      <c r="S826" s="20"/>
      <c r="T826" s="20"/>
      <c r="U826" s="20"/>
      <c r="V826" s="20"/>
      <c r="W826" s="20"/>
      <c r="X826" s="20"/>
      <c r="Y826" s="20"/>
      <c r="Z826" s="20"/>
      <c r="AA826" s="20"/>
      <c r="AB826" s="20"/>
      <c r="AC826" s="20"/>
    </row>
    <row r="827" spans="1:29">
      <c r="A827" s="193" t="s">
        <v>391</v>
      </c>
      <c r="B827" s="1"/>
      <c r="C827" s="203">
        <f>121935+34520+164918</f>
        <v>321373</v>
      </c>
      <c r="D827" s="203">
        <f>ROUND((C827/$C$841)*$D$841,0)</f>
        <v>349577</v>
      </c>
      <c r="E827" s="221">
        <f>$E$799</f>
        <v>6.03</v>
      </c>
      <c r="F827" s="221"/>
      <c r="G827" s="2">
        <f>ROUND(E827*$C827,0)</f>
        <v>1937879</v>
      </c>
      <c r="H827" s="2">
        <f>ROUND(E827*$D827,0)</f>
        <v>2107949</v>
      </c>
      <c r="I827" s="221">
        <f>$I$799</f>
        <v>6.53</v>
      </c>
      <c r="J827" s="205"/>
      <c r="K827" s="2">
        <f>ROUND(I827*$C827,0)</f>
        <v>2098566</v>
      </c>
      <c r="M827" s="20"/>
      <c r="N827" s="20"/>
      <c r="O827" s="71"/>
      <c r="P827" s="71"/>
      <c r="Q827" s="20"/>
      <c r="R827" s="20"/>
      <c r="S827" s="20"/>
      <c r="T827" s="20"/>
      <c r="U827" s="20"/>
      <c r="V827" s="20"/>
      <c r="W827" s="20"/>
      <c r="X827" s="20"/>
      <c r="Y827" s="20"/>
      <c r="Z827" s="20"/>
      <c r="AA827" s="20"/>
      <c r="AB827" s="20"/>
      <c r="AC827" s="20"/>
    </row>
    <row r="828" spans="1:29">
      <c r="A828" s="207" t="s">
        <v>414</v>
      </c>
      <c r="B828" s="1"/>
      <c r="C828" s="203"/>
      <c r="D828" s="203"/>
      <c r="E828" s="221" t="s">
        <v>31</v>
      </c>
      <c r="F828" s="221"/>
      <c r="G828" s="2"/>
      <c r="H828" s="2"/>
      <c r="I828" s="221" t="s">
        <v>31</v>
      </c>
      <c r="J828" s="205"/>
      <c r="K828" s="2"/>
      <c r="M828" s="20"/>
      <c r="N828" s="20"/>
      <c r="O828" s="71"/>
      <c r="P828" s="71"/>
      <c r="Q828" s="20"/>
      <c r="R828" s="20"/>
      <c r="S828" s="20"/>
      <c r="T828" s="20"/>
      <c r="U828" s="20"/>
      <c r="V828" s="20"/>
      <c r="W828" s="20"/>
      <c r="X828" s="20"/>
      <c r="Y828" s="20"/>
      <c r="Z828" s="20"/>
      <c r="AA828" s="20"/>
      <c r="AB828" s="20"/>
      <c r="AC828" s="20"/>
    </row>
    <row r="829" spans="1:29">
      <c r="A829" s="207" t="s">
        <v>452</v>
      </c>
      <c r="B829" s="1"/>
      <c r="C829" s="203">
        <f>48095401+19012800+74513181</f>
        <v>141621382</v>
      </c>
      <c r="D829" s="203">
        <f>ROUND((C829/$C$841)*$D$841,0)</f>
        <v>154050076</v>
      </c>
      <c r="E829" s="279">
        <f>$E$801</f>
        <v>3.4990000000000001</v>
      </c>
      <c r="F829" s="205" t="s">
        <v>362</v>
      </c>
      <c r="G829" s="2">
        <f>ROUND(E829/100*$C829,0)</f>
        <v>4955332</v>
      </c>
      <c r="H829" s="2">
        <f>ROUND(E829/100*$D829,0)</f>
        <v>5390212</v>
      </c>
      <c r="I829" s="279">
        <f>$I$801</f>
        <v>3.8719999999999999</v>
      </c>
      <c r="J829" s="205" t="s">
        <v>362</v>
      </c>
      <c r="K829" s="2">
        <f>ROUND(I829/100*$C829,0)</f>
        <v>5483580</v>
      </c>
      <c r="M829" s="20"/>
      <c r="N829" s="20"/>
      <c r="O829" s="71"/>
      <c r="P829" s="71"/>
      <c r="Q829" s="20"/>
      <c r="R829" s="20"/>
      <c r="S829" s="20"/>
      <c r="T829" s="20"/>
      <c r="U829" s="20"/>
      <c r="V829" s="20"/>
      <c r="W829" s="20"/>
      <c r="X829" s="20"/>
      <c r="Y829" s="20"/>
      <c r="Z829" s="20"/>
      <c r="AA829" s="20"/>
      <c r="AB829" s="20"/>
      <c r="AC829" s="20"/>
    </row>
    <row r="830" spans="1:29">
      <c r="A830" s="207" t="s">
        <v>388</v>
      </c>
      <c r="B830" s="1"/>
      <c r="C830" s="203">
        <f>10682+5964+26547</f>
        <v>43193</v>
      </c>
      <c r="D830" s="203">
        <f>ROUND((C830/$C$841)*$D$841,0)</f>
        <v>46984</v>
      </c>
      <c r="E830" s="221">
        <f>$E$802</f>
        <v>0.45</v>
      </c>
      <c r="F830" s="205"/>
      <c r="G830" s="2">
        <f>ROUND(E830*$C830,0)</f>
        <v>19437</v>
      </c>
      <c r="H830" s="2">
        <f>ROUND(E830*$D830,0)</f>
        <v>21143</v>
      </c>
      <c r="I830" s="221">
        <f>$I$802</f>
        <v>0.5</v>
      </c>
      <c r="J830" s="205"/>
      <c r="K830" s="2">
        <f>ROUND(I830*$C830,0)</f>
        <v>21597</v>
      </c>
      <c r="M830" s="20"/>
      <c r="N830" s="20"/>
      <c r="O830" s="71"/>
      <c r="P830" s="71"/>
      <c r="Q830" s="20"/>
      <c r="R830" s="20"/>
      <c r="S830" s="20"/>
      <c r="T830" s="20"/>
      <c r="U830" s="20"/>
      <c r="V830" s="20"/>
      <c r="W830" s="20"/>
      <c r="X830" s="20"/>
      <c r="Y830" s="20"/>
      <c r="Z830" s="20"/>
      <c r="AA830" s="20"/>
      <c r="AB830" s="20"/>
      <c r="AC830" s="20"/>
    </row>
    <row r="831" spans="1:29">
      <c r="A831" s="244" t="s">
        <v>389</v>
      </c>
      <c r="B831" s="1"/>
      <c r="C831" s="203"/>
      <c r="D831" s="203"/>
      <c r="E831" s="216">
        <v>-0.01</v>
      </c>
      <c r="F831" s="216"/>
      <c r="G831" s="2"/>
      <c r="H831" s="2"/>
      <c r="I831" s="216">
        <v>-0.01</v>
      </c>
      <c r="J831" s="245"/>
      <c r="K831" s="2"/>
      <c r="M831" s="20"/>
      <c r="N831" s="20"/>
      <c r="O831" s="71"/>
      <c r="P831" s="71"/>
      <c r="Q831" s="20"/>
      <c r="R831" s="20"/>
      <c r="S831" s="20"/>
      <c r="T831" s="20"/>
      <c r="U831" s="20"/>
      <c r="V831" s="20"/>
      <c r="W831" s="20"/>
      <c r="X831" s="20"/>
      <c r="Y831" s="20"/>
      <c r="Z831" s="20"/>
      <c r="AA831" s="20"/>
      <c r="AB831" s="20"/>
      <c r="AC831" s="20"/>
    </row>
    <row r="832" spans="1:29">
      <c r="A832" s="207" t="s">
        <v>459</v>
      </c>
      <c r="B832" s="1"/>
      <c r="C832" s="203">
        <v>111</v>
      </c>
      <c r="D832" s="203">
        <v>118</v>
      </c>
      <c r="E832" s="218">
        <f>E822</f>
        <v>1205</v>
      </c>
      <c r="F832" s="218"/>
      <c r="G832" s="205">
        <f>ROUND(E832*$C832*$E$803,0)</f>
        <v>-1338</v>
      </c>
      <c r="H832" s="205">
        <f>ROUND(E832*$D832*$E$803,0)</f>
        <v>-1422</v>
      </c>
      <c r="I832" s="218">
        <f>I822</f>
        <v>1330</v>
      </c>
      <c r="J832" s="205"/>
      <c r="K832" s="205">
        <f>ROUND(I832*$C832*$E$803,0)</f>
        <v>-1476</v>
      </c>
      <c r="M832" s="20"/>
      <c r="N832" s="20"/>
      <c r="O832" s="71"/>
      <c r="P832" s="71"/>
      <c r="Q832" s="20"/>
      <c r="R832" s="20"/>
      <c r="S832" s="20"/>
      <c r="T832" s="20"/>
      <c r="U832" s="20"/>
      <c r="V832" s="20"/>
      <c r="W832" s="20"/>
      <c r="X832" s="20"/>
      <c r="Y832" s="20"/>
      <c r="Z832" s="20"/>
      <c r="AA832" s="20"/>
      <c r="AB832" s="20"/>
      <c r="AC832" s="20"/>
    </row>
    <row r="833" spans="1:29">
      <c r="A833" s="207" t="s">
        <v>460</v>
      </c>
      <c r="B833" s="1"/>
      <c r="C833" s="203">
        <v>11</v>
      </c>
      <c r="D833" s="203">
        <v>12</v>
      </c>
      <c r="E833" s="218">
        <f>E823</f>
        <v>1450</v>
      </c>
      <c r="F833" s="218"/>
      <c r="G833" s="205">
        <f>ROUND(E833*$C833*$E$803,0)</f>
        <v>-160</v>
      </c>
      <c r="H833" s="205">
        <f>ROUND(E833*$D833*$E$803,0)</f>
        <v>-174</v>
      </c>
      <c r="I833" s="218">
        <f>I823</f>
        <v>1600</v>
      </c>
      <c r="J833" s="205"/>
      <c r="K833" s="205">
        <f>ROUND(I833*$C833*$E$803,0)</f>
        <v>-176</v>
      </c>
      <c r="M833" s="20"/>
      <c r="N833" s="20"/>
      <c r="O833" s="71"/>
      <c r="P833" s="71"/>
      <c r="Q833" s="20"/>
      <c r="R833" s="20"/>
      <c r="S833" s="20"/>
      <c r="T833" s="20"/>
      <c r="U833" s="20"/>
      <c r="V833" s="20"/>
      <c r="W833" s="20"/>
      <c r="X833" s="20"/>
      <c r="Y833" s="20"/>
      <c r="Z833" s="20"/>
      <c r="AA833" s="20"/>
      <c r="AB833" s="20"/>
      <c r="AC833" s="20"/>
    </row>
    <row r="834" spans="1:29">
      <c r="A834" s="207" t="s">
        <v>461</v>
      </c>
      <c r="B834" s="1"/>
      <c r="C834" s="203">
        <v>161644</v>
      </c>
      <c r="D834" s="203">
        <f>ROUND((C834/$C$841)*$D$841,0)</f>
        <v>175830</v>
      </c>
      <c r="E834" s="218">
        <f>E825</f>
        <v>0.91</v>
      </c>
      <c r="F834" s="218"/>
      <c r="G834" s="205">
        <f>ROUND(E834*$C834*$E$803,0)</f>
        <v>-1471</v>
      </c>
      <c r="H834" s="205">
        <f>ROUND(E834*$D834*$E$803,0)</f>
        <v>-1600</v>
      </c>
      <c r="I834" s="218">
        <f>I825</f>
        <v>1.01</v>
      </c>
      <c r="J834" s="205"/>
      <c r="K834" s="205">
        <f>ROUND(I834*$C834*$E$803,0)</f>
        <v>-1633</v>
      </c>
      <c r="M834" s="20"/>
      <c r="N834" s="20"/>
      <c r="O834" s="71"/>
      <c r="P834" s="71"/>
      <c r="Q834" s="20"/>
      <c r="R834" s="20"/>
      <c r="S834" s="20"/>
      <c r="T834" s="20"/>
      <c r="U834" s="20"/>
      <c r="V834" s="20"/>
      <c r="W834" s="20"/>
      <c r="X834" s="20"/>
      <c r="Y834" s="20"/>
      <c r="Z834" s="20"/>
      <c r="AA834" s="20"/>
      <c r="AB834" s="20"/>
      <c r="AC834" s="20"/>
    </row>
    <row r="835" spans="1:29">
      <c r="A835" s="207" t="s">
        <v>462</v>
      </c>
      <c r="B835" s="1"/>
      <c r="C835" s="203">
        <v>42662</v>
      </c>
      <c r="D835" s="203">
        <f>ROUND((C835/$C$841)*$D$841,0)</f>
        <v>46406</v>
      </c>
      <c r="E835" s="218">
        <f>E826</f>
        <v>0.83</v>
      </c>
      <c r="F835" s="218"/>
      <c r="G835" s="205">
        <f>ROUND(E835*$C835*$E$803,0)</f>
        <v>-354</v>
      </c>
      <c r="H835" s="205">
        <f>ROUND(E835*$D835*$E$803,0)</f>
        <v>-385</v>
      </c>
      <c r="I835" s="218">
        <f>I826</f>
        <v>0.92</v>
      </c>
      <c r="J835" s="205"/>
      <c r="K835" s="205">
        <f>ROUND(I835*$C835*$E$803,0)</f>
        <v>-392</v>
      </c>
      <c r="M835" s="20"/>
      <c r="N835" s="20"/>
      <c r="O835" s="71"/>
      <c r="P835" s="71"/>
      <c r="Q835" s="20"/>
      <c r="R835" s="20"/>
      <c r="S835" s="20"/>
      <c r="T835" s="20"/>
      <c r="U835" s="20"/>
      <c r="V835" s="20"/>
      <c r="W835" s="20"/>
      <c r="X835" s="20"/>
      <c r="Y835" s="20"/>
      <c r="Z835" s="20"/>
      <c r="AA835" s="20"/>
      <c r="AB835" s="20"/>
      <c r="AC835" s="20"/>
    </row>
    <row r="836" spans="1:29">
      <c r="A836" s="193" t="s">
        <v>391</v>
      </c>
      <c r="B836" s="264"/>
      <c r="C836" s="203">
        <f>121935+34520</f>
        <v>156455</v>
      </c>
      <c r="D836" s="203">
        <f>ROUND((C836/$C$841)*$D$841,0)</f>
        <v>170185</v>
      </c>
      <c r="E836" s="218">
        <f>E827</f>
        <v>6.03</v>
      </c>
      <c r="F836" s="221"/>
      <c r="G836" s="205">
        <f>ROUND(E836*$C836*$E$803,0)</f>
        <v>-9434</v>
      </c>
      <c r="H836" s="205">
        <f>ROUND(E836*$D836*$E$803,0)</f>
        <v>-10262</v>
      </c>
      <c r="I836" s="218">
        <f>I827</f>
        <v>6.53</v>
      </c>
      <c r="J836" s="205"/>
      <c r="K836" s="205">
        <f>ROUND(I836*$C836*$E$803,0)</f>
        <v>-10217</v>
      </c>
      <c r="M836" s="20"/>
      <c r="N836" s="20"/>
      <c r="O836" s="71"/>
      <c r="P836" s="71"/>
      <c r="Q836" s="20"/>
      <c r="R836" s="20"/>
      <c r="S836" s="20"/>
      <c r="T836" s="20"/>
      <c r="U836" s="20"/>
      <c r="V836" s="20"/>
      <c r="W836" s="20"/>
      <c r="X836" s="20"/>
      <c r="Y836" s="20"/>
      <c r="Z836" s="20"/>
      <c r="AA836" s="20"/>
      <c r="AB836" s="20"/>
      <c r="AC836" s="20"/>
    </row>
    <row r="837" spans="1:29">
      <c r="A837" s="207" t="s">
        <v>452</v>
      </c>
      <c r="B837" s="1"/>
      <c r="C837" s="203">
        <f>48095401+19012800</f>
        <v>67108201</v>
      </c>
      <c r="D837" s="203">
        <f>ROUND((C837/$C$841)*$D$841,0)</f>
        <v>72997618</v>
      </c>
      <c r="E837" s="219">
        <f>E829</f>
        <v>3.4990000000000001</v>
      </c>
      <c r="F837" s="205" t="s">
        <v>362</v>
      </c>
      <c r="G837" s="205">
        <f>ROUND(E837/100*$C837*$E$803,0)</f>
        <v>-23481</v>
      </c>
      <c r="H837" s="205">
        <f>ROUND(E837/100*$D837*$E$803,0)</f>
        <v>-25542</v>
      </c>
      <c r="I837" s="219">
        <f>I829</f>
        <v>3.8719999999999999</v>
      </c>
      <c r="J837" s="205" t="s">
        <v>362</v>
      </c>
      <c r="K837" s="205">
        <f>ROUND(I837/100*$C837*$E$803,0)</f>
        <v>-25984</v>
      </c>
      <c r="M837" s="20"/>
      <c r="N837" s="20"/>
      <c r="O837" s="71"/>
      <c r="P837" s="71"/>
      <c r="Q837" s="20"/>
      <c r="R837" s="20"/>
      <c r="S837" s="20"/>
      <c r="T837" s="20"/>
      <c r="U837" s="20"/>
      <c r="V837" s="20"/>
      <c r="W837" s="20"/>
      <c r="X837" s="20"/>
      <c r="Y837" s="20"/>
      <c r="Z837" s="20"/>
      <c r="AA837" s="20"/>
      <c r="AB837" s="20"/>
      <c r="AC837" s="20"/>
    </row>
    <row r="838" spans="1:29">
      <c r="A838" s="207" t="s">
        <v>388</v>
      </c>
      <c r="B838" s="1"/>
      <c r="C838" s="203">
        <f>10682+5964</f>
        <v>16646</v>
      </c>
      <c r="D838" s="203">
        <f>ROUND((C838/$C$841)*$D$841,0)</f>
        <v>18107</v>
      </c>
      <c r="E838" s="268">
        <f>E830</f>
        <v>0.45</v>
      </c>
      <c r="F838" s="205"/>
      <c r="G838" s="205">
        <f>ROUND(E838*$C838*$E$803,0)</f>
        <v>-75</v>
      </c>
      <c r="H838" s="205">
        <f>ROUND(E838*$D838*$E$803,0)</f>
        <v>-81</v>
      </c>
      <c r="I838" s="268">
        <f>I830</f>
        <v>0.5</v>
      </c>
      <c r="J838" s="205"/>
      <c r="K838" s="205">
        <f>ROUND(I838*$C838*$E$803,0)</f>
        <v>-83</v>
      </c>
      <c r="M838" s="20"/>
      <c r="N838" s="20"/>
      <c r="O838" s="71"/>
      <c r="P838" s="71"/>
      <c r="Q838" s="20"/>
      <c r="R838" s="20"/>
      <c r="S838" s="20"/>
      <c r="T838" s="20"/>
      <c r="U838" s="20"/>
      <c r="V838" s="20"/>
      <c r="W838" s="20"/>
      <c r="X838" s="20"/>
      <c r="Y838" s="20"/>
      <c r="Z838" s="20"/>
      <c r="AA838" s="20"/>
      <c r="AB838" s="20"/>
      <c r="AC838" s="20"/>
    </row>
    <row r="839" spans="1:29">
      <c r="A839" s="193" t="s">
        <v>463</v>
      </c>
      <c r="B839" s="1"/>
      <c r="C839" s="203">
        <f>111+11</f>
        <v>122</v>
      </c>
      <c r="D839" s="203">
        <v>130</v>
      </c>
      <c r="E839" s="221">
        <f>$E$811</f>
        <v>60</v>
      </c>
      <c r="F839" s="221"/>
      <c r="G839" s="205">
        <f>ROUND(E839*$C839,0)</f>
        <v>7320</v>
      </c>
      <c r="H839" s="205">
        <f>ROUND(E839*$D839,0)</f>
        <v>7800</v>
      </c>
      <c r="I839" s="221">
        <f>$I$811</f>
        <v>60</v>
      </c>
      <c r="J839" s="205"/>
      <c r="K839" s="205">
        <f>ROUND(I839*$C839,0)</f>
        <v>7320</v>
      </c>
      <c r="M839" s="20"/>
      <c r="N839" s="20"/>
      <c r="O839" s="71"/>
      <c r="P839" s="71"/>
      <c r="Q839" s="20"/>
      <c r="R839" s="20"/>
      <c r="S839" s="20"/>
      <c r="T839" s="20"/>
      <c r="U839" s="20"/>
      <c r="V839" s="20"/>
      <c r="W839" s="20"/>
      <c r="X839" s="20"/>
      <c r="Y839" s="20"/>
      <c r="Z839" s="20"/>
      <c r="AA839" s="20"/>
      <c r="AB839" s="20"/>
      <c r="AC839" s="20"/>
    </row>
    <row r="840" spans="1:29">
      <c r="A840" s="193" t="s">
        <v>432</v>
      </c>
      <c r="B840" s="1"/>
      <c r="C840" s="203">
        <f>161644+42662</f>
        <v>204306</v>
      </c>
      <c r="D840" s="203">
        <f>ROUND((C840/$C$841)*$D$841,0)</f>
        <v>222236</v>
      </c>
      <c r="E840" s="221">
        <f>$E$812</f>
        <v>-0.75</v>
      </c>
      <c r="F840" s="205"/>
      <c r="G840" s="205">
        <f>ROUND(E840*$C840,0)</f>
        <v>-153230</v>
      </c>
      <c r="H840" s="205">
        <f>ROUND(E840*$D840,0)</f>
        <v>-166677</v>
      </c>
      <c r="I840" s="221">
        <f>$I$812</f>
        <v>-0.75</v>
      </c>
      <c r="J840" s="205"/>
      <c r="K840" s="205">
        <f>ROUND(I840*$C840,0)</f>
        <v>-153230</v>
      </c>
      <c r="M840" s="20"/>
      <c r="N840" s="20"/>
      <c r="O840" s="71"/>
      <c r="P840" s="71"/>
      <c r="Q840" s="20"/>
      <c r="R840" s="20"/>
      <c r="S840" s="20"/>
      <c r="T840" s="20"/>
      <c r="U840" s="20"/>
      <c r="V840" s="20"/>
      <c r="W840" s="20"/>
      <c r="X840" s="20"/>
      <c r="Y840" s="20"/>
      <c r="Z840" s="20"/>
      <c r="AA840" s="20"/>
      <c r="AB840" s="20"/>
      <c r="AC840" s="20"/>
    </row>
    <row r="841" spans="1:29">
      <c r="A841" s="1" t="s">
        <v>369</v>
      </c>
      <c r="B841" s="1"/>
      <c r="C841" s="203">
        <f>C829</f>
        <v>141621382</v>
      </c>
      <c r="D841" s="203">
        <v>154050076.39425009</v>
      </c>
      <c r="E841" s="214"/>
      <c r="F841" s="2"/>
      <c r="G841" s="2">
        <f>SUM(G822:G840)</f>
        <v>7505255</v>
      </c>
      <c r="H841" s="2">
        <f>SUM(H822:H840)</f>
        <v>8155223</v>
      </c>
      <c r="I841" s="214"/>
      <c r="J841" s="1"/>
      <c r="K841" s="2">
        <f>SUM(K822:K840)</f>
        <v>8275484</v>
      </c>
      <c r="M841" s="20"/>
      <c r="N841" s="20"/>
      <c r="O841" s="71"/>
      <c r="P841" s="71"/>
      <c r="Q841" s="20"/>
      <c r="R841" s="20"/>
      <c r="S841" s="20"/>
      <c r="T841" s="20"/>
      <c r="U841" s="20"/>
      <c r="V841" s="20"/>
      <c r="W841" s="20"/>
      <c r="X841" s="20"/>
      <c r="Y841" s="20"/>
      <c r="Z841" s="20"/>
      <c r="AA841" s="20"/>
      <c r="AB841" s="20"/>
      <c r="AC841" s="20"/>
    </row>
    <row r="842" spans="1:29">
      <c r="A842" s="1" t="s">
        <v>351</v>
      </c>
      <c r="B842" s="1"/>
      <c r="C842" s="203" t="e">
        <f>#REF!</f>
        <v>#REF!</v>
      </c>
      <c r="D842" s="203">
        <v>0</v>
      </c>
      <c r="E842" s="193"/>
      <c r="F842" s="193"/>
      <c r="G842" s="225" t="e">
        <f>#REF!</f>
        <v>#REF!</v>
      </c>
      <c r="H842" s="225">
        <v>0</v>
      </c>
      <c r="I842" s="193"/>
      <c r="J842" s="193"/>
      <c r="K842" s="225" t="e">
        <f>G842</f>
        <v>#REF!</v>
      </c>
      <c r="M842" s="328"/>
      <c r="N842" s="328"/>
      <c r="O842" s="171"/>
      <c r="P842" s="71"/>
      <c r="Q842" s="20"/>
      <c r="R842" s="20"/>
      <c r="S842" s="20"/>
      <c r="T842" s="20"/>
      <c r="U842" s="20"/>
      <c r="V842" s="20"/>
      <c r="W842" s="20"/>
      <c r="X842" s="20"/>
      <c r="Y842" s="20"/>
      <c r="Z842" s="20"/>
      <c r="AA842" s="20"/>
      <c r="AB842" s="20"/>
      <c r="AC842" s="20"/>
    </row>
    <row r="843" spans="1:29" ht="16.5" thickBot="1">
      <c r="A843" s="1" t="s">
        <v>370</v>
      </c>
      <c r="B843" s="1"/>
      <c r="C843" s="277" t="e">
        <f>SUM(C841)+C842</f>
        <v>#REF!</v>
      </c>
      <c r="D843" s="277">
        <f>SUM(D829)+D842</f>
        <v>154050076</v>
      </c>
      <c r="E843" s="226"/>
      <c r="F843" s="227"/>
      <c r="G843" s="228" t="e">
        <f>G841+G842</f>
        <v>#REF!</v>
      </c>
      <c r="H843" s="228">
        <f>H841+H842</f>
        <v>8155223</v>
      </c>
      <c r="I843" s="226"/>
      <c r="J843" s="229"/>
      <c r="K843" s="228" t="e">
        <f>K841+K842</f>
        <v>#REF!</v>
      </c>
      <c r="M843" s="295"/>
      <c r="N843" s="295"/>
      <c r="O843" s="354"/>
      <c r="P843" s="71"/>
      <c r="Q843" s="20"/>
      <c r="R843" s="20"/>
      <c r="S843" s="20"/>
      <c r="T843" s="20"/>
      <c r="U843" s="20"/>
      <c r="V843" s="20"/>
      <c r="W843" s="20"/>
      <c r="X843" s="20"/>
      <c r="Y843" s="20"/>
      <c r="Z843" s="20"/>
      <c r="AA843" s="20"/>
      <c r="AB843" s="20"/>
      <c r="AC843" s="20"/>
    </row>
    <row r="844" spans="1:29" ht="16.5" thickTop="1">
      <c r="A844" s="1"/>
      <c r="B844" s="1"/>
      <c r="C844" s="21"/>
      <c r="D844" s="21"/>
      <c r="E844" s="221"/>
      <c r="F844" s="2"/>
      <c r="G844" s="2"/>
      <c r="H844" s="2"/>
      <c r="I844" s="237" t="s">
        <v>31</v>
      </c>
      <c r="J844" s="1"/>
      <c r="K844" s="2" t="s">
        <v>31</v>
      </c>
      <c r="M844" s="20"/>
      <c r="N844" s="20"/>
      <c r="O844" s="71"/>
      <c r="P844" s="71"/>
      <c r="Q844" s="20"/>
      <c r="R844" s="20"/>
      <c r="S844" s="20"/>
      <c r="T844" s="20"/>
      <c r="U844" s="20"/>
      <c r="V844" s="20"/>
      <c r="W844" s="20"/>
      <c r="X844" s="20"/>
      <c r="Y844" s="20"/>
      <c r="Z844" s="20"/>
      <c r="AA844" s="20"/>
      <c r="AB844" s="20"/>
      <c r="AC844" s="20"/>
    </row>
    <row r="845" spans="1:29">
      <c r="A845" s="1"/>
      <c r="B845" s="1"/>
      <c r="C845" s="21"/>
      <c r="D845" s="21"/>
      <c r="E845" s="221"/>
      <c r="F845" s="2"/>
      <c r="G845" s="2"/>
      <c r="H845" s="2"/>
      <c r="I845" s="221"/>
      <c r="J845" s="1"/>
      <c r="K845" s="264"/>
      <c r="M845" s="20"/>
      <c r="N845" s="20"/>
      <c r="O845" s="71"/>
      <c r="P845" s="71"/>
      <c r="Q845" s="20"/>
      <c r="R845" s="20"/>
      <c r="S845" s="20"/>
      <c r="T845" s="20"/>
      <c r="U845" s="20"/>
      <c r="V845" s="20"/>
      <c r="W845" s="20"/>
      <c r="X845" s="20"/>
      <c r="Y845" s="20"/>
      <c r="Z845" s="20"/>
      <c r="AA845" s="20"/>
      <c r="AB845" s="20"/>
      <c r="AC845" s="20"/>
    </row>
    <row r="846" spans="1:29">
      <c r="A846" s="177" t="s">
        <v>464</v>
      </c>
      <c r="B846" s="1"/>
      <c r="C846" s="1"/>
      <c r="D846" s="1"/>
      <c r="E846" s="2"/>
      <c r="F846" s="2"/>
      <c r="G846" s="1"/>
      <c r="H846" s="1"/>
      <c r="I846" s="2"/>
      <c r="J846" s="1"/>
      <c r="K846" s="1"/>
      <c r="M846" s="20"/>
      <c r="N846" s="20"/>
      <c r="O846" s="71"/>
      <c r="P846" s="71"/>
      <c r="Q846" s="20"/>
      <c r="R846" s="20"/>
      <c r="S846" s="20"/>
      <c r="T846" s="20"/>
      <c r="U846" s="20"/>
      <c r="V846" s="20"/>
      <c r="W846" s="20"/>
      <c r="X846" s="20"/>
      <c r="Y846" s="20"/>
      <c r="Z846" s="20"/>
      <c r="AA846" s="20"/>
      <c r="AB846" s="20"/>
      <c r="AC846" s="20"/>
    </row>
    <row r="847" spans="1:29">
      <c r="A847" s="193" t="s">
        <v>468</v>
      </c>
      <c r="B847" s="1"/>
      <c r="C847" s="1"/>
      <c r="D847" s="1"/>
      <c r="E847" s="2"/>
      <c r="F847" s="2"/>
      <c r="G847" s="1"/>
      <c r="H847" s="1"/>
      <c r="I847" s="2"/>
      <c r="J847" s="1"/>
      <c r="K847" s="1"/>
      <c r="M847" s="20"/>
      <c r="N847" s="20"/>
      <c r="O847" s="71"/>
      <c r="P847" s="71"/>
      <c r="Q847" s="20"/>
      <c r="R847" s="20"/>
      <c r="S847" s="20"/>
      <c r="T847" s="20"/>
      <c r="U847" s="20"/>
      <c r="V847" s="20"/>
      <c r="W847" s="20"/>
      <c r="X847" s="20"/>
      <c r="Y847" s="20"/>
      <c r="Z847" s="20"/>
      <c r="AA847" s="20"/>
      <c r="AB847" s="20"/>
      <c r="AC847" s="20"/>
    </row>
    <row r="848" spans="1:29">
      <c r="A848" s="207"/>
      <c r="B848" s="1"/>
      <c r="C848" s="1"/>
      <c r="D848" s="1"/>
      <c r="E848" s="2"/>
      <c r="F848" s="2"/>
      <c r="G848" s="1"/>
      <c r="H848" s="1"/>
      <c r="I848" s="2"/>
      <c r="J848" s="1"/>
      <c r="K848" s="1"/>
      <c r="M848" s="20"/>
      <c r="N848" s="20"/>
      <c r="O848" s="71"/>
      <c r="P848" s="71"/>
      <c r="Q848" s="20"/>
      <c r="R848" s="20"/>
      <c r="S848" s="20"/>
      <c r="T848" s="20"/>
      <c r="U848" s="20"/>
      <c r="V848" s="20"/>
      <c r="W848" s="20"/>
      <c r="X848" s="20"/>
      <c r="Y848" s="20"/>
      <c r="Z848" s="20"/>
      <c r="AA848" s="20"/>
      <c r="AB848" s="20"/>
      <c r="AC848" s="20"/>
    </row>
    <row r="849" spans="1:29">
      <c r="A849" s="207" t="s">
        <v>381</v>
      </c>
      <c r="B849" s="1"/>
      <c r="C849" s="203"/>
      <c r="D849" s="203"/>
      <c r="E849" s="2"/>
      <c r="F849" s="2"/>
      <c r="G849" s="1"/>
      <c r="H849" s="1"/>
      <c r="I849" s="2"/>
      <c r="J849" s="1"/>
      <c r="K849" s="1"/>
      <c r="M849" s="20"/>
      <c r="N849" s="20"/>
      <c r="O849" s="71"/>
      <c r="P849" s="71"/>
      <c r="Q849" s="20"/>
      <c r="R849" s="20"/>
      <c r="S849" s="20"/>
      <c r="T849" s="20"/>
      <c r="U849" s="20"/>
      <c r="V849" s="20"/>
      <c r="W849" s="20"/>
      <c r="X849" s="20"/>
      <c r="Y849" s="20"/>
      <c r="Z849" s="20"/>
      <c r="AA849" s="20"/>
      <c r="AB849" s="20"/>
      <c r="AC849" s="20"/>
    </row>
    <row r="850" spans="1:29">
      <c r="A850" s="207" t="s">
        <v>459</v>
      </c>
      <c r="B850" s="1"/>
      <c r="C850" s="203">
        <f>24+336</f>
        <v>360</v>
      </c>
      <c r="D850" s="203">
        <v>375</v>
      </c>
      <c r="E850" s="221">
        <f>$E$794</f>
        <v>1205</v>
      </c>
      <c r="F850" s="221"/>
      <c r="G850" s="2">
        <f>ROUND(E850*$C850,0)</f>
        <v>433800</v>
      </c>
      <c r="H850" s="2">
        <f>ROUND(E850*$D850,0)</f>
        <v>451875</v>
      </c>
      <c r="I850" s="221">
        <f>$I$794</f>
        <v>1330</v>
      </c>
      <c r="J850" s="205"/>
      <c r="K850" s="2">
        <f>ROUND(I850*$C850,0)</f>
        <v>478800</v>
      </c>
      <c r="M850" s="20"/>
      <c r="N850" s="20"/>
      <c r="O850" s="71"/>
      <c r="P850" s="71"/>
      <c r="Q850" s="20"/>
      <c r="R850" s="20"/>
      <c r="S850" s="20"/>
      <c r="T850" s="20"/>
      <c r="U850" s="20"/>
      <c r="V850" s="20"/>
      <c r="W850" s="20"/>
      <c r="X850" s="20"/>
      <c r="Y850" s="20"/>
      <c r="Z850" s="20"/>
      <c r="AA850" s="20"/>
      <c r="AB850" s="20"/>
      <c r="AC850" s="20"/>
    </row>
    <row r="851" spans="1:29">
      <c r="A851" s="207" t="s">
        <v>460</v>
      </c>
      <c r="B851" s="1"/>
      <c r="C851" s="203">
        <f>24+25-C878</f>
        <v>37</v>
      </c>
      <c r="D851" s="203">
        <v>38</v>
      </c>
      <c r="E851" s="221">
        <f>$E$795</f>
        <v>1450</v>
      </c>
      <c r="F851" s="221"/>
      <c r="G851" s="2">
        <f>ROUND(E851*$C851,0)</f>
        <v>53650</v>
      </c>
      <c r="H851" s="2">
        <f>ROUND(E851*$D851,0)</f>
        <v>55100</v>
      </c>
      <c r="I851" s="221">
        <f>$I$795</f>
        <v>1600</v>
      </c>
      <c r="J851" s="208"/>
      <c r="K851" s="2">
        <f>ROUND(I851*$C851,0)</f>
        <v>59200</v>
      </c>
      <c r="M851" s="20"/>
      <c r="N851" s="20"/>
      <c r="O851" s="71"/>
      <c r="P851" s="71"/>
      <c r="Q851" s="20"/>
      <c r="R851" s="20"/>
      <c r="S851" s="20"/>
      <c r="T851" s="20"/>
      <c r="U851" s="20"/>
      <c r="V851" s="20"/>
      <c r="W851" s="20"/>
      <c r="X851" s="20"/>
      <c r="Y851" s="20"/>
      <c r="Z851" s="20"/>
      <c r="AA851" s="20"/>
      <c r="AB851" s="20"/>
      <c r="AC851" s="20"/>
    </row>
    <row r="852" spans="1:29">
      <c r="A852" s="207" t="s">
        <v>382</v>
      </c>
      <c r="B852" s="1"/>
      <c r="C852" s="203">
        <f>SUM(C850:C851)</f>
        <v>397</v>
      </c>
      <c r="D852" s="203">
        <f>SUM(D850:D851)</f>
        <v>413</v>
      </c>
      <c r="E852" s="221" t="s">
        <v>31</v>
      </c>
      <c r="F852" s="221"/>
      <c r="G852" s="2" t="s">
        <v>31</v>
      </c>
      <c r="H852" s="2" t="s">
        <v>31</v>
      </c>
      <c r="I852" s="221" t="s">
        <v>31</v>
      </c>
      <c r="J852" s="205"/>
      <c r="K852" s="2" t="s">
        <v>31</v>
      </c>
      <c r="M852" s="20"/>
      <c r="N852" s="20"/>
      <c r="O852" s="71"/>
      <c r="P852" s="71"/>
      <c r="Q852" s="20"/>
      <c r="R852" s="20"/>
      <c r="S852" s="20"/>
      <c r="T852" s="20"/>
      <c r="U852" s="20"/>
      <c r="V852" s="20"/>
      <c r="W852" s="20"/>
      <c r="X852" s="20"/>
      <c r="Y852" s="20"/>
      <c r="Z852" s="20"/>
      <c r="AA852" s="20"/>
      <c r="AB852" s="20"/>
      <c r="AC852" s="20"/>
    </row>
    <row r="853" spans="1:29">
      <c r="A853" s="207" t="s">
        <v>461</v>
      </c>
      <c r="B853" s="1"/>
      <c r="C853" s="203">
        <f>28129+470163</f>
        <v>498292</v>
      </c>
      <c r="D853" s="203">
        <f>ROUND(($D$869/$C$869)*C853,0)</f>
        <v>1316574</v>
      </c>
      <c r="E853" s="221">
        <f>$E$797</f>
        <v>0.91</v>
      </c>
      <c r="F853" s="221"/>
      <c r="G853" s="2">
        <f>ROUND(E853*$C853,0)</f>
        <v>453446</v>
      </c>
      <c r="H853" s="2">
        <f>ROUND(E853*$D853,0)</f>
        <v>1198082</v>
      </c>
      <c r="I853" s="221">
        <f>$I$797</f>
        <v>1.01</v>
      </c>
      <c r="J853" s="205"/>
      <c r="K853" s="2">
        <f>ROUND(I853*$C853,0)</f>
        <v>503275</v>
      </c>
      <c r="M853" s="20"/>
      <c r="N853" s="20"/>
      <c r="O853" s="71"/>
      <c r="P853" s="71"/>
      <c r="Q853" s="20"/>
      <c r="R853" s="20"/>
      <c r="S853" s="20"/>
      <c r="T853" s="20"/>
      <c r="U853" s="20"/>
      <c r="V853" s="20"/>
      <c r="W853" s="20"/>
      <c r="X853" s="20"/>
      <c r="Y853" s="20"/>
      <c r="Z853" s="20"/>
      <c r="AA853" s="20"/>
      <c r="AB853" s="20"/>
      <c r="AC853" s="20"/>
    </row>
    <row r="854" spans="1:29">
      <c r="A854" s="207" t="s">
        <v>462</v>
      </c>
      <c r="B854" s="1"/>
      <c r="C854" s="203">
        <f>724727+108147-C881</f>
        <v>167081</v>
      </c>
      <c r="D854" s="203">
        <f>ROUND(($D$869/$C$869)*C854,0)</f>
        <v>441457</v>
      </c>
      <c r="E854" s="221">
        <f>$E$798</f>
        <v>0.83</v>
      </c>
      <c r="F854" s="221"/>
      <c r="G854" s="2">
        <f>ROUND(E854*$C854,0)</f>
        <v>138677</v>
      </c>
      <c r="H854" s="2">
        <f>ROUND(E854*$D854,0)</f>
        <v>366409</v>
      </c>
      <c r="I854" s="221">
        <f>$I$798</f>
        <v>0.92</v>
      </c>
      <c r="J854" s="205"/>
      <c r="K854" s="2">
        <f>ROUND(I854*$C854,0)</f>
        <v>153715</v>
      </c>
      <c r="M854" s="20"/>
      <c r="N854" s="20"/>
      <c r="O854" s="71"/>
      <c r="P854" s="71"/>
      <c r="Q854" s="20"/>
      <c r="R854" s="20"/>
      <c r="S854" s="20"/>
      <c r="T854" s="20"/>
      <c r="U854" s="20"/>
      <c r="V854" s="20"/>
      <c r="W854" s="20"/>
      <c r="X854" s="20"/>
      <c r="Y854" s="20"/>
      <c r="Z854" s="20"/>
      <c r="AA854" s="20"/>
      <c r="AB854" s="20"/>
      <c r="AC854" s="20"/>
    </row>
    <row r="855" spans="1:29">
      <c r="A855" s="193" t="s">
        <v>391</v>
      </c>
      <c r="B855" s="1"/>
      <c r="C855" s="203">
        <f>23089+708283+406336+98202-C882</f>
        <v>583284</v>
      </c>
      <c r="D855" s="203">
        <f>ROUND(($D$869/$C$869)*C855,0)</f>
        <v>1541137</v>
      </c>
      <c r="E855" s="221">
        <f>$E$799</f>
        <v>6.03</v>
      </c>
      <c r="F855" s="221"/>
      <c r="G855" s="2">
        <f>ROUND(E855*$C855,0)</f>
        <v>3517203</v>
      </c>
      <c r="H855" s="2">
        <f>ROUND(E855*$D855,0)</f>
        <v>9293056</v>
      </c>
      <c r="I855" s="221">
        <f>$I$799</f>
        <v>6.53</v>
      </c>
      <c r="J855" s="205"/>
      <c r="K855" s="2">
        <f>ROUND(I855*$C855,0)</f>
        <v>3808845</v>
      </c>
      <c r="M855" s="20"/>
      <c r="N855" s="20"/>
      <c r="O855" s="71"/>
      <c r="P855" s="71"/>
      <c r="Q855" s="20"/>
      <c r="R855" s="20"/>
      <c r="S855" s="20"/>
      <c r="T855" s="20"/>
      <c r="U855" s="20"/>
      <c r="V855" s="20"/>
      <c r="W855" s="20"/>
      <c r="X855" s="20"/>
      <c r="Y855" s="20"/>
      <c r="Z855" s="20"/>
      <c r="AA855" s="20"/>
      <c r="AB855" s="20"/>
      <c r="AC855" s="20"/>
    </row>
    <row r="856" spans="1:29">
      <c r="A856" s="207" t="s">
        <v>414</v>
      </c>
      <c r="B856" s="1"/>
      <c r="C856" s="203"/>
      <c r="D856" s="203"/>
      <c r="E856" s="221" t="s">
        <v>31</v>
      </c>
      <c r="F856" s="221"/>
      <c r="G856" s="2"/>
      <c r="H856" s="2"/>
      <c r="I856" s="221" t="s">
        <v>31</v>
      </c>
      <c r="J856" s="205"/>
      <c r="K856" s="2"/>
      <c r="M856" s="20"/>
      <c r="N856" s="20"/>
      <c r="O856" s="71"/>
      <c r="P856" s="71"/>
      <c r="Q856" s="20"/>
      <c r="R856" s="20"/>
      <c r="S856" s="20"/>
      <c r="T856" s="20"/>
      <c r="U856" s="20"/>
      <c r="V856" s="20"/>
      <c r="W856" s="20"/>
      <c r="X856" s="20"/>
      <c r="Y856" s="20"/>
      <c r="Z856" s="20"/>
      <c r="AA856" s="20"/>
      <c r="AB856" s="20"/>
      <c r="AC856" s="20"/>
    </row>
    <row r="857" spans="1:29">
      <c r="A857" s="207" t="s">
        <v>452</v>
      </c>
      <c r="B857" s="1"/>
      <c r="C857" s="203">
        <f>5533801+468455800+177233604+55674401-C884</f>
        <v>269572806</v>
      </c>
      <c r="D857" s="203">
        <f>ROUND(($D$869/$C$869)*C857,0)</f>
        <v>712258072</v>
      </c>
      <c r="E857" s="279">
        <f>$E$801</f>
        <v>3.4990000000000001</v>
      </c>
      <c r="F857" s="205" t="s">
        <v>362</v>
      </c>
      <c r="G857" s="2">
        <f>ROUND(E857/100*$C857,0)</f>
        <v>9432352</v>
      </c>
      <c r="H857" s="2">
        <f>ROUND(E857/100*$D857,0)</f>
        <v>24921910</v>
      </c>
      <c r="I857" s="279">
        <f>$I$801</f>
        <v>3.8719999999999999</v>
      </c>
      <c r="J857" s="205" t="s">
        <v>362</v>
      </c>
      <c r="K857" s="2">
        <f>ROUND(I857/100*$C857,0)</f>
        <v>10437859</v>
      </c>
      <c r="M857" s="20"/>
      <c r="N857" s="20"/>
      <c r="O857" s="71"/>
      <c r="P857" s="71"/>
      <c r="Q857" s="20"/>
      <c r="R857" s="20"/>
      <c r="S857" s="20"/>
      <c r="T857" s="20"/>
      <c r="U857" s="20"/>
      <c r="V857" s="20"/>
      <c r="W857" s="20"/>
      <c r="X857" s="20"/>
      <c r="Y857" s="20"/>
      <c r="Z857" s="20"/>
      <c r="AA857" s="20"/>
      <c r="AB857" s="20"/>
      <c r="AC857" s="20"/>
    </row>
    <row r="858" spans="1:29">
      <c r="A858" s="207" t="s">
        <v>388</v>
      </c>
      <c r="B858" s="1"/>
      <c r="C858" s="203">
        <f>6402+185242+134464+26312-C885</f>
        <v>183204</v>
      </c>
      <c r="D858" s="203">
        <f>ROUND(($D$869/$C$869)*C858,0)</f>
        <v>484057</v>
      </c>
      <c r="E858" s="221">
        <f>$E$802</f>
        <v>0.45</v>
      </c>
      <c r="F858" s="205"/>
      <c r="G858" s="2">
        <f>ROUND(E858*$C858,0)</f>
        <v>82442</v>
      </c>
      <c r="H858" s="2">
        <f>ROUND(E858*$D858,0)</f>
        <v>217826</v>
      </c>
      <c r="I858" s="221">
        <f>$I$802</f>
        <v>0.5</v>
      </c>
      <c r="J858" s="205"/>
      <c r="K858" s="2">
        <f>ROUND(I858*$C858,0)</f>
        <v>91602</v>
      </c>
      <c r="M858" s="20"/>
      <c r="N858" s="20"/>
      <c r="O858" s="71"/>
      <c r="P858" s="71"/>
      <c r="Q858" s="20"/>
      <c r="R858" s="20"/>
      <c r="S858" s="20"/>
      <c r="T858" s="20"/>
      <c r="U858" s="20"/>
      <c r="V858" s="20"/>
      <c r="W858" s="20"/>
      <c r="X858" s="20"/>
      <c r="Y858" s="20"/>
      <c r="Z858" s="20"/>
      <c r="AA858" s="20"/>
      <c r="AB858" s="20"/>
      <c r="AC858" s="20"/>
    </row>
    <row r="859" spans="1:29">
      <c r="A859" s="244" t="s">
        <v>389</v>
      </c>
      <c r="B859" s="1"/>
      <c r="C859" s="203"/>
      <c r="D859" s="203"/>
      <c r="E859" s="216">
        <v>-0.01</v>
      </c>
      <c r="F859" s="216"/>
      <c r="G859" s="2"/>
      <c r="H859" s="2"/>
      <c r="I859" s="216">
        <v>-0.01</v>
      </c>
      <c r="J859" s="245"/>
      <c r="K859" s="2"/>
      <c r="M859" s="20"/>
      <c r="N859" s="20"/>
      <c r="O859" s="71"/>
      <c r="P859" s="71"/>
      <c r="Q859" s="20"/>
      <c r="R859" s="20"/>
      <c r="S859" s="20"/>
      <c r="T859" s="20"/>
      <c r="U859" s="20"/>
      <c r="V859" s="20"/>
      <c r="W859" s="20"/>
      <c r="X859" s="20"/>
      <c r="Y859" s="20"/>
      <c r="Z859" s="20"/>
      <c r="AA859" s="20"/>
      <c r="AB859" s="20"/>
      <c r="AC859" s="20"/>
    </row>
    <row r="860" spans="1:29">
      <c r="A860" s="207" t="s">
        <v>459</v>
      </c>
      <c r="B860" s="1"/>
      <c r="C860" s="203">
        <v>24</v>
      </c>
      <c r="D860" s="203">
        <v>25</v>
      </c>
      <c r="E860" s="218">
        <f>E850</f>
        <v>1205</v>
      </c>
      <c r="F860" s="218"/>
      <c r="G860" s="205">
        <f>ROUND(E860*$C860*$E$803,0)</f>
        <v>-289</v>
      </c>
      <c r="H860" s="205">
        <f>ROUND(E860*$D860*$E$803,0)</f>
        <v>-301</v>
      </c>
      <c r="I860" s="218">
        <f>I850</f>
        <v>1330</v>
      </c>
      <c r="J860" s="205"/>
      <c r="K860" s="205">
        <f>ROUND(I860*$C860*$E$803,0)</f>
        <v>-319</v>
      </c>
      <c r="M860" s="20"/>
      <c r="N860" s="20"/>
      <c r="O860" s="71"/>
      <c r="P860" s="71"/>
      <c r="Q860" s="20"/>
      <c r="R860" s="20"/>
      <c r="S860" s="20"/>
      <c r="T860" s="20"/>
      <c r="U860" s="20"/>
      <c r="V860" s="20"/>
      <c r="W860" s="20"/>
      <c r="X860" s="20"/>
      <c r="Y860" s="20"/>
      <c r="Z860" s="20"/>
      <c r="AA860" s="20"/>
      <c r="AB860" s="20"/>
      <c r="AC860" s="20"/>
    </row>
    <row r="861" spans="1:29">
      <c r="A861" s="207" t="s">
        <v>460</v>
      </c>
      <c r="B861" s="1"/>
      <c r="C861" s="203">
        <f>24-C888</f>
        <v>12</v>
      </c>
      <c r="D861" s="203">
        <v>12</v>
      </c>
      <c r="E861" s="218">
        <f>E851</f>
        <v>1450</v>
      </c>
      <c r="F861" s="218"/>
      <c r="G861" s="205">
        <f>ROUND(E861*$C861*$E$803,0)</f>
        <v>-174</v>
      </c>
      <c r="H861" s="205">
        <f>ROUND(E861*$D861*$E$803,0)</f>
        <v>-174</v>
      </c>
      <c r="I861" s="218">
        <f>I851</f>
        <v>1600</v>
      </c>
      <c r="J861" s="205"/>
      <c r="K861" s="205">
        <f>ROUND(I861*$C861*$E$803,0)</f>
        <v>-192</v>
      </c>
      <c r="M861" s="20"/>
      <c r="N861" s="20"/>
      <c r="O861" s="71"/>
      <c r="P861" s="71"/>
      <c r="Q861" s="20"/>
      <c r="R861" s="20"/>
      <c r="S861" s="20"/>
      <c r="T861" s="20"/>
      <c r="U861" s="20"/>
      <c r="V861" s="20"/>
      <c r="W861" s="20"/>
      <c r="X861" s="20"/>
      <c r="Y861" s="20"/>
      <c r="Z861" s="20"/>
      <c r="AA861" s="20"/>
      <c r="AB861" s="20"/>
      <c r="AC861" s="20"/>
    </row>
    <row r="862" spans="1:29">
      <c r="A862" s="207" t="s">
        <v>461</v>
      </c>
      <c r="B862" s="1"/>
      <c r="C862" s="203">
        <v>28129</v>
      </c>
      <c r="D862" s="203">
        <f>ROUND(($D$869/$C$869)*C862,0)</f>
        <v>74322</v>
      </c>
      <c r="E862" s="218">
        <f>E853</f>
        <v>0.91</v>
      </c>
      <c r="F862" s="218"/>
      <c r="G862" s="205">
        <f>ROUND(E862*$C862*$E$803,0)</f>
        <v>-256</v>
      </c>
      <c r="H862" s="205">
        <f>ROUND(E862*$D862*$E$803,0)</f>
        <v>-676</v>
      </c>
      <c r="I862" s="218">
        <f>I853</f>
        <v>1.01</v>
      </c>
      <c r="J862" s="205"/>
      <c r="K862" s="205">
        <f>ROUND(I862*$C862*$E$803,0)</f>
        <v>-284</v>
      </c>
      <c r="M862" s="20"/>
      <c r="N862" s="20"/>
      <c r="O862" s="71"/>
      <c r="P862" s="71"/>
      <c r="Q862" s="20"/>
      <c r="R862" s="20"/>
      <c r="S862" s="20"/>
      <c r="T862" s="20"/>
      <c r="U862" s="20"/>
      <c r="V862" s="20"/>
      <c r="W862" s="20"/>
      <c r="X862" s="20"/>
      <c r="Y862" s="20"/>
      <c r="Z862" s="20"/>
      <c r="AA862" s="20"/>
      <c r="AB862" s="20"/>
      <c r="AC862" s="20"/>
    </row>
    <row r="863" spans="1:29">
      <c r="A863" s="207" t="s">
        <v>462</v>
      </c>
      <c r="B863" s="1"/>
      <c r="C863" s="203">
        <f>724727-C881</f>
        <v>58934</v>
      </c>
      <c r="D863" s="203">
        <f>ROUND(($D$869/$C$869)*C863,0)</f>
        <v>155714</v>
      </c>
      <c r="E863" s="218">
        <f>E854</f>
        <v>0.83</v>
      </c>
      <c r="F863" s="218"/>
      <c r="G863" s="205">
        <f>ROUND(E863*$C863*$E$803,0)</f>
        <v>-489</v>
      </c>
      <c r="H863" s="205">
        <f>ROUND(E863*$D863*$E$803,0)</f>
        <v>-1292</v>
      </c>
      <c r="I863" s="218">
        <f>I854</f>
        <v>0.92</v>
      </c>
      <c r="J863" s="205"/>
      <c r="K863" s="205">
        <f>ROUND(I863*$C863*$E$803,0)</f>
        <v>-542</v>
      </c>
      <c r="M863" s="20"/>
      <c r="N863" s="20"/>
      <c r="O863" s="71"/>
      <c r="P863" s="71"/>
      <c r="Q863" s="20"/>
      <c r="R863" s="20"/>
      <c r="S863" s="20"/>
      <c r="T863" s="20"/>
      <c r="U863" s="20"/>
      <c r="V863" s="20"/>
      <c r="W863" s="20"/>
      <c r="X863" s="20"/>
      <c r="Y863" s="20"/>
      <c r="Z863" s="20"/>
      <c r="AA863" s="20"/>
      <c r="AB863" s="20"/>
      <c r="AC863" s="20"/>
    </row>
    <row r="864" spans="1:29">
      <c r="A864" s="193" t="s">
        <v>391</v>
      </c>
      <c r="B864" s="264"/>
      <c r="C864" s="203">
        <f>23089+708283-C882</f>
        <v>78746</v>
      </c>
      <c r="D864" s="203">
        <f>ROUND(($D$869/$C$869)*C864,0)</f>
        <v>208061</v>
      </c>
      <c r="E864" s="218">
        <f>E855</f>
        <v>6.03</v>
      </c>
      <c r="F864" s="221"/>
      <c r="G864" s="205">
        <f>ROUND(E864*$C864*$E$803,0)</f>
        <v>-4748</v>
      </c>
      <c r="H864" s="205">
        <f>ROUND(E864*$D864*$E$803,0)</f>
        <v>-12546</v>
      </c>
      <c r="I864" s="218">
        <f>I855</f>
        <v>6.53</v>
      </c>
      <c r="J864" s="205"/>
      <c r="K864" s="205">
        <f>ROUND(I864*$C864*$E$803,0)</f>
        <v>-5142</v>
      </c>
      <c r="M864" s="20"/>
      <c r="N864" s="20"/>
      <c r="O864" s="71"/>
      <c r="P864" s="71"/>
      <c r="Q864" s="20"/>
      <c r="R864" s="20"/>
      <c r="S864" s="20"/>
      <c r="T864" s="20"/>
      <c r="U864" s="20"/>
      <c r="V864" s="20"/>
      <c r="W864" s="20"/>
      <c r="X864" s="20"/>
      <c r="Y864" s="20"/>
      <c r="Z864" s="20"/>
      <c r="AA864" s="20"/>
      <c r="AB864" s="20"/>
      <c r="AC864" s="20"/>
    </row>
    <row r="865" spans="1:29">
      <c r="A865" s="207" t="s">
        <v>452</v>
      </c>
      <c r="B865" s="1"/>
      <c r="C865" s="203">
        <f>5533801+468455800-C884</f>
        <v>36664801</v>
      </c>
      <c r="D865" s="203">
        <f>ROUND(($D$869/$C$869)*C865,0)</f>
        <v>96874759</v>
      </c>
      <c r="E865" s="219">
        <f>E857</f>
        <v>3.4990000000000001</v>
      </c>
      <c r="F865" s="205" t="s">
        <v>362</v>
      </c>
      <c r="G865" s="205">
        <f>ROUND(E865/100*$C865*$E$803,0)</f>
        <v>-12829</v>
      </c>
      <c r="H865" s="205">
        <f>ROUND(E865/100*$D865*$E$803,0)</f>
        <v>-33896</v>
      </c>
      <c r="I865" s="219">
        <f>I857</f>
        <v>3.8719999999999999</v>
      </c>
      <c r="J865" s="205" t="s">
        <v>362</v>
      </c>
      <c r="K865" s="205">
        <f>ROUND(I865/100*$C865*$E$803,0)</f>
        <v>-14197</v>
      </c>
      <c r="M865" s="20"/>
      <c r="N865" s="20"/>
      <c r="O865" s="71"/>
      <c r="P865" s="71"/>
      <c r="Q865" s="20"/>
      <c r="R865" s="20"/>
      <c r="S865" s="20"/>
      <c r="T865" s="20"/>
      <c r="U865" s="20"/>
      <c r="V865" s="20"/>
      <c r="W865" s="20"/>
      <c r="X865" s="20"/>
      <c r="Y865" s="20"/>
      <c r="Z865" s="20"/>
      <c r="AA865" s="20"/>
      <c r="AB865" s="20"/>
      <c r="AC865" s="20"/>
    </row>
    <row r="866" spans="1:29">
      <c r="A866" s="207" t="s">
        <v>388</v>
      </c>
      <c r="B866" s="1"/>
      <c r="C866" s="203">
        <f>6402+185242-C885</f>
        <v>22428</v>
      </c>
      <c r="D866" s="203">
        <f>ROUND(($D$869/$C$869)*C866,0)</f>
        <v>59259</v>
      </c>
      <c r="E866" s="268">
        <f>E858</f>
        <v>0.45</v>
      </c>
      <c r="F866" s="205"/>
      <c r="G866" s="205">
        <f>ROUND(E866*$C866*$E$803,0)</f>
        <v>-101</v>
      </c>
      <c r="H866" s="205">
        <f>ROUND(E866*$D866*$E$803,0)</f>
        <v>-267</v>
      </c>
      <c r="I866" s="268">
        <f>I858</f>
        <v>0.5</v>
      </c>
      <c r="J866" s="205"/>
      <c r="K866" s="205">
        <f>ROUND(I866*$C866*$E$803,0)</f>
        <v>-112</v>
      </c>
      <c r="M866" s="20"/>
      <c r="N866" s="20"/>
      <c r="O866" s="71"/>
      <c r="P866" s="71"/>
      <c r="Q866" s="20"/>
      <c r="R866" s="20"/>
      <c r="S866" s="20"/>
      <c r="T866" s="20"/>
      <c r="U866" s="20"/>
      <c r="V866" s="20"/>
      <c r="W866" s="20"/>
      <c r="X866" s="20"/>
      <c r="Y866" s="20"/>
      <c r="Z866" s="20"/>
      <c r="AA866" s="20"/>
      <c r="AB866" s="20"/>
      <c r="AC866" s="20"/>
    </row>
    <row r="867" spans="1:29">
      <c r="A867" s="193" t="s">
        <v>463</v>
      </c>
      <c r="B867" s="1"/>
      <c r="C867" s="203">
        <f>24+24-C894</f>
        <v>36</v>
      </c>
      <c r="D867" s="203">
        <v>37</v>
      </c>
      <c r="E867" s="221">
        <f>$E$811</f>
        <v>60</v>
      </c>
      <c r="F867" s="221"/>
      <c r="G867" s="205">
        <f>ROUND(E867*$C867,0)</f>
        <v>2160</v>
      </c>
      <c r="H867" s="205">
        <f>ROUND(E867*$D867,0)</f>
        <v>2220</v>
      </c>
      <c r="I867" s="221">
        <f>$I$811</f>
        <v>60</v>
      </c>
      <c r="J867" s="205"/>
      <c r="K867" s="205">
        <f>ROUND(I867*$C867,0)</f>
        <v>2160</v>
      </c>
      <c r="M867" s="20"/>
      <c r="N867" s="20"/>
      <c r="O867" s="71"/>
      <c r="P867" s="71"/>
      <c r="Q867" s="20"/>
      <c r="R867" s="20"/>
      <c r="S867" s="20"/>
      <c r="T867" s="20"/>
      <c r="U867" s="20"/>
      <c r="V867" s="20"/>
      <c r="W867" s="20"/>
      <c r="X867" s="20"/>
      <c r="Y867" s="20"/>
      <c r="Z867" s="20"/>
      <c r="AA867" s="20"/>
      <c r="AB867" s="20"/>
      <c r="AC867" s="20"/>
    </row>
    <row r="868" spans="1:29">
      <c r="A868" s="193" t="s">
        <v>432</v>
      </c>
      <c r="B868" s="1"/>
      <c r="C868" s="203">
        <f>28129+724727-C895</f>
        <v>87063</v>
      </c>
      <c r="D868" s="203">
        <f>ROUND(($D$869/$C$869)*C868,0)</f>
        <v>230036</v>
      </c>
      <c r="E868" s="221">
        <f>$E$812</f>
        <v>-0.75</v>
      </c>
      <c r="F868" s="205"/>
      <c r="G868" s="205">
        <f>ROUND(E868*$C868,0)</f>
        <v>-65297</v>
      </c>
      <c r="H868" s="205">
        <f>ROUND(E868*$D868,0)</f>
        <v>-172527</v>
      </c>
      <c r="I868" s="221">
        <f>$I$812</f>
        <v>-0.75</v>
      </c>
      <c r="J868" s="205"/>
      <c r="K868" s="205">
        <f>ROUND(I868*$C868,0)</f>
        <v>-65297</v>
      </c>
      <c r="M868" s="20"/>
      <c r="N868" s="20"/>
      <c r="O868" s="71"/>
      <c r="P868" s="71"/>
      <c r="Q868" s="20"/>
      <c r="R868" s="20"/>
      <c r="S868" s="20"/>
      <c r="T868" s="20"/>
      <c r="U868" s="20"/>
      <c r="V868" s="20"/>
      <c r="W868" s="20"/>
      <c r="X868" s="20"/>
      <c r="Y868" s="20"/>
      <c r="Z868" s="20"/>
      <c r="AA868" s="20"/>
      <c r="AB868" s="20"/>
      <c r="AC868" s="20"/>
    </row>
    <row r="869" spans="1:29">
      <c r="A869" s="1" t="s">
        <v>369</v>
      </c>
      <c r="B869" s="1"/>
      <c r="C869" s="203">
        <f>C857</f>
        <v>269572806</v>
      </c>
      <c r="D869" s="203">
        <v>712258072.33019459</v>
      </c>
      <c r="E869" s="214"/>
      <c r="F869" s="2"/>
      <c r="G869" s="2">
        <f>SUM(G850:G868)</f>
        <v>14029547</v>
      </c>
      <c r="H869" s="2">
        <f>SUM(H850:H868)</f>
        <v>36284799</v>
      </c>
      <c r="I869" s="214"/>
      <c r="J869" s="1"/>
      <c r="K869" s="2">
        <f>SUM(K850:K868)</f>
        <v>15449371</v>
      </c>
      <c r="M869" s="20"/>
      <c r="N869" s="20"/>
      <c r="O869" s="71"/>
      <c r="P869" s="71"/>
      <c r="Q869" s="20"/>
      <c r="R869" s="20"/>
      <c r="S869" s="20"/>
      <c r="T869" s="20"/>
      <c r="U869" s="20"/>
      <c r="V869" s="20"/>
      <c r="W869" s="20"/>
      <c r="X869" s="20"/>
      <c r="Y869" s="20"/>
      <c r="Z869" s="20"/>
      <c r="AA869" s="20"/>
      <c r="AB869" s="20"/>
      <c r="AC869" s="20"/>
    </row>
    <row r="870" spans="1:29">
      <c r="A870" s="1" t="s">
        <v>351</v>
      </c>
      <c r="B870" s="1"/>
      <c r="C870" s="203" t="e">
        <f>#REF!</f>
        <v>#REF!</v>
      </c>
      <c r="D870" s="203">
        <v>0</v>
      </c>
      <c r="E870" s="193"/>
      <c r="F870" s="193"/>
      <c r="G870" s="225" t="e">
        <f>#REF!</f>
        <v>#REF!</v>
      </c>
      <c r="H870" s="225">
        <v>0</v>
      </c>
      <c r="I870" s="193"/>
      <c r="J870" s="193"/>
      <c r="K870" s="225" t="e">
        <f>G870</f>
        <v>#REF!</v>
      </c>
      <c r="M870" s="328"/>
      <c r="N870" s="328"/>
      <c r="O870" s="171"/>
      <c r="P870" s="71"/>
      <c r="Q870" s="20"/>
      <c r="R870" s="20"/>
      <c r="S870" s="20"/>
      <c r="T870" s="20"/>
      <c r="U870" s="20"/>
      <c r="V870" s="20"/>
      <c r="W870" s="20"/>
      <c r="X870" s="20"/>
      <c r="Y870" s="20"/>
      <c r="Z870" s="20"/>
      <c r="AA870" s="20"/>
      <c r="AB870" s="20"/>
      <c r="AC870" s="20"/>
    </row>
    <row r="871" spans="1:29" ht="16.5" thickBot="1">
      <c r="A871" s="1" t="s">
        <v>370</v>
      </c>
      <c r="B871" s="1"/>
      <c r="C871" s="277" t="e">
        <f>SUM(C869)+C870</f>
        <v>#REF!</v>
      </c>
      <c r="D871" s="277">
        <f>SUM(D857)+D870</f>
        <v>712258072</v>
      </c>
      <c r="E871" s="226"/>
      <c r="F871" s="227"/>
      <c r="G871" s="228" t="e">
        <f>G869+G870</f>
        <v>#REF!</v>
      </c>
      <c r="H871" s="228">
        <f>H869+H870</f>
        <v>36284799</v>
      </c>
      <c r="I871" s="226"/>
      <c r="J871" s="229"/>
      <c r="K871" s="228" t="e">
        <f>K869+K870</f>
        <v>#REF!</v>
      </c>
      <c r="M871" s="295"/>
      <c r="N871" s="295"/>
      <c r="O871" s="354"/>
      <c r="P871" s="71"/>
      <c r="Q871" s="20"/>
      <c r="R871" s="20"/>
      <c r="S871" s="20"/>
      <c r="T871" s="20"/>
      <c r="U871" s="20"/>
      <c r="V871" s="20"/>
      <c r="W871" s="20"/>
      <c r="X871" s="20"/>
      <c r="Y871" s="20"/>
      <c r="Z871" s="20"/>
      <c r="AA871" s="20"/>
      <c r="AB871" s="20"/>
      <c r="AC871" s="20"/>
    </row>
    <row r="872" spans="1:29" ht="16.5" thickTop="1">
      <c r="A872" s="1"/>
      <c r="B872" s="1"/>
      <c r="C872" s="21"/>
      <c r="D872" s="21"/>
      <c r="E872" s="221"/>
      <c r="F872" s="2"/>
      <c r="G872" s="2"/>
      <c r="H872" s="2"/>
      <c r="I872" s="237" t="s">
        <v>31</v>
      </c>
      <c r="J872" s="1"/>
      <c r="K872" s="2" t="s">
        <v>31</v>
      </c>
      <c r="M872" s="20"/>
      <c r="N872" s="20"/>
      <c r="O872" s="71"/>
      <c r="P872" s="71"/>
      <c r="Q872" s="20"/>
      <c r="R872" s="20"/>
      <c r="S872" s="20"/>
      <c r="T872" s="20"/>
      <c r="U872" s="20"/>
      <c r="V872" s="20"/>
      <c r="W872" s="20"/>
      <c r="X872" s="20"/>
      <c r="Y872" s="20"/>
      <c r="Z872" s="20"/>
      <c r="AA872" s="20"/>
      <c r="AB872" s="20"/>
      <c r="AC872" s="20"/>
    </row>
    <row r="873" spans="1:29">
      <c r="A873" s="177" t="s">
        <v>567</v>
      </c>
      <c r="B873" s="1"/>
      <c r="C873" s="1"/>
      <c r="D873" s="1"/>
      <c r="E873" s="2"/>
      <c r="F873" s="2"/>
      <c r="G873" s="1"/>
      <c r="H873" s="1"/>
      <c r="I873" s="2"/>
      <c r="J873" s="1"/>
      <c r="K873" s="1"/>
      <c r="M873" s="20"/>
      <c r="N873" s="20"/>
      <c r="O873" s="71"/>
      <c r="P873" s="71"/>
      <c r="Q873" s="20"/>
      <c r="R873" s="20"/>
      <c r="S873" s="20"/>
      <c r="T873" s="20"/>
      <c r="U873" s="20"/>
      <c r="V873" s="20"/>
      <c r="W873" s="20"/>
      <c r="X873" s="20"/>
      <c r="Y873" s="20"/>
      <c r="Z873" s="20"/>
      <c r="AA873" s="20"/>
      <c r="AB873" s="20"/>
      <c r="AC873" s="20"/>
    </row>
    <row r="874" spans="1:29">
      <c r="A874" s="193" t="s">
        <v>602</v>
      </c>
      <c r="B874" s="1"/>
      <c r="C874" s="1"/>
      <c r="D874" s="1"/>
      <c r="E874" s="2"/>
      <c r="F874" s="2"/>
      <c r="G874" s="1"/>
      <c r="H874" s="1"/>
      <c r="I874" s="2"/>
      <c r="J874" s="1"/>
      <c r="K874" s="1"/>
      <c r="M874" s="20"/>
      <c r="N874" s="20"/>
      <c r="O874" s="71"/>
      <c r="P874" s="71"/>
      <c r="Q874" s="20"/>
      <c r="R874" s="20"/>
      <c r="S874" s="20"/>
      <c r="T874" s="20"/>
      <c r="U874" s="20"/>
      <c r="V874" s="20"/>
      <c r="W874" s="20"/>
      <c r="X874" s="20"/>
      <c r="Y874" s="20"/>
      <c r="Z874" s="20"/>
      <c r="AA874" s="20"/>
      <c r="AB874" s="20"/>
      <c r="AC874" s="20"/>
    </row>
    <row r="875" spans="1:29">
      <c r="A875" s="207"/>
      <c r="B875" s="1"/>
      <c r="C875" s="1"/>
      <c r="D875" s="1"/>
      <c r="E875" s="2"/>
      <c r="F875" s="2"/>
      <c r="G875" s="1"/>
      <c r="H875" s="1"/>
      <c r="I875" s="2"/>
      <c r="J875" s="1"/>
      <c r="K875" s="1"/>
      <c r="M875" s="20"/>
      <c r="N875" s="20"/>
      <c r="O875" s="71"/>
      <c r="P875" s="71"/>
      <c r="Q875" s="20"/>
      <c r="R875" s="20"/>
      <c r="S875" s="20"/>
      <c r="T875" s="20"/>
      <c r="U875" s="20"/>
      <c r="V875" s="20"/>
      <c r="W875" s="20"/>
      <c r="X875" s="20"/>
      <c r="Y875" s="20"/>
      <c r="Z875" s="20"/>
      <c r="AA875" s="20"/>
      <c r="AB875" s="20"/>
      <c r="AC875" s="20"/>
    </row>
    <row r="876" spans="1:29">
      <c r="A876" s="207" t="s">
        <v>381</v>
      </c>
      <c r="B876" s="1"/>
      <c r="C876" s="203"/>
      <c r="D876" s="203"/>
      <c r="E876" s="2"/>
      <c r="F876" s="2"/>
      <c r="G876" s="1"/>
      <c r="H876" s="1"/>
      <c r="I876" s="2"/>
      <c r="J876" s="1"/>
      <c r="K876" s="1"/>
      <c r="M876" s="20"/>
      <c r="N876" s="20"/>
      <c r="P876" s="71"/>
      <c r="Q876" s="20"/>
      <c r="R876" s="20"/>
      <c r="S876" s="20"/>
      <c r="T876" s="20"/>
      <c r="U876" s="20"/>
      <c r="V876" s="20"/>
      <c r="W876" s="20"/>
      <c r="X876" s="20"/>
      <c r="Y876" s="20"/>
      <c r="Z876" s="20"/>
      <c r="AA876" s="20"/>
      <c r="AB876" s="20"/>
      <c r="AC876" s="20"/>
    </row>
    <row r="877" spans="1:29">
      <c r="A877" s="207" t="s">
        <v>459</v>
      </c>
      <c r="B877" s="1"/>
      <c r="C877" s="203">
        <v>0</v>
      </c>
      <c r="D877" s="203">
        <v>0</v>
      </c>
      <c r="E877" s="221">
        <f>$E$766</f>
        <v>1205</v>
      </c>
      <c r="F877" s="221"/>
      <c r="G877" s="2">
        <f>ROUND(E877*$C877,0)</f>
        <v>0</v>
      </c>
      <c r="H877" s="2">
        <f>ROUND(E877*$D877,0)</f>
        <v>0</v>
      </c>
      <c r="I877" s="221">
        <v>1330</v>
      </c>
      <c r="J877" s="205"/>
      <c r="K877" s="2">
        <f>ROUND(I877*$C877,0)</f>
        <v>0</v>
      </c>
      <c r="M877" s="20"/>
      <c r="N877" s="20"/>
      <c r="O877" s="14">
        <f>(I877-E877)/E877</f>
        <v>0.1037344398340249</v>
      </c>
      <c r="P877" s="71"/>
      <c r="Q877" s="20"/>
      <c r="R877" s="20"/>
      <c r="S877" s="20"/>
      <c r="T877" s="20"/>
      <c r="U877" s="20"/>
      <c r="V877" s="20"/>
      <c r="W877" s="20"/>
      <c r="X877" s="20"/>
      <c r="Y877" s="20"/>
      <c r="Z877" s="20"/>
      <c r="AA877" s="20"/>
      <c r="AB877" s="20"/>
      <c r="AC877" s="20"/>
    </row>
    <row r="878" spans="1:29">
      <c r="A878" s="207" t="s">
        <v>460</v>
      </c>
      <c r="B878" s="1"/>
      <c r="C878" s="203">
        <v>12</v>
      </c>
      <c r="D878" s="203">
        <v>12</v>
      </c>
      <c r="E878" s="221">
        <f>$E$767</f>
        <v>1450</v>
      </c>
      <c r="F878" s="221"/>
      <c r="G878" s="2">
        <f>ROUND(E878*$C878,0)</f>
        <v>17400</v>
      </c>
      <c r="H878" s="2">
        <f>ROUND(E878*$D878,0)</f>
        <v>17400</v>
      </c>
      <c r="I878" s="221">
        <v>1550</v>
      </c>
      <c r="J878" s="208"/>
      <c r="K878" s="2">
        <f>ROUND(I878*$C878,0)</f>
        <v>18600</v>
      </c>
      <c r="M878" s="20"/>
      <c r="N878" s="20"/>
      <c r="O878" s="14">
        <f>(I878-E878)/E878</f>
        <v>6.8965517241379309E-2</v>
      </c>
      <c r="P878" s="71"/>
      <c r="Q878" s="20"/>
      <c r="R878" s="20"/>
      <c r="S878" s="20"/>
      <c r="T878" s="20"/>
      <c r="U878" s="20"/>
      <c r="V878" s="20"/>
      <c r="W878" s="20"/>
      <c r="X878" s="20"/>
      <c r="Y878" s="20"/>
      <c r="Z878" s="20"/>
      <c r="AA878" s="20"/>
      <c r="AB878" s="20"/>
      <c r="AC878" s="20"/>
    </row>
    <row r="879" spans="1:29">
      <c r="A879" s="207" t="s">
        <v>382</v>
      </c>
      <c r="B879" s="1"/>
      <c r="C879" s="203">
        <f>SUM(C877:C878)</f>
        <v>12</v>
      </c>
      <c r="D879" s="203">
        <v>12</v>
      </c>
      <c r="E879" s="221" t="s">
        <v>31</v>
      </c>
      <c r="F879" s="221"/>
      <c r="G879" s="2" t="s">
        <v>31</v>
      </c>
      <c r="H879" s="2" t="s">
        <v>31</v>
      </c>
      <c r="I879" s="221" t="s">
        <v>31</v>
      </c>
      <c r="J879" s="205"/>
      <c r="K879" s="2" t="s">
        <v>31</v>
      </c>
      <c r="M879" s="20"/>
      <c r="N879" s="20"/>
      <c r="O879" s="204"/>
      <c r="P879" s="71"/>
      <c r="Q879" s="20"/>
      <c r="R879" s="20"/>
      <c r="S879" s="20"/>
      <c r="T879" s="20"/>
      <c r="U879" s="20"/>
      <c r="V879" s="20"/>
      <c r="W879" s="20"/>
      <c r="X879" s="20"/>
      <c r="Y879" s="20"/>
      <c r="Z879" s="20"/>
      <c r="AA879" s="20"/>
      <c r="AB879" s="20"/>
      <c r="AC879" s="20"/>
    </row>
    <row r="880" spans="1:29">
      <c r="A880" s="207" t="s">
        <v>461</v>
      </c>
      <c r="B880" s="1"/>
      <c r="C880" s="203">
        <v>0</v>
      </c>
      <c r="D880" s="203">
        <v>0</v>
      </c>
      <c r="E880" s="221">
        <f>$E$769</f>
        <v>0.91</v>
      </c>
      <c r="F880" s="221"/>
      <c r="G880" s="2">
        <f>ROUND(E880*$C880,0)</f>
        <v>0</v>
      </c>
      <c r="H880" s="2">
        <f>ROUND(E880*$D880,0)</f>
        <v>0</v>
      </c>
      <c r="I880" s="221">
        <v>1.01</v>
      </c>
      <c r="J880" s="205"/>
      <c r="K880" s="2">
        <f>ROUND(I880*$C880,0)</f>
        <v>0</v>
      </c>
      <c r="M880" s="20"/>
      <c r="N880" s="20"/>
      <c r="O880" s="14">
        <f>(I880-E880)/E880</f>
        <v>0.10989010989010986</v>
      </c>
      <c r="P880" s="71"/>
      <c r="Q880" s="20"/>
      <c r="R880" s="20"/>
      <c r="S880" s="20"/>
      <c r="T880" s="20"/>
      <c r="U880" s="20"/>
      <c r="V880" s="20"/>
      <c r="W880" s="20"/>
      <c r="X880" s="20"/>
      <c r="Y880" s="20"/>
      <c r="Z880" s="20"/>
      <c r="AA880" s="20"/>
      <c r="AB880" s="20"/>
      <c r="AC880" s="20"/>
    </row>
    <row r="881" spans="1:29">
      <c r="A881" s="207" t="s">
        <v>462</v>
      </c>
      <c r="B881" s="1"/>
      <c r="C881" s="203">
        <v>665793</v>
      </c>
      <c r="D881" s="203">
        <f>ROUND(($D$896/$C$896)*C881,0)</f>
        <v>40311</v>
      </c>
      <c r="E881" s="221">
        <f>$E$770</f>
        <v>0.83</v>
      </c>
      <c r="F881" s="221"/>
      <c r="G881" s="2">
        <f>ROUND(E881*$C881,0)</f>
        <v>552608</v>
      </c>
      <c r="H881" s="2">
        <f>ROUND(E881*$D881,0)</f>
        <v>33458</v>
      </c>
      <c r="I881" s="221">
        <v>0.88</v>
      </c>
      <c r="J881" s="205"/>
      <c r="K881" s="2">
        <f>ROUND(I881*$C881,0)</f>
        <v>585898</v>
      </c>
      <c r="M881" s="20"/>
      <c r="N881" s="20"/>
      <c r="O881" s="14">
        <f>(I881-E881)/E881</f>
        <v>6.0240963855421742E-2</v>
      </c>
      <c r="P881" s="71"/>
      <c r="Q881" s="20"/>
      <c r="R881" s="20"/>
      <c r="S881" s="20"/>
      <c r="T881" s="20"/>
      <c r="U881" s="20"/>
      <c r="V881" s="20"/>
      <c r="W881" s="20"/>
      <c r="X881" s="20"/>
      <c r="Y881" s="20"/>
      <c r="Z881" s="20"/>
      <c r="AA881" s="20"/>
      <c r="AB881" s="20"/>
      <c r="AC881" s="20"/>
    </row>
    <row r="882" spans="1:29">
      <c r="A882" s="193" t="s">
        <v>391</v>
      </c>
      <c r="B882" s="1"/>
      <c r="C882" s="203">
        <v>652626</v>
      </c>
      <c r="D882" s="203">
        <f>ROUND(($D$896/$C$896)*C882,0)</f>
        <v>39514</v>
      </c>
      <c r="E882" s="221">
        <f>$E$771</f>
        <v>6.03</v>
      </c>
      <c r="F882" s="221"/>
      <c r="G882" s="2">
        <f>ROUND(E882*$C882,0)</f>
        <v>3935335</v>
      </c>
      <c r="H882" s="2">
        <f>ROUND(E882*$D882,0)</f>
        <v>238269</v>
      </c>
      <c r="I882" s="221">
        <v>6.54</v>
      </c>
      <c r="J882" s="205"/>
      <c r="K882" s="2">
        <f>ROUND(I882*$C882,0)</f>
        <v>4268174</v>
      </c>
      <c r="M882" s="20"/>
      <c r="N882" s="20"/>
      <c r="O882" s="14">
        <f>(I882-E882)/E882</f>
        <v>8.4577114427860658E-2</v>
      </c>
      <c r="P882" s="71"/>
      <c r="Q882" s="20"/>
      <c r="R882" s="20"/>
      <c r="S882" s="20"/>
      <c r="T882" s="20"/>
      <c r="U882" s="20"/>
      <c r="V882" s="20"/>
      <c r="W882" s="20"/>
      <c r="X882" s="20"/>
      <c r="Y882" s="20"/>
      <c r="Z882" s="20"/>
      <c r="AA882" s="20"/>
      <c r="AB882" s="20"/>
      <c r="AC882" s="20"/>
    </row>
    <row r="883" spans="1:29">
      <c r="A883" s="207" t="s">
        <v>414</v>
      </c>
      <c r="B883" s="1"/>
      <c r="C883" s="159" t="s">
        <v>31</v>
      </c>
      <c r="D883" s="203"/>
      <c r="E883" s="221" t="s">
        <v>31</v>
      </c>
      <c r="F883" s="221"/>
      <c r="G883" s="2"/>
      <c r="H883" s="2"/>
      <c r="I883" s="221" t="s">
        <v>31</v>
      </c>
      <c r="J883" s="205"/>
      <c r="K883" s="2"/>
      <c r="M883" s="20"/>
      <c r="N883" s="20"/>
      <c r="O883" s="204"/>
      <c r="P883" s="71"/>
      <c r="Q883" s="20"/>
      <c r="R883" s="20"/>
      <c r="S883" s="20"/>
      <c r="T883" s="20"/>
      <c r="U883" s="20"/>
      <c r="V883" s="20"/>
      <c r="W883" s="20"/>
      <c r="X883" s="20"/>
      <c r="Y883" s="20"/>
      <c r="Z883" s="20"/>
      <c r="AA883" s="20"/>
      <c r="AB883" s="20"/>
      <c r="AC883" s="20"/>
    </row>
    <row r="884" spans="1:29">
      <c r="A884" s="207" t="s">
        <v>452</v>
      </c>
      <c r="B884" s="1"/>
      <c r="C884" s="203">
        <v>437324800</v>
      </c>
      <c r="D884" s="203">
        <f>ROUND(($D$896/$C$896)*C884,0)</f>
        <v>26478236</v>
      </c>
      <c r="E884" s="279">
        <f>$E$773</f>
        <v>3.4990000000000001</v>
      </c>
      <c r="F884" s="205" t="s">
        <v>362</v>
      </c>
      <c r="G884" s="2">
        <f>ROUND(E884/100*$C884,0)</f>
        <v>15301995</v>
      </c>
      <c r="H884" s="2">
        <f>ROUND(E884/100*$D884,0)</f>
        <v>926473</v>
      </c>
      <c r="I884" s="279">
        <v>3.8660000000000001</v>
      </c>
      <c r="J884" s="205" t="s">
        <v>362</v>
      </c>
      <c r="K884" s="2">
        <f>ROUND(I884/100*$C884,0)</f>
        <v>16906977</v>
      </c>
      <c r="M884" s="20"/>
      <c r="N884" s="20"/>
      <c r="O884" s="14">
        <f>(I884-E884)/E884</f>
        <v>0.10488711060302944</v>
      </c>
      <c r="P884" s="71"/>
      <c r="Q884" s="20"/>
      <c r="R884" s="20"/>
      <c r="S884" s="20"/>
      <c r="T884" s="20"/>
      <c r="U884" s="20"/>
      <c r="V884" s="20"/>
      <c r="W884" s="20"/>
      <c r="X884" s="20"/>
      <c r="Y884" s="20"/>
      <c r="Z884" s="20"/>
      <c r="AA884" s="20"/>
      <c r="AB884" s="20"/>
      <c r="AC884" s="20"/>
    </row>
    <row r="885" spans="1:29">
      <c r="A885" s="207" t="s">
        <v>388</v>
      </c>
      <c r="B885" s="1"/>
      <c r="C885" s="203">
        <v>169216</v>
      </c>
      <c r="D885" s="203">
        <f>ROUND(($D$896/$C$896)*C885,0)</f>
        <v>10245</v>
      </c>
      <c r="E885" s="221">
        <f>$E$774</f>
        <v>0.45</v>
      </c>
      <c r="F885" s="205"/>
      <c r="G885" s="2">
        <f>ROUND(E885*$C885,0)</f>
        <v>76147</v>
      </c>
      <c r="H885" s="2">
        <f>ROUND(E885*$D885,0)</f>
        <v>4610</v>
      </c>
      <c r="I885" s="221">
        <v>0.5</v>
      </c>
      <c r="J885" s="205"/>
      <c r="K885" s="2">
        <f>ROUND(I885*$C885,0)</f>
        <v>84608</v>
      </c>
      <c r="M885" s="20"/>
      <c r="N885" s="20"/>
      <c r="O885" s="14">
        <f>(I885-E885)/E885</f>
        <v>0.11111111111111108</v>
      </c>
      <c r="P885" s="71"/>
      <c r="Q885" s="20"/>
      <c r="R885" s="20"/>
      <c r="S885" s="20"/>
      <c r="T885" s="20"/>
      <c r="U885" s="20"/>
      <c r="V885" s="20"/>
      <c r="W885" s="20"/>
      <c r="X885" s="20"/>
      <c r="Y885" s="20"/>
      <c r="Z885" s="20"/>
      <c r="AA885" s="20"/>
      <c r="AB885" s="20"/>
      <c r="AC885" s="20"/>
    </row>
    <row r="886" spans="1:29">
      <c r="A886" s="244" t="s">
        <v>389</v>
      </c>
      <c r="B886" s="1"/>
      <c r="C886" s="203"/>
      <c r="D886" s="203"/>
      <c r="E886" s="216">
        <v>-0.01</v>
      </c>
      <c r="F886" s="216"/>
      <c r="G886" s="2"/>
      <c r="H886" s="2"/>
      <c r="I886" s="216">
        <v>-0.01</v>
      </c>
      <c r="J886" s="245"/>
      <c r="K886" s="2"/>
      <c r="M886" s="20"/>
      <c r="N886" s="20"/>
      <c r="O886" s="71"/>
      <c r="P886" s="71"/>
      <c r="Q886" s="20"/>
      <c r="R886" s="20"/>
      <c r="S886" s="20"/>
      <c r="T886" s="20"/>
      <c r="U886" s="20"/>
      <c r="V886" s="20"/>
      <c r="W886" s="20"/>
      <c r="X886" s="20"/>
      <c r="Y886" s="20"/>
      <c r="Z886" s="20"/>
      <c r="AA886" s="20"/>
      <c r="AB886" s="20"/>
      <c r="AC886" s="20"/>
    </row>
    <row r="887" spans="1:29">
      <c r="A887" s="207" t="s">
        <v>459</v>
      </c>
      <c r="B887" s="1"/>
      <c r="C887" s="203">
        <v>0</v>
      </c>
      <c r="D887" s="203">
        <v>0</v>
      </c>
      <c r="E887" s="218">
        <f>E877</f>
        <v>1205</v>
      </c>
      <c r="F887" s="218"/>
      <c r="G887" s="205">
        <f>ROUND(E887*$C887*$E$803,0)</f>
        <v>0</v>
      </c>
      <c r="H887" s="205">
        <f>ROUND(E887*$D887*$E$803,0)</f>
        <v>0</v>
      </c>
      <c r="I887" s="218">
        <f>I877</f>
        <v>1330</v>
      </c>
      <c r="J887" s="205"/>
      <c r="K887" s="205">
        <f>ROUND(I887*$C887*$E$803,0)</f>
        <v>0</v>
      </c>
      <c r="M887" s="20"/>
      <c r="N887" s="20"/>
      <c r="O887" s="71"/>
      <c r="P887" s="71"/>
      <c r="Q887" s="20"/>
      <c r="R887" s="20"/>
      <c r="S887" s="20"/>
      <c r="T887" s="20"/>
      <c r="U887" s="20"/>
      <c r="V887" s="20"/>
      <c r="W887" s="20"/>
      <c r="X887" s="20"/>
      <c r="Y887" s="20"/>
      <c r="Z887" s="20"/>
      <c r="AA887" s="20"/>
      <c r="AB887" s="20"/>
      <c r="AC887" s="20"/>
    </row>
    <row r="888" spans="1:29">
      <c r="A888" s="207" t="s">
        <v>460</v>
      </c>
      <c r="B888" s="1"/>
      <c r="C888" s="203">
        <v>12</v>
      </c>
      <c r="D888" s="203">
        <v>12</v>
      </c>
      <c r="E888" s="218">
        <f>E878</f>
        <v>1450</v>
      </c>
      <c r="F888" s="218"/>
      <c r="G888" s="205">
        <f>ROUND(E888*$C888*$E$803,0)</f>
        <v>-174</v>
      </c>
      <c r="H888" s="205">
        <f>ROUND(E888*$D888*$E$803,0)</f>
        <v>-174</v>
      </c>
      <c r="I888" s="218">
        <f>I878</f>
        <v>1550</v>
      </c>
      <c r="J888" s="205"/>
      <c r="K888" s="205">
        <f>ROUND(I888*$C888*$E$803,0)</f>
        <v>-186</v>
      </c>
      <c r="M888" s="20"/>
      <c r="N888" s="20"/>
      <c r="O888" s="66" t="e">
        <f>O898-K898</f>
        <v>#REF!</v>
      </c>
      <c r="P888" s="71"/>
      <c r="Q888" s="20"/>
      <c r="R888" s="20"/>
      <c r="S888" s="20"/>
      <c r="T888" s="20"/>
      <c r="U888" s="20"/>
      <c r="V888" s="20"/>
      <c r="W888" s="20"/>
      <c r="X888" s="20"/>
      <c r="Y888" s="20"/>
      <c r="Z888" s="20"/>
      <c r="AA888" s="20"/>
      <c r="AB888" s="20"/>
      <c r="AC888" s="20"/>
    </row>
    <row r="889" spans="1:29">
      <c r="A889" s="207" t="s">
        <v>461</v>
      </c>
      <c r="B889" s="1"/>
      <c r="C889" s="203">
        <v>0</v>
      </c>
      <c r="D889" s="203">
        <v>0</v>
      </c>
      <c r="E889" s="218">
        <f>E880</f>
        <v>0.91</v>
      </c>
      <c r="F889" s="218"/>
      <c r="G889" s="205">
        <f>ROUND(E889*$C889*$E$803,0)</f>
        <v>0</v>
      </c>
      <c r="H889" s="205">
        <f>ROUND(E889*$D889*$E$803,0)</f>
        <v>0</v>
      </c>
      <c r="I889" s="218">
        <f>I880</f>
        <v>1.01</v>
      </c>
      <c r="J889" s="205"/>
      <c r="K889" s="205">
        <f>ROUND(I889*$C889*$E$803,0)</f>
        <v>0</v>
      </c>
      <c r="M889" s="20"/>
      <c r="N889" s="20"/>
      <c r="O889" s="71"/>
      <c r="P889" s="71"/>
      <c r="Q889" s="20"/>
      <c r="R889" s="20"/>
      <c r="S889" s="20"/>
      <c r="T889" s="20"/>
      <c r="U889" s="20"/>
      <c r="V889" s="20"/>
      <c r="W889" s="20"/>
      <c r="X889" s="20"/>
      <c r="Y889" s="20"/>
      <c r="Z889" s="20"/>
      <c r="AA889" s="20"/>
      <c r="AB889" s="20"/>
      <c r="AC889" s="20"/>
    </row>
    <row r="890" spans="1:29">
      <c r="A890" s="207" t="s">
        <v>462</v>
      </c>
      <c r="B890" s="1"/>
      <c r="C890" s="203">
        <f>C881</f>
        <v>665793</v>
      </c>
      <c r="D890" s="203">
        <f>ROUND(($D$896/$C$896)*C890,0)</f>
        <v>40311</v>
      </c>
      <c r="E890" s="218">
        <f>E881</f>
        <v>0.83</v>
      </c>
      <c r="F890" s="218"/>
      <c r="G890" s="205">
        <f>ROUND(E890*$C890*$E$803,0)</f>
        <v>-5526</v>
      </c>
      <c r="H890" s="205">
        <f>ROUND(E890*$D890*$E$803,0)</f>
        <v>-335</v>
      </c>
      <c r="I890" s="218">
        <f>I881</f>
        <v>0.88</v>
      </c>
      <c r="J890" s="205"/>
      <c r="K890" s="205">
        <f>ROUND(I890*$C890*$E$803,0)</f>
        <v>-5859</v>
      </c>
      <c r="M890" s="20"/>
      <c r="N890" s="20"/>
      <c r="O890" s="71"/>
      <c r="P890" s="71"/>
      <c r="Q890" s="20"/>
      <c r="R890" s="20"/>
      <c r="S890" s="20"/>
      <c r="T890" s="20"/>
      <c r="U890" s="20"/>
      <c r="V890" s="20"/>
      <c r="W890" s="20"/>
      <c r="X890" s="20"/>
      <c r="Y890" s="20"/>
      <c r="Z890" s="20"/>
      <c r="AA890" s="20"/>
      <c r="AB890" s="20"/>
      <c r="AC890" s="20"/>
    </row>
    <row r="891" spans="1:29">
      <c r="A891" s="193" t="s">
        <v>391</v>
      </c>
      <c r="B891" s="264"/>
      <c r="C891" s="203">
        <f>C882</f>
        <v>652626</v>
      </c>
      <c r="D891" s="203">
        <f>ROUND(($D$896/$C$896)*C891,0)</f>
        <v>39514</v>
      </c>
      <c r="E891" s="218">
        <f>E882</f>
        <v>6.03</v>
      </c>
      <c r="F891" s="221"/>
      <c r="G891" s="205">
        <f>ROUND(E891*$C891*$E$803,0)</f>
        <v>-39353</v>
      </c>
      <c r="H891" s="205">
        <f>ROUND(E891*$D891*$E$803,0)</f>
        <v>-2383</v>
      </c>
      <c r="I891" s="218">
        <f>I882</f>
        <v>6.54</v>
      </c>
      <c r="J891" s="205"/>
      <c r="K891" s="205">
        <f>ROUND(I891*$C891*$E$803,0)</f>
        <v>-42682</v>
      </c>
      <c r="M891" s="20"/>
      <c r="N891" s="20"/>
      <c r="O891" s="71"/>
      <c r="P891" s="71"/>
      <c r="Q891" s="20"/>
      <c r="R891" s="20"/>
      <c r="S891" s="20"/>
      <c r="T891" s="20"/>
      <c r="U891" s="20"/>
      <c r="V891" s="20"/>
      <c r="W891" s="20"/>
      <c r="X891" s="20"/>
      <c r="Y891" s="20"/>
      <c r="Z891" s="20"/>
      <c r="AA891" s="20"/>
      <c r="AB891" s="20"/>
      <c r="AC891" s="20"/>
    </row>
    <row r="892" spans="1:29">
      <c r="A892" s="207" t="s">
        <v>452</v>
      </c>
      <c r="B892" s="1"/>
      <c r="C892" s="203">
        <f>C884</f>
        <v>437324800</v>
      </c>
      <c r="D892" s="203">
        <f>ROUND(($D$896/$C$896)*C892,0)</f>
        <v>26478236</v>
      </c>
      <c r="E892" s="219">
        <f>E884</f>
        <v>3.4990000000000001</v>
      </c>
      <c r="F892" s="205" t="s">
        <v>362</v>
      </c>
      <c r="G892" s="205">
        <f>ROUND(E892/100*$C892*$E$803,0)</f>
        <v>-153020</v>
      </c>
      <c r="H892" s="205">
        <f>ROUND(E892/100*$D892*$E$803,0)</f>
        <v>-9265</v>
      </c>
      <c r="I892" s="219">
        <f>I884</f>
        <v>3.8660000000000001</v>
      </c>
      <c r="J892" s="205" t="s">
        <v>362</v>
      </c>
      <c r="K892" s="205">
        <f>ROUND(I892/100*$C892*$E$803,0)</f>
        <v>-169070</v>
      </c>
      <c r="M892" s="20"/>
      <c r="N892" s="20"/>
      <c r="O892" s="71"/>
      <c r="P892" s="71"/>
      <c r="Q892" s="20"/>
      <c r="R892" s="20"/>
      <c r="S892" s="20"/>
      <c r="T892" s="20"/>
      <c r="U892" s="20"/>
      <c r="V892" s="20"/>
      <c r="W892" s="20"/>
      <c r="X892" s="20"/>
      <c r="Y892" s="20"/>
      <c r="Z892" s="20"/>
      <c r="AA892" s="20"/>
      <c r="AB892" s="20"/>
      <c r="AC892" s="20"/>
    </row>
    <row r="893" spans="1:29">
      <c r="A893" s="207" t="s">
        <v>388</v>
      </c>
      <c r="B893" s="1"/>
      <c r="C893" s="203">
        <f>C885</f>
        <v>169216</v>
      </c>
      <c r="D893" s="203">
        <f>ROUND(($D$896/$C$896)*C893,0)</f>
        <v>10245</v>
      </c>
      <c r="E893" s="268">
        <f>E885</f>
        <v>0.45</v>
      </c>
      <c r="F893" s="205"/>
      <c r="G893" s="205">
        <f>ROUND(E893*$C893*$E$803,0)</f>
        <v>-761</v>
      </c>
      <c r="H893" s="205">
        <f>ROUND(E893*$D893*$E$803,0)</f>
        <v>-46</v>
      </c>
      <c r="I893" s="268">
        <f>I885</f>
        <v>0.5</v>
      </c>
      <c r="J893" s="205"/>
      <c r="K893" s="205">
        <f>ROUND(I893*$C893*$E$803,0)</f>
        <v>-846</v>
      </c>
      <c r="M893" s="20"/>
      <c r="N893" s="20"/>
      <c r="O893" s="71"/>
      <c r="P893" s="71"/>
      <c r="Q893" s="20"/>
      <c r="R893" s="20"/>
      <c r="S893" s="20"/>
      <c r="T893" s="20"/>
      <c r="U893" s="20"/>
      <c r="V893" s="20"/>
      <c r="W893" s="20"/>
      <c r="X893" s="20"/>
      <c r="Y893" s="20"/>
      <c r="Z893" s="20"/>
      <c r="AA893" s="20"/>
      <c r="AB893" s="20"/>
      <c r="AC893" s="20"/>
    </row>
    <row r="894" spans="1:29">
      <c r="A894" s="193" t="s">
        <v>463</v>
      </c>
      <c r="B894" s="1"/>
      <c r="C894" s="203">
        <v>12</v>
      </c>
      <c r="D894" s="203">
        <v>12</v>
      </c>
      <c r="E894" s="221">
        <f>$E$783</f>
        <v>60</v>
      </c>
      <c r="F894" s="221"/>
      <c r="G894" s="205">
        <f>ROUND(E894*$C894,0)</f>
        <v>720</v>
      </c>
      <c r="H894" s="205">
        <f>ROUND(E894*$D894,0)</f>
        <v>720</v>
      </c>
      <c r="I894" s="221">
        <f>$I$783</f>
        <v>60</v>
      </c>
      <c r="J894" s="205"/>
      <c r="K894" s="205">
        <f>ROUND(I894*$C894,0)</f>
        <v>720</v>
      </c>
      <c r="M894" s="20"/>
      <c r="N894" s="20"/>
      <c r="O894" s="71"/>
      <c r="P894" s="71"/>
      <c r="Q894" s="20"/>
      <c r="R894" s="20"/>
      <c r="S894" s="20"/>
      <c r="T894" s="20"/>
      <c r="U894" s="20"/>
      <c r="V894" s="20"/>
      <c r="W894" s="20"/>
      <c r="X894" s="20"/>
      <c r="Y894" s="20"/>
      <c r="Z894" s="20"/>
      <c r="AA894" s="20"/>
      <c r="AB894" s="20"/>
      <c r="AC894" s="20"/>
    </row>
    <row r="895" spans="1:29">
      <c r="A895" s="193" t="s">
        <v>432</v>
      </c>
      <c r="B895" s="1"/>
      <c r="C895" s="203">
        <f>C881</f>
        <v>665793</v>
      </c>
      <c r="D895" s="203">
        <f>ROUND(($D$896/$C$896)*C895,0)</f>
        <v>40311</v>
      </c>
      <c r="E895" s="221">
        <f>$E$784</f>
        <v>-0.75</v>
      </c>
      <c r="F895" s="205"/>
      <c r="G895" s="205">
        <f>ROUND(E895*$C895,0)</f>
        <v>-499345</v>
      </c>
      <c r="H895" s="205">
        <f>ROUND(E895*$D895,0)</f>
        <v>-30233</v>
      </c>
      <c r="I895" s="221">
        <f>$I$784</f>
        <v>-0.75</v>
      </c>
      <c r="J895" s="205"/>
      <c r="K895" s="205">
        <f>ROUND(I895*$C895,0)</f>
        <v>-499345</v>
      </c>
      <c r="M895" s="20"/>
      <c r="N895" s="20"/>
      <c r="O895" s="71"/>
      <c r="P895" s="71"/>
      <c r="Q895" s="20"/>
      <c r="R895" s="20"/>
      <c r="S895" s="20"/>
      <c r="T895" s="20"/>
      <c r="U895" s="20"/>
      <c r="V895" s="20"/>
      <c r="W895" s="20"/>
      <c r="X895" s="20"/>
      <c r="Y895" s="20"/>
      <c r="Z895" s="20"/>
      <c r="AA895" s="20"/>
      <c r="AB895" s="20"/>
      <c r="AC895" s="20"/>
    </row>
    <row r="896" spans="1:29">
      <c r="A896" s="1" t="s">
        <v>369</v>
      </c>
      <c r="B896" s="1"/>
      <c r="C896" s="203">
        <f>C884</f>
        <v>437324800</v>
      </c>
      <c r="D896" s="203">
        <v>26478236.454041336</v>
      </c>
      <c r="E896" s="214"/>
      <c r="F896" s="2"/>
      <c r="G896" s="2">
        <f>SUM(G877:G895)</f>
        <v>19186026</v>
      </c>
      <c r="H896" s="2">
        <f>SUM(H877:H895)</f>
        <v>1178494</v>
      </c>
      <c r="I896" s="214"/>
      <c r="J896" s="1"/>
      <c r="K896" s="2">
        <f>SUM(K877:K895)</f>
        <v>21146989</v>
      </c>
      <c r="M896" s="20"/>
      <c r="N896" s="20"/>
      <c r="O896" s="71"/>
      <c r="P896" s="71"/>
      <c r="Q896" s="20"/>
      <c r="R896" s="20"/>
      <c r="S896" s="20"/>
      <c r="T896" s="20"/>
      <c r="U896" s="20"/>
      <c r="V896" s="20"/>
      <c r="W896" s="20"/>
      <c r="X896" s="20"/>
      <c r="Y896" s="20"/>
      <c r="Z896" s="20"/>
      <c r="AA896" s="20"/>
      <c r="AB896" s="20"/>
      <c r="AC896" s="20"/>
    </row>
    <row r="897" spans="1:29">
      <c r="A897" s="1" t="s">
        <v>351</v>
      </c>
      <c r="B897" s="1"/>
      <c r="C897" s="203" t="e">
        <f>#REF!</f>
        <v>#REF!</v>
      </c>
      <c r="D897" s="203">
        <v>0</v>
      </c>
      <c r="E897" s="193"/>
      <c r="F897" s="193"/>
      <c r="G897" s="225" t="e">
        <f>#REF!</f>
        <v>#REF!</v>
      </c>
      <c r="H897" s="225">
        <v>0</v>
      </c>
      <c r="I897" s="193"/>
      <c r="J897" s="193"/>
      <c r="K897" s="225" t="e">
        <f>G897</f>
        <v>#REF!</v>
      </c>
      <c r="M897" s="328"/>
      <c r="N897" s="328"/>
      <c r="O897" s="171"/>
      <c r="P897" s="71"/>
      <c r="Q897" s="20"/>
      <c r="R897" s="20"/>
      <c r="S897" s="20"/>
      <c r="T897" s="20"/>
      <c r="U897" s="20"/>
      <c r="V897" s="20"/>
      <c r="W897" s="20"/>
      <c r="X897" s="20"/>
      <c r="Y897" s="20"/>
      <c r="Z897" s="20"/>
      <c r="AA897" s="20"/>
      <c r="AB897" s="20"/>
      <c r="AC897" s="20"/>
    </row>
    <row r="898" spans="1:29" ht="16.5" thickBot="1">
      <c r="A898" s="1" t="s">
        <v>370</v>
      </c>
      <c r="B898" s="1"/>
      <c r="C898" s="277" t="e">
        <f>SUM(C896)+C897</f>
        <v>#REF!</v>
      </c>
      <c r="D898" s="277">
        <f>SUM(D884)+D897</f>
        <v>26478236</v>
      </c>
      <c r="E898" s="226"/>
      <c r="F898" s="227"/>
      <c r="G898" s="228" t="e">
        <f>G896+G897</f>
        <v>#REF!</v>
      </c>
      <c r="H898" s="228">
        <f>H896+H897</f>
        <v>1178494</v>
      </c>
      <c r="I898" s="226"/>
      <c r="J898" s="229"/>
      <c r="K898" s="228" t="e">
        <f>K896+K897</f>
        <v>#REF!</v>
      </c>
      <c r="M898" s="295"/>
      <c r="N898" s="3" t="s">
        <v>352</v>
      </c>
      <c r="O898" s="66" t="e">
        <f>#REF!*1000</f>
        <v>#REF!</v>
      </c>
      <c r="P898" s="71"/>
      <c r="Q898" s="20"/>
      <c r="R898" s="20"/>
      <c r="S898" s="20"/>
      <c r="T898" s="20"/>
      <c r="U898" s="20"/>
      <c r="V898" s="20"/>
      <c r="W898" s="20"/>
      <c r="X898" s="20"/>
      <c r="Y898" s="20"/>
      <c r="Z898" s="20"/>
      <c r="AA898" s="20"/>
      <c r="AB898" s="20"/>
      <c r="AC898" s="20"/>
    </row>
    <row r="899" spans="1:29" ht="16.5" thickTop="1">
      <c r="A899" s="1"/>
      <c r="B899" s="1"/>
      <c r="C899" s="21"/>
      <c r="D899" s="21"/>
      <c r="E899" s="221"/>
      <c r="F899" s="2"/>
      <c r="G899" s="2"/>
      <c r="H899" s="2"/>
      <c r="I899" s="237" t="s">
        <v>31</v>
      </c>
      <c r="J899" s="1"/>
      <c r="K899" s="2" t="s">
        <v>31</v>
      </c>
      <c r="M899" s="20"/>
      <c r="N899" s="3" t="s">
        <v>256</v>
      </c>
      <c r="P899" s="71"/>
      <c r="Q899" s="20"/>
      <c r="R899" s="20"/>
      <c r="S899" s="20"/>
      <c r="T899" s="20"/>
      <c r="U899" s="20"/>
      <c r="V899" s="20"/>
      <c r="W899" s="20"/>
      <c r="X899" s="20"/>
      <c r="Y899" s="20"/>
      <c r="Z899" s="20"/>
      <c r="AA899" s="20"/>
      <c r="AB899" s="20"/>
      <c r="AC899" s="20"/>
    </row>
    <row r="900" spans="1:29">
      <c r="A900" s="177" t="s">
        <v>470</v>
      </c>
      <c r="B900" s="1"/>
      <c r="C900" s="1"/>
      <c r="D900" s="1"/>
      <c r="E900" s="1"/>
      <c r="F900" s="1"/>
      <c r="G900" s="2"/>
      <c r="H900" s="2"/>
      <c r="I900" s="1"/>
      <c r="J900" s="1"/>
      <c r="K900" s="1"/>
      <c r="M900" s="20"/>
      <c r="N900" s="20"/>
      <c r="O900" s="71"/>
      <c r="P900" s="71"/>
      <c r="Q900" s="20"/>
      <c r="R900" s="20"/>
      <c r="S900" s="20"/>
      <c r="T900" s="20"/>
      <c r="U900" s="20"/>
      <c r="V900" s="20"/>
      <c r="W900" s="20"/>
      <c r="X900" s="20"/>
      <c r="Y900" s="20"/>
      <c r="Z900" s="20"/>
      <c r="AA900" s="20"/>
      <c r="AB900" s="20"/>
      <c r="AC900" s="20"/>
    </row>
    <row r="901" spans="1:29">
      <c r="A901" s="1" t="s">
        <v>573</v>
      </c>
      <c r="B901" s="1"/>
      <c r="C901" s="1"/>
      <c r="D901" s="1"/>
      <c r="E901" s="1"/>
      <c r="F901" s="1"/>
      <c r="G901" s="2"/>
      <c r="H901" s="2"/>
      <c r="I901" s="1"/>
      <c r="J901" s="1"/>
      <c r="K901" s="1"/>
      <c r="M901" s="162"/>
      <c r="N901" s="162"/>
      <c r="O901" s="162"/>
      <c r="P901" s="162"/>
      <c r="Q901" s="162"/>
      <c r="R901" s="162"/>
      <c r="S901" s="162"/>
      <c r="T901" s="162"/>
      <c r="U901" s="162"/>
      <c r="V901" s="162"/>
      <c r="W901" s="162"/>
      <c r="X901" s="162"/>
      <c r="Y901" s="20"/>
      <c r="Z901" s="20"/>
      <c r="AA901" s="20"/>
      <c r="AB901" s="20"/>
      <c r="AC901" s="20"/>
    </row>
    <row r="902" spans="1:29">
      <c r="A902" s="1" t="s">
        <v>574</v>
      </c>
      <c r="B902" s="1"/>
      <c r="C902" s="1"/>
      <c r="D902" s="1"/>
      <c r="E902" s="1"/>
      <c r="F902" s="1"/>
      <c r="G902" s="2"/>
      <c r="H902" s="2"/>
      <c r="I902" s="1"/>
      <c r="J902" s="1"/>
      <c r="K902" s="1"/>
      <c r="M902" s="162"/>
      <c r="N902" s="162"/>
      <c r="O902" s="162"/>
      <c r="P902" s="162"/>
      <c r="Q902" s="162"/>
      <c r="R902" s="162"/>
      <c r="S902" s="162"/>
      <c r="T902" s="162"/>
      <c r="U902" s="162"/>
      <c r="V902" s="162"/>
      <c r="W902" s="162"/>
      <c r="X902" s="162"/>
      <c r="Y902" s="20"/>
      <c r="Z902" s="20"/>
      <c r="AA902" s="20"/>
      <c r="AB902" s="20"/>
      <c r="AC902" s="20"/>
    </row>
    <row r="903" spans="1:29">
      <c r="A903" s="1" t="s">
        <v>472</v>
      </c>
      <c r="B903" s="1"/>
      <c r="C903" s="1"/>
      <c r="D903" s="1"/>
      <c r="E903" s="1"/>
      <c r="F903" s="1"/>
      <c r="G903" s="2"/>
      <c r="H903" s="2"/>
      <c r="I903" s="1"/>
      <c r="J903" s="1"/>
      <c r="K903" s="1"/>
      <c r="M903" s="162"/>
      <c r="N903" s="162"/>
      <c r="O903" s="162"/>
      <c r="P903" s="71"/>
      <c r="Q903" s="163"/>
      <c r="R903" s="164"/>
      <c r="S903" s="165"/>
      <c r="T903" s="166"/>
      <c r="U903" s="162"/>
      <c r="V903" s="162"/>
      <c r="W903" s="162"/>
      <c r="X903" s="162"/>
      <c r="Y903" s="20"/>
      <c r="Z903" s="20"/>
      <c r="AA903" s="20"/>
      <c r="AB903" s="20"/>
      <c r="AC903" s="20"/>
    </row>
    <row r="904" spans="1:29">
      <c r="A904" s="3" t="s">
        <v>346</v>
      </c>
      <c r="C904" s="148">
        <f>15020</f>
        <v>15020</v>
      </c>
      <c r="D904" s="148">
        <f t="shared" ref="D904:D913" si="73">ROUND(($D$923/$C$923)*C904,0)</f>
        <v>14891</v>
      </c>
      <c r="E904" s="149">
        <v>7.61</v>
      </c>
      <c r="G904" s="2">
        <f t="shared" ref="G904:G913" si="74">ROUND(E904*$C904,0)</f>
        <v>114302</v>
      </c>
      <c r="H904" s="2">
        <f t="shared" ref="H904:H913" si="75">ROUND(E904*$D904,0)</f>
        <v>113321</v>
      </c>
      <c r="I904" s="149" t="e">
        <f t="shared" ref="I904:I913" si="76">E904+(E904*$P$925)</f>
        <v>#REF!</v>
      </c>
      <c r="K904" s="2" t="e">
        <f t="shared" ref="K904:K913" si="77">ROUND(I904*$C904,0)</f>
        <v>#REF!</v>
      </c>
      <c r="M904" s="81" t="e">
        <f t="shared" ref="M904:M913" si="78">I904*D904</f>
        <v>#REF!</v>
      </c>
      <c r="O904" s="282">
        <v>31</v>
      </c>
      <c r="P904" s="283">
        <f t="shared" ref="P904:P913" si="79">O904*D904</f>
        <v>461621</v>
      </c>
      <c r="Q904" s="284" t="e">
        <f t="shared" ref="Q904:Q913" si="80">$P$924*O904</f>
        <v>#REF!</v>
      </c>
      <c r="R904" s="285" t="e">
        <f t="shared" ref="R904:R913" si="81">ROUND(E904+Q904,2)</f>
        <v>#REF!</v>
      </c>
      <c r="S904" s="168"/>
      <c r="T904" s="162"/>
      <c r="U904" s="165"/>
      <c r="V904" s="165"/>
      <c r="W904" s="169"/>
      <c r="X904" s="165"/>
      <c r="Y904" s="20"/>
      <c r="Z904" s="20"/>
      <c r="AA904" s="20"/>
      <c r="AB904" s="20"/>
      <c r="AC904" s="20"/>
    </row>
    <row r="905" spans="1:29">
      <c r="A905" s="3" t="s">
        <v>473</v>
      </c>
      <c r="C905" s="148">
        <f>15262</f>
        <v>15262</v>
      </c>
      <c r="D905" s="148">
        <f t="shared" si="73"/>
        <v>15131</v>
      </c>
      <c r="E905" s="149">
        <v>9.1300000000000008</v>
      </c>
      <c r="G905" s="2">
        <f t="shared" si="74"/>
        <v>139342</v>
      </c>
      <c r="H905" s="2">
        <f t="shared" si="75"/>
        <v>138146</v>
      </c>
      <c r="I905" s="149" t="e">
        <f t="shared" si="76"/>
        <v>#REF!</v>
      </c>
      <c r="K905" s="2" t="e">
        <f t="shared" si="77"/>
        <v>#REF!</v>
      </c>
      <c r="M905" s="81" t="e">
        <f t="shared" si="78"/>
        <v>#REF!</v>
      </c>
      <c r="O905" s="286">
        <v>44</v>
      </c>
      <c r="P905" s="71">
        <f t="shared" si="79"/>
        <v>665764</v>
      </c>
      <c r="Q905" s="287" t="e">
        <f t="shared" si="80"/>
        <v>#REF!</v>
      </c>
      <c r="R905" s="288" t="e">
        <f t="shared" si="81"/>
        <v>#REF!</v>
      </c>
      <c r="S905" s="162"/>
      <c r="T905" s="162"/>
      <c r="U905" s="165"/>
      <c r="V905" s="165"/>
      <c r="W905" s="169"/>
      <c r="X905" s="165"/>
      <c r="Y905" s="20"/>
      <c r="Z905" s="20"/>
      <c r="AA905" s="20"/>
      <c r="AB905" s="20"/>
      <c r="AC905" s="20"/>
    </row>
    <row r="906" spans="1:29">
      <c r="A906" s="3" t="s">
        <v>576</v>
      </c>
      <c r="C906" s="148">
        <v>0</v>
      </c>
      <c r="D906" s="148">
        <f t="shared" si="73"/>
        <v>0</v>
      </c>
      <c r="E906" s="149">
        <v>29.01</v>
      </c>
      <c r="G906" s="2">
        <f t="shared" si="74"/>
        <v>0</v>
      </c>
      <c r="H906" s="2">
        <f t="shared" si="75"/>
        <v>0</v>
      </c>
      <c r="I906" s="149" t="e">
        <f t="shared" si="76"/>
        <v>#REF!</v>
      </c>
      <c r="K906" s="2" t="e">
        <f t="shared" si="77"/>
        <v>#REF!</v>
      </c>
      <c r="M906" s="81" t="e">
        <f t="shared" si="78"/>
        <v>#REF!</v>
      </c>
      <c r="O906" s="286">
        <v>44</v>
      </c>
      <c r="P906" s="71">
        <f t="shared" si="79"/>
        <v>0</v>
      </c>
      <c r="Q906" s="287" t="e">
        <f t="shared" si="80"/>
        <v>#REF!</v>
      </c>
      <c r="R906" s="288" t="e">
        <f t="shared" si="81"/>
        <v>#REF!</v>
      </c>
      <c r="S906" s="162"/>
      <c r="T906" s="162"/>
      <c r="U906" s="165"/>
      <c r="V906" s="165"/>
      <c r="W906" s="169"/>
      <c r="X906" s="165"/>
      <c r="Y906" s="20"/>
      <c r="Z906" s="20"/>
      <c r="AA906" s="20"/>
      <c r="AB906" s="20"/>
      <c r="AC906" s="20"/>
    </row>
    <row r="907" spans="1:29">
      <c r="A907" s="3" t="s">
        <v>577</v>
      </c>
      <c r="C907" s="148">
        <v>0</v>
      </c>
      <c r="D907" s="148">
        <f t="shared" si="73"/>
        <v>0</v>
      </c>
      <c r="E907" s="149">
        <v>22.56</v>
      </c>
      <c r="G907" s="2">
        <f t="shared" si="74"/>
        <v>0</v>
      </c>
      <c r="H907" s="2">
        <f t="shared" si="75"/>
        <v>0</v>
      </c>
      <c r="I907" s="149" t="e">
        <f t="shared" si="76"/>
        <v>#REF!</v>
      </c>
      <c r="K907" s="2" t="e">
        <f t="shared" si="77"/>
        <v>#REF!</v>
      </c>
      <c r="M907" s="81" t="e">
        <f t="shared" si="78"/>
        <v>#REF!</v>
      </c>
      <c r="O907" s="286">
        <v>44</v>
      </c>
      <c r="P907" s="71">
        <f t="shared" si="79"/>
        <v>0</v>
      </c>
      <c r="Q907" s="287" t="e">
        <f t="shared" si="80"/>
        <v>#REF!</v>
      </c>
      <c r="R907" s="288" t="e">
        <f t="shared" si="81"/>
        <v>#REF!</v>
      </c>
      <c r="S907" s="162"/>
      <c r="T907" s="162"/>
      <c r="U907" s="165"/>
      <c r="V907" s="165"/>
      <c r="W907" s="169"/>
      <c r="X907" s="165"/>
      <c r="Y907" s="20"/>
      <c r="Z907" s="20"/>
      <c r="AA907" s="20"/>
      <c r="AB907" s="20"/>
      <c r="AC907" s="20"/>
    </row>
    <row r="908" spans="1:29">
      <c r="A908" s="3" t="s">
        <v>571</v>
      </c>
      <c r="C908" s="148">
        <v>0</v>
      </c>
      <c r="D908" s="148">
        <f t="shared" si="73"/>
        <v>0</v>
      </c>
      <c r="E908" s="149">
        <v>11.68</v>
      </c>
      <c r="G908" s="2">
        <f t="shared" si="74"/>
        <v>0</v>
      </c>
      <c r="H908" s="2">
        <f t="shared" si="75"/>
        <v>0</v>
      </c>
      <c r="I908" s="149" t="e">
        <f t="shared" si="76"/>
        <v>#REF!</v>
      </c>
      <c r="K908" s="2" t="e">
        <f t="shared" si="77"/>
        <v>#REF!</v>
      </c>
      <c r="M908" s="81" t="e">
        <f t="shared" si="78"/>
        <v>#REF!</v>
      </c>
      <c r="O908" s="286">
        <v>64</v>
      </c>
      <c r="P908" s="71">
        <f t="shared" si="79"/>
        <v>0</v>
      </c>
      <c r="Q908" s="287" t="e">
        <f t="shared" si="80"/>
        <v>#REF!</v>
      </c>
      <c r="R908" s="288" t="e">
        <f t="shared" si="81"/>
        <v>#REF!</v>
      </c>
      <c r="S908" s="162"/>
      <c r="T908" s="162"/>
      <c r="U908" s="165"/>
      <c r="V908" s="165"/>
      <c r="W908" s="169"/>
      <c r="X908" s="165"/>
      <c r="Y908" s="20"/>
      <c r="Z908" s="20"/>
      <c r="AA908" s="20"/>
      <c r="AB908" s="20"/>
      <c r="AC908" s="20"/>
    </row>
    <row r="909" spans="1:29">
      <c r="A909" s="3" t="s">
        <v>578</v>
      </c>
      <c r="C909" s="148">
        <v>0</v>
      </c>
      <c r="D909" s="148">
        <f t="shared" si="73"/>
        <v>0</v>
      </c>
      <c r="E909" s="149">
        <v>30.06</v>
      </c>
      <c r="G909" s="2">
        <f t="shared" si="74"/>
        <v>0</v>
      </c>
      <c r="H909" s="2">
        <f t="shared" si="75"/>
        <v>0</v>
      </c>
      <c r="I909" s="149" t="e">
        <f t="shared" si="76"/>
        <v>#REF!</v>
      </c>
      <c r="K909" s="2" t="e">
        <f t="shared" si="77"/>
        <v>#REF!</v>
      </c>
      <c r="M909" s="81" t="e">
        <f t="shared" si="78"/>
        <v>#REF!</v>
      </c>
      <c r="O909" s="286">
        <v>64</v>
      </c>
      <c r="P909" s="71">
        <f t="shared" si="79"/>
        <v>0</v>
      </c>
      <c r="Q909" s="287" t="e">
        <f t="shared" si="80"/>
        <v>#REF!</v>
      </c>
      <c r="R909" s="288" t="e">
        <f t="shared" si="81"/>
        <v>#REF!</v>
      </c>
      <c r="S909" s="162"/>
      <c r="T909" s="162"/>
      <c r="U909" s="165"/>
      <c r="V909" s="165"/>
      <c r="W909" s="169"/>
      <c r="X909" s="165"/>
      <c r="Y909" s="20"/>
      <c r="Z909" s="20"/>
      <c r="AA909" s="20"/>
      <c r="AB909" s="20"/>
      <c r="AC909" s="20"/>
    </row>
    <row r="910" spans="1:29">
      <c r="A910" s="3" t="s">
        <v>579</v>
      </c>
      <c r="C910" s="148">
        <v>0</v>
      </c>
      <c r="D910" s="148">
        <f t="shared" si="73"/>
        <v>0</v>
      </c>
      <c r="E910" s="149">
        <v>23.65</v>
      </c>
      <c r="G910" s="2">
        <f t="shared" si="74"/>
        <v>0</v>
      </c>
      <c r="H910" s="2">
        <f t="shared" si="75"/>
        <v>0</v>
      </c>
      <c r="I910" s="149" t="e">
        <f t="shared" si="76"/>
        <v>#REF!</v>
      </c>
      <c r="K910" s="2" t="e">
        <f t="shared" si="77"/>
        <v>#REF!</v>
      </c>
      <c r="M910" s="81" t="e">
        <f t="shared" si="78"/>
        <v>#REF!</v>
      </c>
      <c r="O910" s="286">
        <v>64</v>
      </c>
      <c r="P910" s="71">
        <f t="shared" si="79"/>
        <v>0</v>
      </c>
      <c r="Q910" s="287" t="e">
        <f t="shared" si="80"/>
        <v>#REF!</v>
      </c>
      <c r="R910" s="288" t="e">
        <f t="shared" si="81"/>
        <v>#REF!</v>
      </c>
      <c r="S910" s="162"/>
      <c r="T910" s="162"/>
      <c r="U910" s="165"/>
      <c r="V910" s="165"/>
      <c r="W910" s="169"/>
      <c r="X910" s="165"/>
      <c r="Y910" s="20"/>
      <c r="Z910" s="20"/>
      <c r="AA910" s="20"/>
      <c r="AB910" s="20"/>
      <c r="AC910" s="20"/>
    </row>
    <row r="911" spans="1:29">
      <c r="A911" s="3" t="s">
        <v>347</v>
      </c>
      <c r="C911" s="148">
        <f>18290</f>
        <v>18290</v>
      </c>
      <c r="D911" s="148">
        <f t="shared" si="73"/>
        <v>18133</v>
      </c>
      <c r="E911" s="149">
        <v>13.33</v>
      </c>
      <c r="G911" s="2">
        <f t="shared" si="74"/>
        <v>243806</v>
      </c>
      <c r="H911" s="2">
        <f t="shared" si="75"/>
        <v>241713</v>
      </c>
      <c r="I911" s="149" t="e">
        <f t="shared" si="76"/>
        <v>#REF!</v>
      </c>
      <c r="K911" s="2" t="e">
        <f t="shared" si="77"/>
        <v>#REF!</v>
      </c>
      <c r="M911" s="81" t="e">
        <f t="shared" si="78"/>
        <v>#REF!</v>
      </c>
      <c r="O911" s="286">
        <v>85</v>
      </c>
      <c r="P911" s="71">
        <f t="shared" si="79"/>
        <v>1541305</v>
      </c>
      <c r="Q911" s="287" t="e">
        <f t="shared" si="80"/>
        <v>#REF!</v>
      </c>
      <c r="R911" s="288" t="e">
        <f t="shared" si="81"/>
        <v>#REF!</v>
      </c>
      <c r="S911" s="162"/>
      <c r="T911" s="162"/>
      <c r="U911" s="165"/>
      <c r="V911" s="165"/>
      <c r="W911" s="169"/>
      <c r="X911" s="165"/>
      <c r="Y911" s="20"/>
      <c r="Z911" s="20"/>
      <c r="AA911" s="20"/>
      <c r="AB911" s="20"/>
      <c r="AC911" s="20"/>
    </row>
    <row r="912" spans="1:29">
      <c r="A912" s="3" t="s">
        <v>572</v>
      </c>
      <c r="C912" s="148">
        <v>0</v>
      </c>
      <c r="D912" s="148">
        <f t="shared" si="73"/>
        <v>0</v>
      </c>
      <c r="E912" s="149">
        <v>16.91</v>
      </c>
      <c r="G912" s="2">
        <f t="shared" si="74"/>
        <v>0</v>
      </c>
      <c r="H912" s="2">
        <f t="shared" si="75"/>
        <v>0</v>
      </c>
      <c r="I912" s="149" t="e">
        <f t="shared" si="76"/>
        <v>#REF!</v>
      </c>
      <c r="K912" s="2" t="e">
        <f t="shared" si="77"/>
        <v>#REF!</v>
      </c>
      <c r="M912" s="81" t="e">
        <f t="shared" si="78"/>
        <v>#REF!</v>
      </c>
      <c r="O912" s="286">
        <v>115</v>
      </c>
      <c r="P912" s="71">
        <f t="shared" si="79"/>
        <v>0</v>
      </c>
      <c r="Q912" s="287" t="e">
        <f t="shared" si="80"/>
        <v>#REF!</v>
      </c>
      <c r="R912" s="288" t="e">
        <f t="shared" si="81"/>
        <v>#REF!</v>
      </c>
      <c r="S912" s="162"/>
      <c r="T912" s="162"/>
      <c r="U912" s="165"/>
      <c r="V912" s="165"/>
      <c r="W912" s="169"/>
      <c r="X912" s="165"/>
      <c r="Y912" s="20"/>
      <c r="Z912" s="20"/>
      <c r="AA912" s="20"/>
      <c r="AB912" s="20"/>
      <c r="AC912" s="20"/>
    </row>
    <row r="913" spans="1:29">
      <c r="A913" s="3" t="s">
        <v>348</v>
      </c>
      <c r="C913" s="148">
        <f>1621</f>
        <v>1621</v>
      </c>
      <c r="D913" s="148">
        <f t="shared" si="73"/>
        <v>1607</v>
      </c>
      <c r="E913" s="149">
        <v>22.32</v>
      </c>
      <c r="G913" s="2">
        <f t="shared" si="74"/>
        <v>36181</v>
      </c>
      <c r="H913" s="2">
        <f t="shared" si="75"/>
        <v>35868</v>
      </c>
      <c r="I913" s="149" t="e">
        <f t="shared" si="76"/>
        <v>#REF!</v>
      </c>
      <c r="K913" s="2" t="e">
        <f t="shared" si="77"/>
        <v>#REF!</v>
      </c>
      <c r="M913" s="81" t="e">
        <f t="shared" si="78"/>
        <v>#REF!</v>
      </c>
      <c r="O913" s="286">
        <v>176</v>
      </c>
      <c r="P913" s="71">
        <f t="shared" si="79"/>
        <v>282832</v>
      </c>
      <c r="Q913" s="287" t="e">
        <f t="shared" si="80"/>
        <v>#REF!</v>
      </c>
      <c r="R913" s="288" t="e">
        <f t="shared" si="81"/>
        <v>#REF!</v>
      </c>
      <c r="S913" s="162"/>
      <c r="T913" s="162"/>
      <c r="U913" s="165"/>
      <c r="V913" s="165"/>
      <c r="W913" s="169"/>
      <c r="X913" s="165"/>
      <c r="Y913" s="20"/>
      <c r="Z913" s="20"/>
      <c r="AA913" s="20"/>
      <c r="AB913" s="20"/>
      <c r="AC913" s="20"/>
    </row>
    <row r="914" spans="1:29">
      <c r="A914" s="3" t="s">
        <v>575</v>
      </c>
      <c r="C914" s="148"/>
      <c r="D914" s="148"/>
      <c r="E914" s="149"/>
      <c r="G914" s="2"/>
      <c r="H914" s="2"/>
      <c r="I914" s="149"/>
      <c r="K914" s="2"/>
      <c r="M914" s="81"/>
      <c r="O914" s="286"/>
      <c r="P914" s="71"/>
      <c r="Q914" s="287"/>
      <c r="R914" s="288"/>
      <c r="S914" s="162"/>
      <c r="T914" s="162"/>
      <c r="U914" s="165"/>
      <c r="V914" s="165"/>
      <c r="W914" s="169"/>
      <c r="X914" s="165"/>
      <c r="Y914" s="20"/>
      <c r="Z914" s="20"/>
      <c r="AA914" s="20"/>
      <c r="AB914" s="20"/>
      <c r="AC914" s="20"/>
    </row>
    <row r="915" spans="1:29">
      <c r="A915" s="3" t="s">
        <v>580</v>
      </c>
      <c r="C915" s="148">
        <v>0</v>
      </c>
      <c r="D915" s="148">
        <f t="shared" ref="D915:D921" si="82">ROUND(($D$923/$C$923)*C915,0)</f>
        <v>0</v>
      </c>
      <c r="E915" s="149">
        <v>29.33</v>
      </c>
      <c r="G915" s="2">
        <f t="shared" ref="G915:G921" si="83">ROUND(E915*$C915,0)</f>
        <v>0</v>
      </c>
      <c r="H915" s="2">
        <f t="shared" ref="H915:H921" si="84">ROUND(E915*$D915,0)</f>
        <v>0</v>
      </c>
      <c r="I915" s="149" t="e">
        <f t="shared" ref="I915:I921" si="85">E915+(E915*$P$925)</f>
        <v>#REF!</v>
      </c>
      <c r="K915" s="2" t="e">
        <f t="shared" ref="K915:K921" si="86">ROUND(I915*$C915,0)</f>
        <v>#REF!</v>
      </c>
      <c r="M915" s="81" t="e">
        <f t="shared" ref="M915:M921" si="87">I915*D915</f>
        <v>#REF!</v>
      </c>
      <c r="O915" s="286">
        <v>39</v>
      </c>
      <c r="P915" s="71">
        <f t="shared" ref="P915:P921" si="88">O915*D915</f>
        <v>0</v>
      </c>
      <c r="Q915" s="287" t="e">
        <f t="shared" ref="Q915:Q921" si="89">$P$924*O915</f>
        <v>#REF!</v>
      </c>
      <c r="R915" s="288" t="e">
        <f t="shared" ref="R915:R921" si="90">ROUND(E915+Q915,2)</f>
        <v>#REF!</v>
      </c>
      <c r="S915" s="162"/>
      <c r="T915" s="162"/>
      <c r="U915" s="165"/>
      <c r="V915" s="165"/>
      <c r="W915" s="169"/>
      <c r="X915" s="165"/>
      <c r="Y915" s="20"/>
      <c r="Z915" s="20"/>
      <c r="AA915" s="20"/>
      <c r="AB915" s="20"/>
      <c r="AC915" s="20"/>
    </row>
    <row r="916" spans="1:29">
      <c r="A916" s="3" t="s">
        <v>581</v>
      </c>
      <c r="C916" s="148">
        <v>0</v>
      </c>
      <c r="D916" s="148">
        <f t="shared" si="82"/>
        <v>0</v>
      </c>
      <c r="E916" s="149">
        <v>24.46</v>
      </c>
      <c r="G916" s="2">
        <f t="shared" si="83"/>
        <v>0</v>
      </c>
      <c r="H916" s="2">
        <f t="shared" si="84"/>
        <v>0</v>
      </c>
      <c r="I916" s="149" t="e">
        <f t="shared" si="85"/>
        <v>#REF!</v>
      </c>
      <c r="K916" s="2" t="e">
        <f t="shared" si="86"/>
        <v>#REF!</v>
      </c>
      <c r="M916" s="81" t="e">
        <f t="shared" si="87"/>
        <v>#REF!</v>
      </c>
      <c r="O916" s="286">
        <v>39</v>
      </c>
      <c r="P916" s="71">
        <f t="shared" si="88"/>
        <v>0</v>
      </c>
      <c r="Q916" s="287" t="e">
        <f t="shared" si="89"/>
        <v>#REF!</v>
      </c>
      <c r="R916" s="288" t="e">
        <f t="shared" si="90"/>
        <v>#REF!</v>
      </c>
      <c r="S916" s="162"/>
      <c r="T916" s="162"/>
      <c r="U916" s="165"/>
      <c r="V916" s="165"/>
      <c r="W916" s="169"/>
      <c r="X916" s="165"/>
      <c r="Y916" s="20"/>
      <c r="Z916" s="20"/>
      <c r="AA916" s="20"/>
      <c r="AB916" s="20"/>
      <c r="AC916" s="20"/>
    </row>
    <row r="917" spans="1:29">
      <c r="A917" s="3" t="s">
        <v>582</v>
      </c>
      <c r="C917" s="148">
        <v>0</v>
      </c>
      <c r="D917" s="148">
        <f t="shared" si="82"/>
        <v>0</v>
      </c>
      <c r="E917" s="149">
        <v>22.55</v>
      </c>
      <c r="G917" s="2">
        <f t="shared" si="83"/>
        <v>0</v>
      </c>
      <c r="H917" s="2">
        <f t="shared" si="84"/>
        <v>0</v>
      </c>
      <c r="I917" s="149" t="e">
        <f t="shared" si="85"/>
        <v>#REF!</v>
      </c>
      <c r="K917" s="2" t="e">
        <f t="shared" si="86"/>
        <v>#REF!</v>
      </c>
      <c r="M917" s="81" t="e">
        <f t="shared" si="87"/>
        <v>#REF!</v>
      </c>
      <c r="O917" s="286">
        <v>68</v>
      </c>
      <c r="P917" s="71">
        <f t="shared" si="88"/>
        <v>0</v>
      </c>
      <c r="Q917" s="287" t="e">
        <f t="shared" si="89"/>
        <v>#REF!</v>
      </c>
      <c r="R917" s="288" t="e">
        <f t="shared" si="90"/>
        <v>#REF!</v>
      </c>
      <c r="S917" s="162"/>
      <c r="T917" s="162"/>
      <c r="U917" s="165"/>
      <c r="V917" s="165"/>
      <c r="W917" s="169"/>
      <c r="X917" s="165"/>
      <c r="Y917" s="20"/>
      <c r="Z917" s="20"/>
      <c r="AA917" s="20"/>
      <c r="AB917" s="20"/>
      <c r="AC917" s="20"/>
    </row>
    <row r="918" spans="1:29">
      <c r="A918" s="3" t="s">
        <v>583</v>
      </c>
      <c r="C918" s="148">
        <v>0</v>
      </c>
      <c r="D918" s="148">
        <f t="shared" si="82"/>
        <v>0</v>
      </c>
      <c r="E918" s="149">
        <v>32.950000000000003</v>
      </c>
      <c r="G918" s="2">
        <f t="shared" si="83"/>
        <v>0</v>
      </c>
      <c r="H918" s="2">
        <f t="shared" si="84"/>
        <v>0</v>
      </c>
      <c r="I918" s="149" t="e">
        <f t="shared" si="85"/>
        <v>#REF!</v>
      </c>
      <c r="K918" s="2" t="e">
        <f t="shared" si="86"/>
        <v>#REF!</v>
      </c>
      <c r="M918" s="81" t="e">
        <f t="shared" si="87"/>
        <v>#REF!</v>
      </c>
      <c r="O918" s="286">
        <v>68</v>
      </c>
      <c r="P918" s="71">
        <f t="shared" si="88"/>
        <v>0</v>
      </c>
      <c r="Q918" s="287" t="e">
        <f t="shared" si="89"/>
        <v>#REF!</v>
      </c>
      <c r="R918" s="288" t="e">
        <f t="shared" si="90"/>
        <v>#REF!</v>
      </c>
      <c r="S918" s="162"/>
      <c r="T918" s="162"/>
      <c r="U918" s="165"/>
      <c r="V918" s="165"/>
      <c r="W918" s="169"/>
      <c r="X918" s="165"/>
      <c r="Y918" s="20"/>
      <c r="Z918" s="20"/>
      <c r="AA918" s="20"/>
      <c r="AB918" s="20"/>
      <c r="AC918" s="20"/>
    </row>
    <row r="919" spans="1:29">
      <c r="A919" s="3" t="s">
        <v>584</v>
      </c>
      <c r="C919" s="148">
        <v>0</v>
      </c>
      <c r="D919" s="148">
        <f t="shared" si="82"/>
        <v>0</v>
      </c>
      <c r="E919" s="149">
        <v>26.53</v>
      </c>
      <c r="G919" s="2">
        <f t="shared" si="83"/>
        <v>0</v>
      </c>
      <c r="H919" s="2">
        <f t="shared" si="84"/>
        <v>0</v>
      </c>
      <c r="I919" s="149" t="e">
        <f t="shared" si="85"/>
        <v>#REF!</v>
      </c>
      <c r="K919" s="2" t="e">
        <f t="shared" si="86"/>
        <v>#REF!</v>
      </c>
      <c r="M919" s="81" t="e">
        <f t="shared" si="87"/>
        <v>#REF!</v>
      </c>
      <c r="O919" s="286">
        <v>68</v>
      </c>
      <c r="P919" s="71">
        <f t="shared" si="88"/>
        <v>0</v>
      </c>
      <c r="Q919" s="287" t="e">
        <f t="shared" si="89"/>
        <v>#REF!</v>
      </c>
      <c r="R919" s="288" t="e">
        <f t="shared" si="90"/>
        <v>#REF!</v>
      </c>
      <c r="S919" s="162"/>
      <c r="T919" s="162"/>
      <c r="U919" s="165"/>
      <c r="V919" s="165"/>
      <c r="W919" s="169"/>
      <c r="X919" s="165"/>
      <c r="Y919" s="20"/>
      <c r="Z919" s="20"/>
      <c r="AA919" s="20"/>
      <c r="AB919" s="20"/>
      <c r="AC919" s="20"/>
    </row>
    <row r="920" spans="1:29">
      <c r="A920" s="3" t="s">
        <v>585</v>
      </c>
      <c r="C920" s="148">
        <v>0</v>
      </c>
      <c r="D920" s="148">
        <f t="shared" si="82"/>
        <v>0</v>
      </c>
      <c r="E920" s="149">
        <v>26.07</v>
      </c>
      <c r="G920" s="2">
        <f t="shared" si="83"/>
        <v>0</v>
      </c>
      <c r="H920" s="2">
        <f t="shared" si="84"/>
        <v>0</v>
      </c>
      <c r="I920" s="149" t="e">
        <f t="shared" si="85"/>
        <v>#REF!</v>
      </c>
      <c r="K920" s="2" t="e">
        <f t="shared" si="86"/>
        <v>#REF!</v>
      </c>
      <c r="M920" s="81" t="e">
        <f t="shared" si="87"/>
        <v>#REF!</v>
      </c>
      <c r="O920" s="286">
        <v>68</v>
      </c>
      <c r="P920" s="71">
        <f t="shared" si="88"/>
        <v>0</v>
      </c>
      <c r="Q920" s="287" t="e">
        <f t="shared" si="89"/>
        <v>#REF!</v>
      </c>
      <c r="R920" s="288" t="e">
        <f t="shared" si="90"/>
        <v>#REF!</v>
      </c>
      <c r="S920" s="162"/>
      <c r="T920" s="162"/>
      <c r="U920" s="165"/>
      <c r="V920" s="165"/>
      <c r="W920" s="169"/>
      <c r="X920" s="165"/>
      <c r="Y920" s="20"/>
      <c r="Z920" s="20"/>
      <c r="AA920" s="20"/>
      <c r="AB920" s="20"/>
      <c r="AC920" s="20"/>
    </row>
    <row r="921" spans="1:29">
      <c r="A921" s="3" t="s">
        <v>586</v>
      </c>
      <c r="C921" s="148">
        <v>0</v>
      </c>
      <c r="D921" s="148">
        <f t="shared" si="82"/>
        <v>0</v>
      </c>
      <c r="E921" s="149">
        <v>28.39</v>
      </c>
      <c r="G921" s="2">
        <f t="shared" si="83"/>
        <v>0</v>
      </c>
      <c r="H921" s="2">
        <f t="shared" si="84"/>
        <v>0</v>
      </c>
      <c r="I921" s="149" t="e">
        <f t="shared" si="85"/>
        <v>#REF!</v>
      </c>
      <c r="K921" s="2" t="e">
        <f t="shared" si="86"/>
        <v>#REF!</v>
      </c>
      <c r="M921" s="81" t="e">
        <f t="shared" si="87"/>
        <v>#REF!</v>
      </c>
      <c r="O921" s="286">
        <v>68</v>
      </c>
      <c r="P921" s="71">
        <f t="shared" si="88"/>
        <v>0</v>
      </c>
      <c r="Q921" s="287" t="e">
        <f t="shared" si="89"/>
        <v>#REF!</v>
      </c>
      <c r="R921" s="288" t="e">
        <f t="shared" si="90"/>
        <v>#REF!</v>
      </c>
      <c r="S921" s="162"/>
      <c r="T921" s="162"/>
      <c r="U921" s="165"/>
      <c r="V921" s="165"/>
      <c r="W921" s="169"/>
      <c r="X921" s="165"/>
      <c r="Y921" s="20"/>
      <c r="Z921" s="20"/>
      <c r="AA921" s="20"/>
      <c r="AB921" s="20"/>
      <c r="AC921" s="20"/>
    </row>
    <row r="922" spans="1:29">
      <c r="A922" s="3" t="s">
        <v>350</v>
      </c>
      <c r="C922" s="148">
        <f>181*12</f>
        <v>2172</v>
      </c>
      <c r="D922" s="148">
        <v>1874</v>
      </c>
      <c r="E922" s="149"/>
      <c r="G922" s="2"/>
      <c r="H922" s="2"/>
      <c r="I922" s="149"/>
      <c r="K922" s="2"/>
      <c r="O922" s="286"/>
      <c r="P922" s="71">
        <f>SUM(P904:P916)</f>
        <v>2951522</v>
      </c>
      <c r="Q922" s="287"/>
      <c r="R922" s="288"/>
      <c r="S922" s="162"/>
      <c r="T922" s="162"/>
      <c r="U922" s="165"/>
      <c r="V922" s="165"/>
      <c r="W922" s="165"/>
      <c r="X922" s="165"/>
      <c r="Y922" s="20"/>
      <c r="Z922" s="20"/>
      <c r="AA922" s="20"/>
      <c r="AB922" s="20"/>
      <c r="AC922" s="20"/>
    </row>
    <row r="923" spans="1:29">
      <c r="A923" s="3" t="s">
        <v>369</v>
      </c>
      <c r="C923" s="148">
        <v>2977084</v>
      </c>
      <c r="D923" s="148">
        <v>2951534.6465794938</v>
      </c>
      <c r="E923" s="153"/>
      <c r="F923" s="20"/>
      <c r="G923" s="156">
        <f>SUM(G904:G916)</f>
        <v>533631</v>
      </c>
      <c r="H923" s="156">
        <f>SUM(H904:H916)</f>
        <v>529048</v>
      </c>
      <c r="I923" s="153"/>
      <c r="J923" s="20"/>
      <c r="K923" s="156" t="e">
        <f>SUM(K904:K916)</f>
        <v>#REF!</v>
      </c>
      <c r="M923" s="81" t="e">
        <f>SUM(M904:M922)</f>
        <v>#REF!</v>
      </c>
      <c r="O923" s="286"/>
      <c r="P923" s="289" t="e">
        <f>O925-H925</f>
        <v>#REF!</v>
      </c>
      <c r="Q923" s="20"/>
      <c r="R923" s="290"/>
      <c r="S923" s="162"/>
      <c r="T923" s="162"/>
      <c r="U923" s="172"/>
      <c r="V923" s="162"/>
      <c r="W923" s="162"/>
      <c r="X923" s="162"/>
      <c r="Y923" s="20"/>
      <c r="Z923" s="20"/>
      <c r="AA923" s="20"/>
      <c r="AB923" s="20"/>
      <c r="AC923" s="20"/>
    </row>
    <row r="924" spans="1:29">
      <c r="A924" s="3" t="s">
        <v>351</v>
      </c>
      <c r="C924" s="148" t="e">
        <f>#REF!</f>
        <v>#REF!</v>
      </c>
      <c r="D924" s="148">
        <v>0</v>
      </c>
      <c r="E924" s="153"/>
      <c r="F924" s="20"/>
      <c r="G924" s="156" t="e">
        <f>#REF!</f>
        <v>#REF!</v>
      </c>
      <c r="H924" s="156">
        <v>0</v>
      </c>
      <c r="I924" s="153"/>
      <c r="J924" s="20"/>
      <c r="K924" s="156" t="e">
        <f>G924</f>
        <v>#REF!</v>
      </c>
      <c r="M924" s="173"/>
      <c r="N924" s="173"/>
      <c r="O924" s="291"/>
      <c r="P924" s="292" t="e">
        <f>P923/P922</f>
        <v>#REF!</v>
      </c>
      <c r="Q924" s="109"/>
      <c r="R924" s="293"/>
      <c r="S924" s="165"/>
      <c r="T924" s="162"/>
      <c r="U924" s="20"/>
      <c r="V924" s="20"/>
      <c r="W924" s="20"/>
      <c r="X924" s="20"/>
      <c r="Y924" s="20"/>
      <c r="Z924" s="20"/>
      <c r="AA924" s="20"/>
      <c r="AB924" s="20"/>
      <c r="AC924" s="20"/>
    </row>
    <row r="925" spans="1:29" ht="16.5" thickBot="1">
      <c r="A925" s="3" t="s">
        <v>9</v>
      </c>
      <c r="C925" s="157" t="e">
        <f>C923+C924</f>
        <v>#REF!</v>
      </c>
      <c r="D925" s="157">
        <f>D923+D924</f>
        <v>2951534.6465794938</v>
      </c>
      <c r="E925" s="158"/>
      <c r="F925" s="158"/>
      <c r="G925" s="158" t="e">
        <f>G923+G924</f>
        <v>#REF!</v>
      </c>
      <c r="H925" s="158">
        <f>H923+H924</f>
        <v>529048</v>
      </c>
      <c r="I925" s="158"/>
      <c r="J925" s="158"/>
      <c r="K925" s="158" t="e">
        <f>K923+K924</f>
        <v>#REF!</v>
      </c>
      <c r="M925" s="175"/>
      <c r="N925" s="161" t="s">
        <v>397</v>
      </c>
      <c r="O925" s="294" t="e">
        <f>#REF!*1000</f>
        <v>#REF!</v>
      </c>
      <c r="P925" s="14" t="e">
        <f>((O925-G925)/G925)+0.0028</f>
        <v>#REF!</v>
      </c>
      <c r="S925" s="162"/>
      <c r="T925" s="162"/>
      <c r="U925" s="20"/>
      <c r="V925" s="20"/>
      <c r="W925" s="20"/>
      <c r="X925" s="20"/>
      <c r="Y925" s="20"/>
      <c r="Z925" s="20"/>
      <c r="AA925" s="20"/>
      <c r="AB925" s="20"/>
      <c r="AC925" s="20"/>
    </row>
    <row r="926" spans="1:29" ht="16.5" thickTop="1">
      <c r="A926" s="1"/>
      <c r="B926" s="1"/>
      <c r="C926" s="21"/>
      <c r="D926" s="21"/>
      <c r="E926" s="21"/>
      <c r="F926" s="21"/>
      <c r="G926" s="2"/>
      <c r="H926" s="2"/>
      <c r="I926" s="21" t="s">
        <v>31</v>
      </c>
      <c r="J926" s="21"/>
      <c r="K926" s="2" t="s">
        <v>31</v>
      </c>
      <c r="M926" s="161"/>
      <c r="N926" s="161" t="s">
        <v>256</v>
      </c>
      <c r="O926" s="295" t="e">
        <f>O925-K925</f>
        <v>#REF!</v>
      </c>
      <c r="P926" s="14" t="e">
        <f>(O925-K925)/K925</f>
        <v>#REF!</v>
      </c>
      <c r="Q926" s="161"/>
      <c r="R926" s="161"/>
      <c r="S926" s="162"/>
      <c r="T926" s="162"/>
      <c r="U926" s="20"/>
      <c r="V926" s="20"/>
      <c r="W926" s="20"/>
      <c r="X926" s="20"/>
      <c r="Y926" s="20"/>
      <c r="Z926" s="20"/>
      <c r="AA926" s="20"/>
      <c r="AB926" s="20"/>
      <c r="AC926" s="20"/>
    </row>
    <row r="927" spans="1:29">
      <c r="A927" s="177" t="s">
        <v>474</v>
      </c>
      <c r="B927" s="1"/>
      <c r="C927" s="1"/>
      <c r="D927" s="1"/>
      <c r="E927" s="1"/>
      <c r="F927" s="1"/>
      <c r="G927" s="1"/>
      <c r="H927" s="1"/>
      <c r="I927" s="1"/>
      <c r="J927" s="1"/>
      <c r="K927" s="1"/>
      <c r="M927" s="162"/>
      <c r="N927" s="162"/>
      <c r="O927" s="171"/>
      <c r="P927" s="162"/>
      <c r="Q927" s="20"/>
      <c r="R927" s="20"/>
      <c r="S927" s="20"/>
      <c r="T927" s="162"/>
      <c r="U927" s="162"/>
      <c r="V927" s="162"/>
      <c r="W927" s="162"/>
      <c r="X927" s="162"/>
      <c r="Y927" s="20"/>
      <c r="Z927" s="20"/>
      <c r="AA927" s="20"/>
      <c r="AB927" s="20"/>
      <c r="AC927" s="20"/>
    </row>
    <row r="928" spans="1:29">
      <c r="A928" s="1" t="s">
        <v>475</v>
      </c>
      <c r="B928" s="1"/>
      <c r="C928" s="1"/>
      <c r="D928" s="1"/>
      <c r="E928" s="1"/>
      <c r="F928" s="1"/>
      <c r="G928" s="1"/>
      <c r="H928" s="1"/>
      <c r="I928" s="1"/>
      <c r="J928" s="1"/>
      <c r="K928" s="1"/>
      <c r="M928" s="20"/>
      <c r="N928" s="20"/>
      <c r="O928" s="71"/>
      <c r="P928" s="71"/>
      <c r="Q928" s="20"/>
      <c r="R928" s="20"/>
      <c r="S928" s="20"/>
      <c r="T928" s="162"/>
      <c r="U928" s="162"/>
      <c r="V928" s="162"/>
      <c r="W928" s="162"/>
      <c r="X928" s="162"/>
      <c r="Y928" s="20"/>
      <c r="Z928" s="20"/>
      <c r="AA928" s="20"/>
      <c r="AB928" s="20"/>
      <c r="AC928" s="20"/>
    </row>
    <row r="929" spans="1:29">
      <c r="A929" s="1"/>
      <c r="B929" s="1"/>
      <c r="C929" s="1"/>
      <c r="D929" s="1"/>
      <c r="E929" s="1"/>
      <c r="F929" s="1"/>
      <c r="G929" s="1"/>
      <c r="H929" s="1"/>
      <c r="I929" s="1"/>
      <c r="J929" s="1"/>
      <c r="K929" s="1"/>
      <c r="M929" s="20"/>
      <c r="N929" s="20"/>
      <c r="O929" s="71"/>
      <c r="P929" s="71" t="s">
        <v>31</v>
      </c>
      <c r="Q929" s="20"/>
      <c r="R929" s="20"/>
      <c r="S929" s="20"/>
      <c r="T929" s="162"/>
      <c r="U929" s="162"/>
      <c r="V929" s="162"/>
      <c r="W929" s="162"/>
      <c r="X929" s="162"/>
      <c r="Y929" s="20"/>
      <c r="Z929" s="20"/>
      <c r="AA929" s="20"/>
      <c r="AB929" s="20"/>
      <c r="AC929" s="20"/>
    </row>
    <row r="930" spans="1:29">
      <c r="A930" s="1" t="s">
        <v>476</v>
      </c>
      <c r="B930" s="1"/>
      <c r="C930" s="21"/>
      <c r="D930" s="21"/>
      <c r="E930" s="182"/>
      <c r="F930" s="1"/>
      <c r="G930" s="296">
        <v>30454.32</v>
      </c>
      <c r="H930" s="296">
        <v>30454.32</v>
      </c>
      <c r="I930" s="182"/>
      <c r="J930" s="1"/>
      <c r="K930" s="2">
        <f>G930</f>
        <v>30454.32</v>
      </c>
      <c r="M930" s="81">
        <f>K930</f>
        <v>30454.32</v>
      </c>
      <c r="N930" s="20"/>
      <c r="O930" s="71"/>
      <c r="P930" s="71" t="s">
        <v>31</v>
      </c>
      <c r="Q930" s="20"/>
      <c r="R930" s="20"/>
      <c r="S930" s="20"/>
      <c r="T930" s="20"/>
      <c r="U930" s="20"/>
      <c r="V930" s="20"/>
      <c r="W930" s="20"/>
      <c r="X930" s="20"/>
      <c r="Y930" s="20"/>
      <c r="Z930" s="20"/>
      <c r="AA930" s="20"/>
      <c r="AB930" s="20"/>
      <c r="AC930" s="20"/>
    </row>
    <row r="931" spans="1:29">
      <c r="A931" s="1" t="s">
        <v>477</v>
      </c>
      <c r="B931" s="1"/>
      <c r="C931" s="148">
        <v>448995</v>
      </c>
      <c r="D931" s="203">
        <f>ROUND(($D$934/$C$934)*C931,0)</f>
        <v>453966</v>
      </c>
      <c r="E931" s="297">
        <v>6.4050000000000002</v>
      </c>
      <c r="F931" s="1" t="s">
        <v>362</v>
      </c>
      <c r="G931" s="298">
        <f>ROUND(C931*E931/100,0)</f>
        <v>28758</v>
      </c>
      <c r="H931" s="298">
        <f>ROUND(D931*E931/100,0)</f>
        <v>29077</v>
      </c>
      <c r="I931" s="297">
        <v>7.4130000000000003</v>
      </c>
      <c r="J931" s="1" t="s">
        <v>362</v>
      </c>
      <c r="K931" s="2">
        <f>ROUND(I931*$C931/100,0)</f>
        <v>33284</v>
      </c>
      <c r="M931" s="81">
        <f>(I931/100)*D931</f>
        <v>33652.499580000003</v>
      </c>
      <c r="N931" s="20"/>
      <c r="O931" s="71"/>
      <c r="P931" s="71"/>
      <c r="Q931" s="20"/>
      <c r="R931" s="20"/>
      <c r="S931" s="20"/>
      <c r="T931" s="20"/>
      <c r="U931" s="20"/>
      <c r="V931" s="20"/>
      <c r="W931" s="20"/>
      <c r="X931" s="20"/>
      <c r="Y931" s="20"/>
      <c r="Z931" s="20"/>
      <c r="AA931" s="20"/>
      <c r="AB931" s="20"/>
      <c r="AC931" s="20"/>
    </row>
    <row r="932" spans="1:29">
      <c r="A932" s="1" t="s">
        <v>478</v>
      </c>
      <c r="B932" s="1"/>
      <c r="C932" s="148">
        <v>0</v>
      </c>
      <c r="D932" s="203">
        <f>ROUND(($D$934/$C$934)*C932,0)</f>
        <v>0</v>
      </c>
      <c r="E932" s="297">
        <v>7.1669999999999998</v>
      </c>
      <c r="F932" s="1" t="s">
        <v>362</v>
      </c>
      <c r="G932" s="298">
        <f>ROUND(C932*E932/100,0)</f>
        <v>0</v>
      </c>
      <c r="H932" s="298">
        <f>ROUND(D932*E932/100,0)</f>
        <v>0</v>
      </c>
      <c r="I932" s="297">
        <f>ROUND(I931/E931*E932,3)</f>
        <v>8.2949999999999999</v>
      </c>
      <c r="J932" s="1" t="s">
        <v>362</v>
      </c>
      <c r="K932" s="2">
        <f>ROUND(I932*D932/100,0)</f>
        <v>0</v>
      </c>
      <c r="M932" s="81">
        <f>(I932/100)*D932</f>
        <v>0</v>
      </c>
      <c r="N932" s="20"/>
      <c r="O932" s="71"/>
      <c r="P932" s="20"/>
      <c r="Q932" s="20"/>
      <c r="R932" s="20"/>
      <c r="S932" s="20"/>
      <c r="T932" s="20"/>
      <c r="U932" s="20"/>
      <c r="V932" s="20"/>
      <c r="W932" s="20"/>
      <c r="X932" s="20"/>
      <c r="Y932" s="20"/>
      <c r="Z932" s="20"/>
      <c r="AA932" s="20"/>
      <c r="AB932" s="20"/>
      <c r="AC932" s="20"/>
    </row>
    <row r="933" spans="1:29">
      <c r="A933" s="1" t="s">
        <v>350</v>
      </c>
      <c r="B933" s="1"/>
      <c r="C933" s="148">
        <f>27*12</f>
        <v>324</v>
      </c>
      <c r="D933" s="203">
        <v>241</v>
      </c>
      <c r="E933" s="299"/>
      <c r="F933" s="1"/>
      <c r="G933" s="2"/>
      <c r="H933" s="2"/>
      <c r="I933" s="299"/>
      <c r="J933" s="1"/>
      <c r="K933" s="2"/>
      <c r="M933" s="20"/>
      <c r="N933" s="20"/>
      <c r="O933" s="71"/>
      <c r="P933" s="71"/>
      <c r="Q933" s="20"/>
      <c r="R933" s="20"/>
      <c r="S933" s="20"/>
      <c r="T933" s="20"/>
      <c r="U933" s="20"/>
      <c r="V933" s="20"/>
      <c r="W933" s="20"/>
      <c r="X933" s="20"/>
      <c r="Y933" s="20"/>
      <c r="Z933" s="20"/>
      <c r="AA933" s="20"/>
      <c r="AB933" s="20"/>
      <c r="AC933" s="20"/>
    </row>
    <row r="934" spans="1:29">
      <c r="A934" s="3" t="s">
        <v>479</v>
      </c>
      <c r="C934" s="148">
        <f>SUM(C931:C932)</f>
        <v>448995</v>
      </c>
      <c r="D934" s="148">
        <v>453965.95876460936</v>
      </c>
      <c r="E934" s="153"/>
      <c r="F934" s="20"/>
      <c r="G934" s="156">
        <f>SUM(G930:G932)</f>
        <v>59212.32</v>
      </c>
      <c r="H934" s="156">
        <f>SUM(H930:H932)</f>
        <v>59531.32</v>
      </c>
      <c r="I934" s="153"/>
      <c r="J934" s="20"/>
      <c r="K934" s="156">
        <f>SUM(K930:K932)</f>
        <v>63738.32</v>
      </c>
      <c r="M934" s="300">
        <f>SUM(M930:M933)</f>
        <v>64106.819580000003</v>
      </c>
      <c r="N934" s="20"/>
      <c r="O934" s="71"/>
      <c r="P934" s="71"/>
      <c r="Q934" s="20"/>
      <c r="R934" s="20"/>
      <c r="S934" s="20"/>
      <c r="T934" s="20"/>
      <c r="U934" s="20"/>
      <c r="V934" s="20"/>
      <c r="W934" s="20"/>
      <c r="X934" s="20"/>
      <c r="Y934" s="20"/>
      <c r="Z934" s="20"/>
      <c r="AA934" s="20"/>
      <c r="AB934" s="20"/>
      <c r="AC934" s="20"/>
    </row>
    <row r="935" spans="1:29">
      <c r="A935" s="3" t="s">
        <v>480</v>
      </c>
      <c r="C935" s="148" t="e">
        <f>#REF!</f>
        <v>#REF!</v>
      </c>
      <c r="D935" s="148">
        <v>0</v>
      </c>
      <c r="E935" s="153"/>
      <c r="F935" s="20"/>
      <c r="G935" s="156" t="e">
        <f>#REF!</f>
        <v>#REF!</v>
      </c>
      <c r="H935" s="156">
        <v>0</v>
      </c>
      <c r="I935" s="153"/>
      <c r="J935" s="20"/>
      <c r="K935" s="156" t="e">
        <f>G935</f>
        <v>#REF!</v>
      </c>
      <c r="M935" s="173"/>
      <c r="N935" s="173"/>
      <c r="O935" s="174"/>
      <c r="P935" s="71"/>
      <c r="Q935" s="20"/>
      <c r="R935" s="20"/>
      <c r="S935" s="20"/>
      <c r="T935" s="20"/>
      <c r="U935" s="20"/>
      <c r="V935" s="20"/>
      <c r="W935" s="20"/>
      <c r="X935" s="20"/>
      <c r="Y935" s="20"/>
      <c r="Z935" s="20"/>
      <c r="AA935" s="20"/>
      <c r="AB935" s="20"/>
      <c r="AC935" s="20"/>
    </row>
    <row r="936" spans="1:29" ht="16.5" thickBot="1">
      <c r="A936" s="1" t="s">
        <v>9</v>
      </c>
      <c r="B936" s="1"/>
      <c r="C936" s="277" t="e">
        <f>C934+C935</f>
        <v>#REF!</v>
      </c>
      <c r="D936" s="277">
        <f>D934+D935</f>
        <v>453965.95876460936</v>
      </c>
      <c r="E936" s="301"/>
      <c r="F936" s="302"/>
      <c r="G936" s="158" t="e">
        <f>G934+G935</f>
        <v>#REF!</v>
      </c>
      <c r="H936" s="158">
        <f>H934+H935</f>
        <v>59531.32</v>
      </c>
      <c r="I936" s="301"/>
      <c r="J936" s="302"/>
      <c r="K936" s="158" t="e">
        <f>K934+K935</f>
        <v>#REF!</v>
      </c>
      <c r="M936" s="175"/>
      <c r="N936" s="161" t="s">
        <v>397</v>
      </c>
      <c r="O936" s="300" t="e">
        <f>#REF!*1000</f>
        <v>#REF!</v>
      </c>
      <c r="P936" s="14" t="s">
        <v>31</v>
      </c>
      <c r="Q936" s="20"/>
      <c r="R936" s="20"/>
      <c r="S936" s="20"/>
      <c r="T936" s="20"/>
      <c r="U936" s="20"/>
      <c r="V936" s="20"/>
      <c r="W936" s="20"/>
      <c r="X936" s="20"/>
      <c r="Y936" s="20"/>
      <c r="Z936" s="20"/>
      <c r="AA936" s="20"/>
      <c r="AB936" s="20"/>
      <c r="AC936" s="20"/>
    </row>
    <row r="937" spans="1:29" ht="16.5" thickTop="1">
      <c r="A937" s="1"/>
      <c r="B937" s="1"/>
      <c r="C937" s="1"/>
      <c r="D937" s="1"/>
      <c r="E937" s="303"/>
      <c r="F937" s="1"/>
      <c r="G937" s="1"/>
      <c r="H937" s="1"/>
      <c r="I937" s="303" t="s">
        <v>31</v>
      </c>
      <c r="J937" s="1"/>
      <c r="K937" s="2" t="s">
        <v>31</v>
      </c>
      <c r="M937" s="20"/>
      <c r="N937" s="161" t="s">
        <v>256</v>
      </c>
      <c r="O937" s="300" t="e">
        <f>O936-K936</f>
        <v>#REF!</v>
      </c>
      <c r="P937" s="14" t="e">
        <f>(O936-K936)/K936</f>
        <v>#REF!</v>
      </c>
      <c r="Q937" s="20"/>
      <c r="R937" s="20"/>
      <c r="S937" s="20"/>
      <c r="T937" s="20"/>
      <c r="U937" s="20"/>
      <c r="V937" s="20"/>
      <c r="W937" s="20"/>
      <c r="X937" s="20"/>
      <c r="Y937" s="20"/>
      <c r="Z937" s="20"/>
      <c r="AA937" s="20"/>
      <c r="AB937" s="20"/>
      <c r="AC937" s="20"/>
    </row>
    <row r="938" spans="1:29">
      <c r="A938" s="177" t="s">
        <v>481</v>
      </c>
      <c r="B938" s="1"/>
      <c r="C938" s="1"/>
      <c r="D938" s="1"/>
      <c r="E938" s="1"/>
      <c r="F938" s="1"/>
      <c r="G938" s="1"/>
      <c r="H938" s="1"/>
      <c r="I938" s="1"/>
      <c r="J938" s="1"/>
      <c r="K938" s="1"/>
      <c r="M938" s="20"/>
      <c r="N938" s="20"/>
      <c r="O938" s="71"/>
      <c r="P938" s="71"/>
      <c r="Q938" s="20"/>
      <c r="R938" s="20"/>
      <c r="S938" s="20"/>
      <c r="T938" s="20"/>
      <c r="U938" s="20"/>
      <c r="V938" s="20"/>
      <c r="W938" s="20"/>
      <c r="X938" s="20"/>
      <c r="Y938" s="20"/>
      <c r="Z938" s="20"/>
      <c r="AA938" s="20"/>
      <c r="AB938" s="20"/>
      <c r="AC938" s="20"/>
    </row>
    <row r="939" spans="1:29">
      <c r="A939" s="1" t="s">
        <v>482</v>
      </c>
      <c r="B939" s="1"/>
      <c r="C939" s="1"/>
      <c r="D939" s="1"/>
      <c r="E939" s="1"/>
      <c r="F939" s="1"/>
      <c r="G939" s="1"/>
      <c r="H939" s="1"/>
      <c r="I939" s="1"/>
      <c r="J939" s="1"/>
      <c r="K939" s="1"/>
      <c r="M939" s="20"/>
      <c r="N939" s="20"/>
      <c r="O939" s="71"/>
      <c r="P939" s="71"/>
      <c r="Q939" s="20"/>
      <c r="R939" s="20"/>
      <c r="S939" s="20"/>
      <c r="T939" s="20"/>
      <c r="U939" s="20"/>
      <c r="V939" s="20"/>
      <c r="W939" s="20"/>
      <c r="X939" s="20"/>
      <c r="Y939" s="20"/>
      <c r="Z939" s="20"/>
      <c r="AA939" s="20"/>
      <c r="AB939" s="20"/>
      <c r="AC939" s="20"/>
    </row>
    <row r="940" spans="1:29">
      <c r="A940" s="1"/>
      <c r="B940" s="1"/>
      <c r="C940" s="1"/>
      <c r="D940" s="1"/>
      <c r="E940" s="303"/>
      <c r="F940" s="1"/>
      <c r="G940" s="1"/>
      <c r="H940" s="1"/>
      <c r="I940" s="303"/>
      <c r="J940" s="1"/>
      <c r="K940" s="1"/>
      <c r="M940" s="20"/>
      <c r="N940" s="20"/>
      <c r="O940" s="71"/>
      <c r="P940" s="71"/>
      <c r="Q940" s="20"/>
      <c r="R940" s="20"/>
      <c r="S940" s="20"/>
      <c r="T940" s="20"/>
      <c r="U940" s="20"/>
      <c r="V940" s="20"/>
      <c r="W940" s="20"/>
      <c r="X940" s="20"/>
      <c r="Y940" s="20"/>
      <c r="Z940" s="20"/>
      <c r="AA940" s="20"/>
      <c r="AB940" s="20"/>
      <c r="AC940" s="20"/>
    </row>
    <row r="941" spans="1:29">
      <c r="A941" s="1" t="s">
        <v>476</v>
      </c>
      <c r="B941" s="1"/>
      <c r="C941" s="21"/>
      <c r="D941" s="21"/>
      <c r="E941" s="182"/>
      <c r="F941" s="1"/>
      <c r="G941" s="296">
        <f>G952+G978</f>
        <v>2152.73</v>
      </c>
      <c r="H941" s="296">
        <f>H952+H978</f>
        <v>2349.2199999999998</v>
      </c>
      <c r="I941" s="182"/>
      <c r="J941" s="1"/>
      <c r="K941" s="2">
        <f>G941</f>
        <v>2152.73</v>
      </c>
      <c r="M941" s="300">
        <f>K941</f>
        <v>2152.73</v>
      </c>
      <c r="N941" s="20"/>
      <c r="O941" s="71"/>
      <c r="P941" s="71"/>
      <c r="Q941" s="20"/>
      <c r="R941" s="20"/>
      <c r="S941" s="20"/>
      <c r="T941" s="20"/>
      <c r="U941" s="20"/>
      <c r="V941" s="20"/>
      <c r="W941" s="20"/>
      <c r="X941" s="20"/>
      <c r="Y941" s="20"/>
      <c r="Z941" s="20"/>
      <c r="AA941" s="20"/>
      <c r="AB941" s="20"/>
      <c r="AC941" s="20"/>
    </row>
    <row r="942" spans="1:29">
      <c r="A942" s="1" t="s">
        <v>598</v>
      </c>
      <c r="B942" s="1"/>
      <c r="C942" s="148">
        <f>C968+C979+C980</f>
        <v>2017979</v>
      </c>
      <c r="D942" s="148">
        <f>D968+D979</f>
        <v>999683</v>
      </c>
      <c r="E942" s="297">
        <v>6.1459999999999999</v>
      </c>
      <c r="F942" s="1" t="s">
        <v>362</v>
      </c>
      <c r="G942" s="298">
        <f>G968+G979+G980</f>
        <v>124025</v>
      </c>
      <c r="H942" s="298">
        <f>H968+H979</f>
        <v>61441</v>
      </c>
      <c r="I942" s="297">
        <f>'Blocking - detail'!I939</f>
        <v>6.1459999999999999</v>
      </c>
      <c r="J942" s="1" t="s">
        <v>362</v>
      </c>
      <c r="K942" s="2">
        <f>K968+K979</f>
        <v>65376</v>
      </c>
      <c r="M942" s="81">
        <f>(I942/100)*D942</f>
        <v>61440.517180000003</v>
      </c>
      <c r="N942" s="20"/>
      <c r="O942" s="71"/>
      <c r="P942" s="71"/>
      <c r="Q942" s="20"/>
      <c r="R942" s="20"/>
      <c r="S942" s="20"/>
      <c r="T942" s="20"/>
      <c r="U942" s="20"/>
      <c r="V942" s="20"/>
      <c r="W942" s="20"/>
      <c r="X942" s="20"/>
      <c r="Y942" s="20"/>
      <c r="Z942" s="20"/>
      <c r="AA942" s="20"/>
      <c r="AB942" s="20"/>
      <c r="AC942" s="20"/>
    </row>
    <row r="943" spans="1:29">
      <c r="A943" s="1" t="s">
        <v>600</v>
      </c>
      <c r="B943" s="1"/>
      <c r="C943" s="148">
        <f>C969</f>
        <v>2425702</v>
      </c>
      <c r="D943" s="148">
        <f>D969+D980</f>
        <v>3439646</v>
      </c>
      <c r="E943" s="305">
        <f>E942</f>
        <v>6.1459999999999999</v>
      </c>
      <c r="F943" s="1" t="s">
        <v>362</v>
      </c>
      <c r="G943" s="298">
        <f>SUM(G954:G966)</f>
        <v>149307.61000000002</v>
      </c>
      <c r="H943" s="298">
        <f>H969+H980</f>
        <v>60532</v>
      </c>
      <c r="I943" s="305">
        <f>I942</f>
        <v>6.1459999999999999</v>
      </c>
      <c r="J943" s="1" t="s">
        <v>362</v>
      </c>
      <c r="K943" s="2">
        <f>K969+K980</f>
        <v>68174</v>
      </c>
      <c r="M943" s="81">
        <f>(I943/100)*D943</f>
        <v>211400.64316000001</v>
      </c>
      <c r="N943" s="20"/>
      <c r="O943" s="71"/>
      <c r="P943" s="71"/>
      <c r="Q943" s="20"/>
      <c r="R943" s="20"/>
      <c r="S943" s="20"/>
      <c r="T943" s="20"/>
      <c r="U943" s="20"/>
      <c r="V943" s="20"/>
      <c r="W943" s="20"/>
      <c r="X943" s="20"/>
      <c r="Y943" s="20"/>
      <c r="Z943" s="20"/>
      <c r="AA943" s="20"/>
      <c r="AB943" s="20"/>
      <c r="AC943" s="20"/>
    </row>
    <row r="944" spans="1:29">
      <c r="A944" s="1" t="s">
        <v>350</v>
      </c>
      <c r="B944" s="1"/>
      <c r="C944" s="148">
        <f>C970+C981</f>
        <v>3046</v>
      </c>
      <c r="D944" s="148">
        <f>D970+D981</f>
        <v>3401</v>
      </c>
      <c r="E944" s="299"/>
      <c r="F944" s="1"/>
      <c r="G944" s="2"/>
      <c r="H944" s="2"/>
      <c r="I944" s="299"/>
      <c r="J944" s="1"/>
      <c r="K944" s="2"/>
      <c r="M944" s="20"/>
      <c r="N944" s="20"/>
      <c r="O944" s="71"/>
      <c r="P944" s="71"/>
      <c r="Q944" s="20"/>
      <c r="R944" s="20"/>
      <c r="S944" s="20"/>
      <c r="T944" s="20"/>
      <c r="U944" s="20"/>
      <c r="V944" s="20"/>
      <c r="W944" s="20"/>
      <c r="X944" s="20"/>
      <c r="Y944" s="20"/>
      <c r="Z944" s="20"/>
      <c r="AA944" s="20"/>
      <c r="AB944" s="20"/>
      <c r="AC944" s="20"/>
    </row>
    <row r="945" spans="1:29">
      <c r="A945" s="3" t="s">
        <v>479</v>
      </c>
      <c r="C945" s="148">
        <f>C971+C982</f>
        <v>4443681</v>
      </c>
      <c r="D945" s="148">
        <f>D971+D982</f>
        <v>4439329.75109665</v>
      </c>
      <c r="E945" s="153"/>
      <c r="F945" s="20"/>
      <c r="G945" s="156">
        <f>G941+G942+G943</f>
        <v>275485.34000000003</v>
      </c>
      <c r="H945" s="156">
        <f>H971+H982</f>
        <v>124322.22</v>
      </c>
      <c r="I945" s="153"/>
      <c r="J945" s="20"/>
      <c r="K945" s="156">
        <f>K971+K982</f>
        <v>296529.72609999997</v>
      </c>
      <c r="M945" s="300">
        <f>SUM(M941:M944)</f>
        <v>274993.89034000004</v>
      </c>
      <c r="N945" s="20"/>
      <c r="O945" s="71"/>
      <c r="P945" s="71"/>
      <c r="Q945" s="20"/>
      <c r="R945" s="20"/>
      <c r="S945" s="20"/>
      <c r="T945" s="20"/>
      <c r="U945" s="20"/>
      <c r="V945" s="20"/>
      <c r="W945" s="20"/>
      <c r="X945" s="20"/>
      <c r="Y945" s="20"/>
      <c r="Z945" s="20"/>
      <c r="AA945" s="20"/>
      <c r="AB945" s="20"/>
      <c r="AC945" s="20"/>
    </row>
    <row r="946" spans="1:29">
      <c r="A946" s="3" t="s">
        <v>480</v>
      </c>
      <c r="C946" s="148" t="e">
        <f>C972+C983</f>
        <v>#REF!</v>
      </c>
      <c r="D946" s="148">
        <f>D972+D983</f>
        <v>0</v>
      </c>
      <c r="E946" s="153"/>
      <c r="F946" s="20"/>
      <c r="G946" s="156" t="e">
        <f>G972+G983</f>
        <v>#REF!</v>
      </c>
      <c r="H946" s="156">
        <f>H972+H983</f>
        <v>0</v>
      </c>
      <c r="I946" s="153"/>
      <c r="J946" s="20"/>
      <c r="K946" s="156" t="e">
        <f>G946</f>
        <v>#REF!</v>
      </c>
      <c r="M946" s="173"/>
      <c r="N946" s="173"/>
      <c r="O946" s="174"/>
      <c r="P946" s="71"/>
      <c r="Q946" s="20"/>
      <c r="R946" s="20"/>
      <c r="S946" s="20"/>
      <c r="T946" s="20"/>
      <c r="U946" s="20"/>
      <c r="V946" s="20"/>
      <c r="W946" s="20"/>
      <c r="X946" s="20"/>
      <c r="Y946" s="20"/>
      <c r="Z946" s="20"/>
      <c r="AA946" s="20"/>
      <c r="AB946" s="20"/>
      <c r="AC946" s="20"/>
    </row>
    <row r="947" spans="1:29" ht="16.5" thickBot="1">
      <c r="A947" s="1" t="s">
        <v>9</v>
      </c>
      <c r="B947" s="1"/>
      <c r="C947" s="277" t="e">
        <f>C945+C946</f>
        <v>#REF!</v>
      </c>
      <c r="D947" s="277">
        <f>D945+D946</f>
        <v>4439329.75109665</v>
      </c>
      <c r="E947" s="301"/>
      <c r="F947" s="302"/>
      <c r="G947" s="158" t="e">
        <f>G945+G946</f>
        <v>#REF!</v>
      </c>
      <c r="H947" s="158">
        <f>H945+H946</f>
        <v>124322.22</v>
      </c>
      <c r="I947" s="301"/>
      <c r="J947" s="302"/>
      <c r="K947" s="158" t="e">
        <f>K945+K946</f>
        <v>#REF!</v>
      </c>
      <c r="M947" s="175"/>
      <c r="N947" s="161" t="s">
        <v>397</v>
      </c>
      <c r="O947" s="300" t="e">
        <f>#REF!*1000</f>
        <v>#REF!</v>
      </c>
      <c r="P947" s="71"/>
      <c r="Q947" s="20"/>
      <c r="R947" s="20"/>
      <c r="S947" s="20"/>
      <c r="T947" s="20"/>
      <c r="U947" s="20"/>
      <c r="V947" s="20"/>
      <c r="W947" s="20"/>
      <c r="X947" s="20"/>
      <c r="Y947" s="20"/>
      <c r="Z947" s="20"/>
      <c r="AA947" s="20"/>
      <c r="AB947" s="20"/>
      <c r="AC947" s="20"/>
    </row>
    <row r="948" spans="1:29" ht="16.5" thickTop="1">
      <c r="A948" s="1"/>
      <c r="B948" s="1"/>
      <c r="C948" s="25"/>
      <c r="D948" s="25"/>
      <c r="E948" s="306"/>
      <c r="F948" s="23"/>
      <c r="G948" s="50"/>
      <c r="H948" s="50"/>
      <c r="I948" s="306" t="s">
        <v>31</v>
      </c>
      <c r="J948" s="23"/>
      <c r="K948" s="50" t="s">
        <v>31</v>
      </c>
      <c r="M948" s="20"/>
      <c r="N948" s="161" t="s">
        <v>256</v>
      </c>
      <c r="P948" s="71"/>
      <c r="Q948" s="20"/>
      <c r="R948" s="20"/>
      <c r="S948" s="20"/>
      <c r="T948" s="20"/>
      <c r="U948" s="20"/>
      <c r="V948" s="20"/>
      <c r="W948" s="20"/>
      <c r="X948" s="20"/>
      <c r="Y948" s="20"/>
      <c r="Z948" s="20"/>
      <c r="AA948" s="20"/>
      <c r="AB948" s="20"/>
      <c r="AC948" s="20"/>
    </row>
    <row r="949" spans="1:29">
      <c r="A949" s="177" t="s">
        <v>485</v>
      </c>
      <c r="B949" s="1"/>
      <c r="C949" s="1"/>
      <c r="D949" s="1"/>
      <c r="E949" s="1"/>
      <c r="F949" s="1"/>
      <c r="G949" s="1"/>
      <c r="H949" s="1"/>
      <c r="I949" s="1"/>
      <c r="J949" s="1"/>
      <c r="K949" s="1"/>
      <c r="M949" s="300"/>
      <c r="N949" s="300"/>
      <c r="O949" s="71"/>
      <c r="P949" s="71"/>
      <c r="Q949" s="20"/>
      <c r="R949" s="20"/>
      <c r="S949" s="20"/>
      <c r="T949" s="20"/>
      <c r="U949" s="20"/>
      <c r="V949" s="20"/>
      <c r="W949" s="20"/>
      <c r="X949" s="20"/>
      <c r="Y949" s="20"/>
      <c r="Z949" s="20"/>
      <c r="AA949" s="20"/>
      <c r="AB949" s="20"/>
      <c r="AC949" s="20"/>
    </row>
    <row r="950" spans="1:29">
      <c r="A950" s="1" t="s">
        <v>486</v>
      </c>
      <c r="B950" s="1"/>
      <c r="C950" s="1"/>
      <c r="D950" s="1"/>
      <c r="E950" s="1"/>
      <c r="F950" s="1"/>
      <c r="G950" s="1"/>
      <c r="H950" s="1"/>
      <c r="I950" s="1"/>
      <c r="J950" s="1"/>
      <c r="K950" s="1"/>
      <c r="M950" s="20"/>
      <c r="N950" s="20"/>
      <c r="O950" s="71"/>
      <c r="P950" s="71"/>
      <c r="Q950" s="20"/>
      <c r="R950" s="20"/>
      <c r="S950" s="20"/>
      <c r="T950" s="20"/>
      <c r="U950" s="20"/>
      <c r="V950" s="20"/>
      <c r="W950" s="20"/>
      <c r="X950" s="20"/>
      <c r="Y950" s="20"/>
      <c r="Z950" s="20"/>
      <c r="AA950" s="20"/>
      <c r="AB950" s="20"/>
      <c r="AC950" s="20"/>
    </row>
    <row r="951" spans="1:29">
      <c r="A951" s="1"/>
      <c r="B951" s="1"/>
      <c r="C951" s="1"/>
      <c r="D951" s="1"/>
      <c r="E951" s="303"/>
      <c r="F951" s="1"/>
      <c r="G951" s="1"/>
      <c r="H951" s="1"/>
      <c r="I951" s="303"/>
      <c r="J951" s="1"/>
      <c r="K951" s="1"/>
      <c r="M951" s="20"/>
      <c r="N951" s="20"/>
      <c r="O951" s="71"/>
      <c r="P951" s="71"/>
      <c r="Q951" s="20"/>
      <c r="R951" s="20"/>
      <c r="S951" s="20"/>
      <c r="T951" s="20"/>
      <c r="U951" s="20"/>
      <c r="V951" s="20"/>
      <c r="W951" s="20"/>
      <c r="X951" s="20"/>
      <c r="Y951" s="20"/>
      <c r="Z951" s="20"/>
      <c r="AA951" s="20"/>
      <c r="AB951" s="20"/>
      <c r="AC951" s="20"/>
    </row>
    <row r="952" spans="1:29">
      <c r="A952" s="1" t="s">
        <v>476</v>
      </c>
      <c r="B952" s="1"/>
      <c r="C952" s="21"/>
      <c r="D952" s="21"/>
      <c r="E952" s="182"/>
      <c r="F952" s="1"/>
      <c r="G952" s="296">
        <v>2152.73</v>
      </c>
      <c r="H952" s="296">
        <v>2349.2199999999998</v>
      </c>
      <c r="I952" s="182"/>
      <c r="J952" s="1"/>
      <c r="K952" s="2">
        <f>G952</f>
        <v>2152.73</v>
      </c>
      <c r="M952" s="20"/>
      <c r="N952" s="20"/>
      <c r="O952" s="71"/>
      <c r="P952" s="71"/>
      <c r="Q952" s="20"/>
      <c r="R952" s="20"/>
      <c r="S952" s="20"/>
      <c r="T952" s="20"/>
      <c r="U952" s="20"/>
      <c r="V952" s="20"/>
      <c r="W952" s="20"/>
      <c r="X952" s="20"/>
      <c r="Y952" s="20"/>
      <c r="Z952" s="20"/>
      <c r="AA952" s="20"/>
      <c r="AB952" s="20"/>
      <c r="AC952" s="20"/>
    </row>
    <row r="953" spans="1:29">
      <c r="A953" s="1" t="s">
        <v>574</v>
      </c>
      <c r="B953" s="1"/>
      <c r="C953" s="21"/>
      <c r="D953" s="21"/>
      <c r="E953" s="182"/>
      <c r="F953" s="1"/>
      <c r="G953" s="296"/>
      <c r="H953" s="296"/>
      <c r="I953" s="182"/>
      <c r="J953" s="1"/>
      <c r="K953" s="2"/>
      <c r="M953" s="20"/>
      <c r="N953" s="20"/>
      <c r="O953" s="300" t="e">
        <f>O947-K947</f>
        <v>#REF!</v>
      </c>
      <c r="P953" s="71"/>
      <c r="Q953" s="20"/>
      <c r="R953" s="20"/>
      <c r="S953" s="20"/>
      <c r="T953" s="20"/>
      <c r="U953" s="20"/>
      <c r="V953" s="20"/>
      <c r="W953" s="20"/>
      <c r="X953" s="20"/>
      <c r="Y953" s="20"/>
      <c r="Z953" s="20"/>
      <c r="AA953" s="20"/>
      <c r="AB953" s="20"/>
      <c r="AC953" s="20"/>
    </row>
    <row r="954" spans="1:29">
      <c r="A954" s="3" t="s">
        <v>587</v>
      </c>
      <c r="B954" s="1"/>
      <c r="C954" s="21">
        <f>4115+22+44+10+367+2+4</f>
        <v>4564</v>
      </c>
      <c r="D954" s="21"/>
      <c r="E954" s="182">
        <v>1.91</v>
      </c>
      <c r="F954" s="1"/>
      <c r="G954" s="296">
        <f t="shared" ref="G954:G959" si="91">E954*C954</f>
        <v>8717.24</v>
      </c>
      <c r="H954" s="296"/>
      <c r="I954" s="182">
        <f t="shared" ref="I954:I959" si="92">$I$968*O954/100</f>
        <v>2.05158</v>
      </c>
      <c r="J954" s="1"/>
      <c r="K954" s="2">
        <f t="shared" ref="K954:K959" si="93">I954*$C954</f>
        <v>9363.4111200000007</v>
      </c>
      <c r="M954" s="20"/>
      <c r="N954" s="20"/>
      <c r="O954" s="71">
        <v>31</v>
      </c>
      <c r="P954" s="422">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588</v>
      </c>
      <c r="B955" s="1"/>
      <c r="C955" s="21">
        <f>7386+30+690+6</f>
        <v>8112</v>
      </c>
      <c r="D955" s="21"/>
      <c r="E955" s="182">
        <v>2.7</v>
      </c>
      <c r="F955" s="1"/>
      <c r="G955" s="296">
        <f t="shared" si="91"/>
        <v>21902.400000000001</v>
      </c>
      <c r="H955" s="296"/>
      <c r="I955" s="182">
        <f t="shared" si="92"/>
        <v>2.9119200000000003</v>
      </c>
      <c r="J955" s="1"/>
      <c r="K955" s="2">
        <f t="shared" si="93"/>
        <v>23621.495040000002</v>
      </c>
      <c r="M955" s="20"/>
      <c r="N955" s="20"/>
      <c r="O955" s="71">
        <v>44</v>
      </c>
      <c r="P955" s="422">
        <f t="shared" si="94"/>
        <v>6.136363636363637E-2</v>
      </c>
      <c r="Q955" s="20"/>
      <c r="R955" s="20"/>
      <c r="S955" s="20"/>
      <c r="T955" s="20"/>
      <c r="U955" s="20"/>
      <c r="V955" s="20"/>
      <c r="W955" s="20"/>
      <c r="X955" s="20"/>
      <c r="Y955" s="20"/>
      <c r="Z955" s="20"/>
      <c r="AA955" s="20"/>
      <c r="AB955" s="20"/>
      <c r="AC955" s="20"/>
    </row>
    <row r="956" spans="1:29">
      <c r="A956" s="3" t="s">
        <v>589</v>
      </c>
      <c r="B956" s="1"/>
      <c r="C956" s="21">
        <f>357+715+39+65</f>
        <v>1176</v>
      </c>
      <c r="D956" s="21"/>
      <c r="E956" s="182">
        <v>3.93</v>
      </c>
      <c r="F956" s="1"/>
      <c r="G956" s="296">
        <f t="shared" si="91"/>
        <v>4621.68</v>
      </c>
      <c r="H956" s="296"/>
      <c r="I956" s="182">
        <f t="shared" si="92"/>
        <v>4.2355200000000002</v>
      </c>
      <c r="J956" s="1"/>
      <c r="K956" s="2">
        <f t="shared" si="93"/>
        <v>4980.9715200000001</v>
      </c>
      <c r="M956" s="20"/>
      <c r="N956" s="20"/>
      <c r="O956" s="71">
        <v>64</v>
      </c>
      <c r="P956" s="422">
        <f t="shared" si="94"/>
        <v>6.1406250000000002E-2</v>
      </c>
      <c r="Q956" s="20"/>
      <c r="R956" s="20"/>
      <c r="S956" s="20"/>
      <c r="T956" s="20"/>
      <c r="U956" s="20"/>
      <c r="V956" s="20"/>
      <c r="W956" s="20"/>
      <c r="X956" s="20"/>
      <c r="Y956" s="20"/>
      <c r="Z956" s="20"/>
      <c r="AA956" s="20"/>
      <c r="AB956" s="20"/>
      <c r="AC956" s="20"/>
    </row>
    <row r="957" spans="1:29">
      <c r="A957" s="3" t="s">
        <v>590</v>
      </c>
      <c r="B957" s="1"/>
      <c r="C957" s="21">
        <f>10556+1033</f>
        <v>11589</v>
      </c>
      <c r="D957" s="21"/>
      <c r="E957" s="182">
        <v>5.22</v>
      </c>
      <c r="F957" s="1"/>
      <c r="G957" s="296">
        <f t="shared" si="91"/>
        <v>60494.579999999994</v>
      </c>
      <c r="H957" s="296"/>
      <c r="I957" s="182">
        <f t="shared" si="92"/>
        <v>5.6252999999999993</v>
      </c>
      <c r="J957" s="1"/>
      <c r="K957" s="2">
        <f t="shared" si="93"/>
        <v>65191.601699999992</v>
      </c>
      <c r="M957" s="20"/>
      <c r="N957" s="20"/>
      <c r="O957" s="71">
        <v>85</v>
      </c>
      <c r="P957" s="422">
        <f t="shared" si="94"/>
        <v>6.1411764705882353E-2</v>
      </c>
      <c r="Q957" s="20"/>
      <c r="R957" s="20"/>
      <c r="S957" s="20"/>
      <c r="T957" s="20"/>
      <c r="U957" s="20"/>
      <c r="V957" s="20"/>
      <c r="W957" s="20"/>
      <c r="X957" s="20"/>
      <c r="Y957" s="20"/>
      <c r="Z957" s="20"/>
      <c r="AA957" s="20"/>
      <c r="AB957" s="20"/>
      <c r="AC957" s="20"/>
    </row>
    <row r="958" spans="1:29">
      <c r="A958" s="3" t="s">
        <v>591</v>
      </c>
      <c r="B958" s="1"/>
      <c r="C958" s="21">
        <f>1478+146+231+2458</f>
        <v>4313</v>
      </c>
      <c r="D958" s="21"/>
      <c r="E958" s="182">
        <v>7.07</v>
      </c>
      <c r="F958" s="1"/>
      <c r="G958" s="296">
        <f t="shared" si="91"/>
        <v>30492.91</v>
      </c>
      <c r="H958" s="296"/>
      <c r="I958" s="182">
        <f t="shared" si="92"/>
        <v>7.6107000000000005</v>
      </c>
      <c r="J958" s="1"/>
      <c r="K958" s="2">
        <f t="shared" si="93"/>
        <v>32824.949100000005</v>
      </c>
      <c r="M958" s="20"/>
      <c r="N958" s="20"/>
      <c r="O958" s="71">
        <v>115</v>
      </c>
      <c r="P958" s="422">
        <f t="shared" si="94"/>
        <v>6.1478260869565218E-2</v>
      </c>
      <c r="Q958" s="20"/>
      <c r="R958" s="20"/>
      <c r="S958" s="20"/>
      <c r="T958" s="20"/>
      <c r="U958" s="20"/>
      <c r="V958" s="20"/>
      <c r="W958" s="20"/>
      <c r="X958" s="20"/>
      <c r="Y958" s="20"/>
      <c r="Z958" s="20"/>
      <c r="AA958" s="20"/>
      <c r="AB958" s="20"/>
      <c r="AC958" s="20"/>
    </row>
    <row r="959" spans="1:29">
      <c r="A959" s="3" t="s">
        <v>592</v>
      </c>
      <c r="B959" s="1"/>
      <c r="C959" s="21">
        <f>1575+177</f>
        <v>1752</v>
      </c>
      <c r="D959" s="21"/>
      <c r="E959" s="182">
        <v>10.82</v>
      </c>
      <c r="F959" s="1"/>
      <c r="G959" s="296">
        <f t="shared" si="91"/>
        <v>18956.64</v>
      </c>
      <c r="H959" s="296"/>
      <c r="I959" s="182">
        <f t="shared" si="92"/>
        <v>11.647680000000001</v>
      </c>
      <c r="J959" s="1"/>
      <c r="K959" s="2">
        <f t="shared" si="93"/>
        <v>20406.735360000002</v>
      </c>
      <c r="M959" s="20"/>
      <c r="N959" s="20"/>
      <c r="O959" s="71">
        <v>176</v>
      </c>
      <c r="P959" s="422">
        <f t="shared" si="94"/>
        <v>6.1477272727272728E-2</v>
      </c>
      <c r="Q959" s="20"/>
      <c r="R959" s="20"/>
      <c r="S959" s="20"/>
      <c r="T959" s="20"/>
      <c r="U959" s="20"/>
      <c r="V959" s="20"/>
      <c r="W959" s="20"/>
      <c r="X959" s="20"/>
      <c r="Y959" s="20"/>
      <c r="Z959" s="20"/>
      <c r="AA959" s="20"/>
      <c r="AB959" s="20"/>
      <c r="AC959" s="20"/>
    </row>
    <row r="960" spans="1:29">
      <c r="B960" s="1"/>
      <c r="C960" s="21"/>
      <c r="D960" s="21"/>
      <c r="E960" s="182"/>
      <c r="F960" s="1"/>
      <c r="G960" s="296"/>
      <c r="H960" s="296"/>
      <c r="I960" s="182"/>
      <c r="J960" s="1"/>
      <c r="K960" s="2"/>
      <c r="M960" s="20"/>
      <c r="N960" s="20"/>
      <c r="O960" s="71"/>
      <c r="P960" s="71"/>
      <c r="Q960" s="20"/>
      <c r="R960" s="20"/>
      <c r="S960" s="20"/>
      <c r="T960" s="20"/>
      <c r="U960" s="20"/>
      <c r="V960" s="20"/>
      <c r="W960" s="20"/>
      <c r="X960" s="20"/>
      <c r="Y960" s="20"/>
      <c r="Z960" s="20"/>
      <c r="AA960" s="20"/>
      <c r="AB960" s="20"/>
      <c r="AC960" s="20"/>
    </row>
    <row r="961" spans="1:29">
      <c r="A961" s="3" t="s">
        <v>575</v>
      </c>
      <c r="B961" s="1"/>
      <c r="C961" s="21"/>
      <c r="D961" s="21"/>
      <c r="E961" s="182"/>
      <c r="F961" s="1"/>
      <c r="G961" s="296"/>
      <c r="H961" s="296"/>
      <c r="I961" s="182" t="s">
        <v>31</v>
      </c>
      <c r="J961" s="1"/>
      <c r="K961" s="2"/>
      <c r="M961" s="20"/>
      <c r="N961" s="20"/>
      <c r="O961" s="71"/>
      <c r="P961" s="71"/>
      <c r="Q961" s="20"/>
      <c r="R961" s="20"/>
      <c r="S961" s="20"/>
      <c r="T961" s="20"/>
      <c r="U961" s="20"/>
      <c r="V961" s="20"/>
      <c r="W961" s="20"/>
      <c r="X961" s="20"/>
      <c r="Y961" s="20"/>
      <c r="Z961" s="20"/>
      <c r="AA961" s="20"/>
      <c r="AB961" s="20"/>
      <c r="AC961" s="20"/>
    </row>
    <row r="962" spans="1:29">
      <c r="A962" s="3" t="s">
        <v>593</v>
      </c>
      <c r="B962" s="1"/>
      <c r="C962" s="21">
        <v>0</v>
      </c>
      <c r="D962" s="21"/>
      <c r="E962" s="182">
        <v>2.4</v>
      </c>
      <c r="F962" s="1"/>
      <c r="G962" s="296">
        <f>E962*C962</f>
        <v>0</v>
      </c>
      <c r="H962" s="296"/>
      <c r="I962" s="182">
        <f>$I$968*O962/100</f>
        <v>2.5810200000000005</v>
      </c>
      <c r="J962" s="1"/>
      <c r="K962" s="2">
        <f>I962*$C962</f>
        <v>0</v>
      </c>
      <c r="M962" s="20"/>
      <c r="N962" s="20"/>
      <c r="O962" s="71">
        <v>39</v>
      </c>
      <c r="P962" s="422">
        <f>E962/O962</f>
        <v>6.1538461538461535E-2</v>
      </c>
      <c r="Q962" s="20"/>
      <c r="R962" s="20"/>
      <c r="S962" s="20"/>
      <c r="T962" s="20"/>
      <c r="U962" s="20"/>
      <c r="V962" s="20"/>
      <c r="W962" s="20"/>
      <c r="X962" s="20"/>
      <c r="Y962" s="20"/>
      <c r="Z962" s="20"/>
      <c r="AA962" s="20"/>
      <c r="AB962" s="20"/>
      <c r="AC962" s="20"/>
    </row>
    <row r="963" spans="1:29">
      <c r="A963" s="3" t="s">
        <v>594</v>
      </c>
      <c r="B963" s="1"/>
      <c r="C963" s="21">
        <f>370</f>
        <v>370</v>
      </c>
      <c r="D963" s="21"/>
      <c r="E963" s="182">
        <v>4.18</v>
      </c>
      <c r="F963" s="1"/>
      <c r="G963" s="296">
        <f>E963*C963</f>
        <v>1546.6</v>
      </c>
      <c r="H963" s="296"/>
      <c r="I963" s="182">
        <f>$I$968*O963/100</f>
        <v>4.5002399999999998</v>
      </c>
      <c r="J963" s="1"/>
      <c r="K963" s="2">
        <f>I963*$C963</f>
        <v>1665.0888</v>
      </c>
      <c r="M963" s="20"/>
      <c r="N963" s="20"/>
      <c r="O963" s="71">
        <v>68</v>
      </c>
      <c r="P963" s="422">
        <f>E963/O963</f>
        <v>6.147058823529411E-2</v>
      </c>
      <c r="Q963" s="20"/>
      <c r="R963" s="20"/>
      <c r="S963" s="20"/>
      <c r="T963" s="20"/>
      <c r="U963" s="20"/>
      <c r="V963" s="20"/>
      <c r="W963" s="20"/>
      <c r="X963" s="20"/>
      <c r="Y963" s="20"/>
      <c r="Z963" s="20"/>
      <c r="AA963" s="20"/>
      <c r="AB963" s="20"/>
      <c r="AC963" s="20"/>
    </row>
    <row r="964" spans="1:29">
      <c r="A964" s="3" t="s">
        <v>595</v>
      </c>
      <c r="B964" s="1"/>
      <c r="C964" s="21">
        <f>4</f>
        <v>4</v>
      </c>
      <c r="D964" s="21"/>
      <c r="E964" s="182">
        <v>5.78</v>
      </c>
      <c r="F964" s="1"/>
      <c r="G964" s="296">
        <f>E964*C964</f>
        <v>23.12</v>
      </c>
      <c r="H964" s="296"/>
      <c r="I964" s="182">
        <f>$I$968*O964/100</f>
        <v>6.2209199999999996</v>
      </c>
      <c r="J964" s="1"/>
      <c r="K964" s="2">
        <f>I964*$C964</f>
        <v>24.883679999999998</v>
      </c>
      <c r="M964" s="20"/>
      <c r="N964" s="20"/>
      <c r="O964" s="71">
        <v>94</v>
      </c>
      <c r="P964" s="422">
        <f>E964/O964</f>
        <v>6.1489361702127661E-2</v>
      </c>
      <c r="Q964" s="20"/>
      <c r="R964" s="20"/>
      <c r="S964" s="20"/>
      <c r="T964" s="20"/>
      <c r="U964" s="20"/>
      <c r="V964" s="20"/>
      <c r="W964" s="20"/>
      <c r="X964" s="20"/>
      <c r="Y964" s="20"/>
      <c r="Z964" s="20"/>
      <c r="AA964" s="20"/>
      <c r="AB964" s="20"/>
      <c r="AC964" s="20"/>
    </row>
    <row r="965" spans="1:29">
      <c r="A965" s="3" t="s">
        <v>596</v>
      </c>
      <c r="B965" s="1"/>
      <c r="C965" s="21">
        <f>128+39</f>
        <v>167</v>
      </c>
      <c r="D965" s="21"/>
      <c r="E965" s="182">
        <v>9.16</v>
      </c>
      <c r="F965" s="1"/>
      <c r="G965" s="296">
        <f>E965*C965</f>
        <v>1529.72</v>
      </c>
      <c r="H965" s="296"/>
      <c r="I965" s="182">
        <f>$I$968*O965/100</f>
        <v>9.8608200000000004</v>
      </c>
      <c r="J965" s="1"/>
      <c r="K965" s="2">
        <f>I965*$C965</f>
        <v>1646.75694</v>
      </c>
      <c r="M965" s="20"/>
      <c r="N965" s="20"/>
      <c r="O965" s="71">
        <v>149</v>
      </c>
      <c r="P965" s="422">
        <f>E965/O965</f>
        <v>6.1476510067114097E-2</v>
      </c>
      <c r="Q965" s="20"/>
      <c r="R965" s="20"/>
      <c r="S965" s="20"/>
      <c r="T965" s="20"/>
      <c r="U965" s="20"/>
      <c r="V965" s="20"/>
      <c r="W965" s="20"/>
      <c r="X965" s="20"/>
      <c r="Y965" s="20"/>
      <c r="Z965" s="20"/>
      <c r="AA965" s="20"/>
      <c r="AB965" s="20"/>
      <c r="AC965" s="20"/>
    </row>
    <row r="966" spans="1:29">
      <c r="A966" s="3" t="s">
        <v>597</v>
      </c>
      <c r="B966" s="1"/>
      <c r="C966" s="21">
        <f>47</f>
        <v>47</v>
      </c>
      <c r="D966" s="21"/>
      <c r="E966" s="182">
        <v>21.76</v>
      </c>
      <c r="F966" s="1"/>
      <c r="G966" s="296">
        <f>E966*C966</f>
        <v>1022.72</v>
      </c>
      <c r="H966" s="296"/>
      <c r="I966" s="182">
        <f>$I$968*O966/100</f>
        <v>23.427720000000001</v>
      </c>
      <c r="J966" s="1"/>
      <c r="K966" s="2">
        <f>I966*$C966</f>
        <v>1101.10284</v>
      </c>
      <c r="M966" s="20"/>
      <c r="N966" s="20"/>
      <c r="O966" s="71">
        <v>354</v>
      </c>
      <c r="P966" s="422">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182"/>
      <c r="F967" s="1"/>
      <c r="G967" s="296"/>
      <c r="H967" s="296"/>
      <c r="I967" s="182"/>
      <c r="J967" s="1"/>
      <c r="K967" s="2"/>
      <c r="M967" s="20"/>
      <c r="N967" s="20"/>
      <c r="O967" s="71"/>
      <c r="P967" s="71"/>
      <c r="Q967" s="20"/>
      <c r="R967" s="20"/>
      <c r="S967" s="20"/>
      <c r="T967" s="20"/>
      <c r="U967" s="20"/>
      <c r="V967" s="20"/>
      <c r="W967" s="20"/>
      <c r="X967" s="20"/>
      <c r="Y967" s="20"/>
      <c r="Z967" s="20"/>
      <c r="AA967" s="20"/>
      <c r="AB967" s="20"/>
      <c r="AC967" s="20"/>
    </row>
    <row r="968" spans="1:29">
      <c r="A968" s="1" t="s">
        <v>598</v>
      </c>
      <c r="B968" s="1"/>
      <c r="C968" s="148">
        <f>363706+292497+2160+112145+73788+6445+101667+34034+586+824</f>
        <v>987852</v>
      </c>
      <c r="D968" s="203">
        <f>ROUND(($D$971/$C$971)*C968,0)</f>
        <v>999683</v>
      </c>
      <c r="E968" s="297">
        <f>$E$942</f>
        <v>6.1459999999999999</v>
      </c>
      <c r="F968" s="1" t="s">
        <v>362</v>
      </c>
      <c r="G968" s="298">
        <f>ROUND(C968*E968/100,0)</f>
        <v>60713</v>
      </c>
      <c r="H968" s="298">
        <f>ROUND(D968*E968/100,0)</f>
        <v>61441</v>
      </c>
      <c r="I968" s="297">
        <v>6.6180000000000003</v>
      </c>
      <c r="J968" s="1" t="s">
        <v>362</v>
      </c>
      <c r="K968" s="2">
        <f>ROUND(I968*C968/100,0)</f>
        <v>65376</v>
      </c>
      <c r="M968" s="20"/>
      <c r="N968" s="20"/>
      <c r="O968" s="71"/>
      <c r="P968" s="71"/>
      <c r="Q968" s="20"/>
      <c r="R968" s="20"/>
      <c r="S968" s="20"/>
      <c r="T968" s="20"/>
      <c r="U968" s="20"/>
      <c r="V968" s="20"/>
      <c r="W968" s="20"/>
      <c r="X968" s="20"/>
      <c r="Y968" s="20"/>
      <c r="Z968" s="20"/>
      <c r="AA968" s="20"/>
      <c r="AB968" s="20"/>
      <c r="AC968" s="20"/>
    </row>
    <row r="969" spans="1:29">
      <c r="A969" s="1" t="s">
        <v>599</v>
      </c>
      <c r="B969" s="1"/>
      <c r="C969" s="148">
        <f>127566+324980+1320+22848+897247+169940+277177+682+1364+39325+272844+4120+11377+30360+264+2496+87808+16790+31152+28120+432+22016+6708+19364+62+124+3575+25641</f>
        <v>2425702</v>
      </c>
      <c r="D969" s="203">
        <f>ROUND(($D$971/$C$971)*C969,0)</f>
        <v>2454753</v>
      </c>
      <c r="E969" s="305" t="s">
        <v>31</v>
      </c>
      <c r="F969" s="1" t="s">
        <v>31</v>
      </c>
      <c r="G969" s="298" t="s">
        <v>31</v>
      </c>
      <c r="H969" s="298">
        <f>ROUND(D969*E969/100,0)</f>
        <v>0</v>
      </c>
      <c r="I969" s="305">
        <v>0</v>
      </c>
      <c r="J969" s="1" t="s">
        <v>362</v>
      </c>
      <c r="K969" s="2">
        <v>0</v>
      </c>
      <c r="M969" s="20"/>
      <c r="N969" s="20"/>
      <c r="O969" s="71"/>
      <c r="P969" s="71">
        <v>211950</v>
      </c>
      <c r="Q969" s="2">
        <f>C969*0.06146</f>
        <v>149083.64491999999</v>
      </c>
      <c r="R969" s="20"/>
      <c r="S969" s="20"/>
      <c r="T969" s="20"/>
      <c r="U969" s="20"/>
      <c r="V969" s="20"/>
      <c r="W969" s="20"/>
      <c r="X969" s="20"/>
      <c r="Y969" s="20"/>
      <c r="Z969" s="20"/>
      <c r="AA969" s="20"/>
      <c r="AB969" s="20"/>
      <c r="AC969" s="20"/>
    </row>
    <row r="970" spans="1:29">
      <c r="A970" s="1" t="s">
        <v>350</v>
      </c>
      <c r="B970" s="1"/>
      <c r="C970" s="148">
        <f>54+1950</f>
        <v>2004</v>
      </c>
      <c r="D970" s="203">
        <v>2369</v>
      </c>
      <c r="E970" s="299"/>
      <c r="F970" s="1"/>
      <c r="G970" s="2"/>
      <c r="H970" s="2"/>
      <c r="I970" s="299"/>
      <c r="J970" s="1"/>
      <c r="K970" s="2"/>
      <c r="M970" s="20"/>
      <c r="N970" s="20"/>
      <c r="O970" s="71"/>
      <c r="P970" s="71"/>
      <c r="Q970" s="20"/>
      <c r="R970" s="20"/>
      <c r="S970" s="20"/>
      <c r="T970" s="20"/>
      <c r="U970" s="20"/>
      <c r="V970" s="20"/>
      <c r="W970" s="20"/>
      <c r="X970" s="20"/>
      <c r="Y970" s="20"/>
      <c r="Z970" s="20"/>
      <c r="AA970" s="20"/>
      <c r="AB970" s="20"/>
      <c r="AC970" s="20"/>
    </row>
    <row r="971" spans="1:29">
      <c r="A971" s="3" t="s">
        <v>479</v>
      </c>
      <c r="C971" s="148">
        <f>C968+C969</f>
        <v>3413554</v>
      </c>
      <c r="D971" s="148">
        <v>3454436.4805654008</v>
      </c>
      <c r="E971" s="153"/>
      <c r="F971" s="20"/>
      <c r="G971" s="156">
        <f>SUM(G952:G969)</f>
        <v>212173.34</v>
      </c>
      <c r="H971" s="156">
        <f>SUM(H952:H969)</f>
        <v>63790.22</v>
      </c>
      <c r="I971" s="153"/>
      <c r="J971" s="20"/>
      <c r="K971" s="156">
        <f>SUM(K952:K969)</f>
        <v>228355.72609999997</v>
      </c>
      <c r="M971" s="20"/>
      <c r="N971" s="20"/>
      <c r="O971" s="71"/>
      <c r="P971" s="71"/>
      <c r="Q971" s="20"/>
      <c r="R971" s="20"/>
      <c r="S971" s="20"/>
      <c r="T971" s="20"/>
      <c r="U971" s="20"/>
      <c r="V971" s="20"/>
      <c r="W971" s="20"/>
      <c r="X971" s="20"/>
      <c r="Y971" s="20"/>
      <c r="Z971" s="20"/>
      <c r="AA971" s="20"/>
      <c r="AB971" s="20"/>
      <c r="AC971" s="20"/>
    </row>
    <row r="972" spans="1:29">
      <c r="A972" s="3" t="s">
        <v>480</v>
      </c>
      <c r="C972" s="148" t="e">
        <f>#REF!</f>
        <v>#REF!</v>
      </c>
      <c r="D972" s="148">
        <v>0</v>
      </c>
      <c r="E972" s="153"/>
      <c r="F972" s="20"/>
      <c r="G972" s="156" t="e">
        <f>#REF!</f>
        <v>#REF!</v>
      </c>
      <c r="H972" s="156">
        <v>0</v>
      </c>
      <c r="I972" s="153"/>
      <c r="J972" s="20"/>
      <c r="K972" s="156" t="e">
        <f>G972</f>
        <v>#REF!</v>
      </c>
      <c r="M972" s="328"/>
      <c r="N972" s="328"/>
      <c r="O972" s="171"/>
      <c r="P972" s="71"/>
      <c r="Q972" s="20"/>
      <c r="R972" s="20"/>
      <c r="S972" s="20"/>
      <c r="T972" s="20"/>
      <c r="U972" s="20"/>
      <c r="V972" s="20"/>
      <c r="W972" s="20"/>
      <c r="X972" s="20"/>
      <c r="Y972" s="20"/>
      <c r="Z972" s="20"/>
      <c r="AA972" s="20"/>
      <c r="AB972" s="20"/>
      <c r="AC972" s="20"/>
    </row>
    <row r="973" spans="1:29" ht="16.5" thickBot="1">
      <c r="A973" s="1" t="s">
        <v>9</v>
      </c>
      <c r="B973" s="1"/>
      <c r="C973" s="277" t="e">
        <f>C971+C972</f>
        <v>#REF!</v>
      </c>
      <c r="D973" s="277">
        <f>D971+D972</f>
        <v>3454436.4805654008</v>
      </c>
      <c r="E973" s="301"/>
      <c r="F973" s="302"/>
      <c r="G973" s="158" t="e">
        <f>G971+G972</f>
        <v>#REF!</v>
      </c>
      <c r="H973" s="158">
        <f>H971+H972</f>
        <v>63790.22</v>
      </c>
      <c r="I973" s="301"/>
      <c r="J973" s="302"/>
      <c r="K973" s="158" t="e">
        <f>K971+K972</f>
        <v>#REF!</v>
      </c>
      <c r="M973" s="295"/>
      <c r="N973" s="295"/>
      <c r="O973" s="354"/>
      <c r="P973" s="71"/>
      <c r="Q973" s="20"/>
      <c r="R973" s="20"/>
      <c r="S973" s="20"/>
      <c r="T973" s="20"/>
      <c r="U973" s="20"/>
      <c r="V973" s="20"/>
      <c r="W973" s="20"/>
      <c r="X973" s="20"/>
      <c r="Y973" s="20"/>
      <c r="Z973" s="20"/>
      <c r="AA973" s="20"/>
      <c r="AB973" s="20"/>
      <c r="AC973" s="20"/>
    </row>
    <row r="974" spans="1:29" ht="16.5" thickTop="1">
      <c r="A974" s="1"/>
      <c r="B974" s="1"/>
      <c r="C974" s="25"/>
      <c r="D974" s="25"/>
      <c r="E974" s="306"/>
      <c r="F974" s="23"/>
      <c r="G974" s="50"/>
      <c r="H974" s="50"/>
      <c r="I974" s="306" t="s">
        <v>31</v>
      </c>
      <c r="J974" s="23"/>
      <c r="K974" s="50" t="s">
        <v>31</v>
      </c>
      <c r="M974" s="20"/>
      <c r="N974" s="20"/>
      <c r="O974" s="71"/>
      <c r="P974" s="71" t="s">
        <v>31</v>
      </c>
      <c r="Q974" s="20"/>
      <c r="R974" s="20"/>
      <c r="S974" s="20"/>
      <c r="T974" s="20"/>
      <c r="U974" s="20"/>
      <c r="V974" s="20"/>
      <c r="W974" s="20"/>
      <c r="X974" s="20"/>
      <c r="Y974" s="20"/>
      <c r="Z974" s="20"/>
      <c r="AA974" s="20"/>
      <c r="AB974" s="20"/>
      <c r="AC974" s="20"/>
    </row>
    <row r="975" spans="1:29">
      <c r="A975" s="177" t="s">
        <v>487</v>
      </c>
      <c r="B975" s="1"/>
      <c r="C975" s="1"/>
      <c r="D975" s="1"/>
      <c r="E975" s="1"/>
      <c r="F975" s="1"/>
      <c r="G975" s="1"/>
      <c r="H975" s="1"/>
      <c r="I975" s="1"/>
      <c r="J975" s="1"/>
      <c r="K975" s="1"/>
      <c r="M975" s="20"/>
      <c r="N975" s="20"/>
      <c r="O975" s="71"/>
      <c r="P975" s="71"/>
      <c r="Q975" s="20"/>
      <c r="R975" s="20"/>
      <c r="S975" s="20"/>
      <c r="T975" s="20"/>
      <c r="U975" s="20"/>
      <c r="V975" s="20"/>
      <c r="W975" s="20"/>
      <c r="X975" s="20"/>
      <c r="Y975" s="20"/>
      <c r="Z975" s="20"/>
      <c r="AA975" s="20"/>
      <c r="AB975" s="20"/>
      <c r="AC975" s="20"/>
    </row>
    <row r="976" spans="1:29">
      <c r="A976" s="1" t="s">
        <v>488</v>
      </c>
      <c r="B976" s="1"/>
      <c r="C976" s="1"/>
      <c r="D976" s="1"/>
      <c r="E976" s="1"/>
      <c r="F976" s="1"/>
      <c r="G976" s="1"/>
      <c r="H976" s="1"/>
      <c r="I976" s="1"/>
      <c r="J976" s="1"/>
      <c r="K976" s="1"/>
      <c r="M976" s="20"/>
      <c r="N976" s="20"/>
      <c r="O976" s="71"/>
      <c r="P976" s="71"/>
      <c r="Q976" s="20"/>
      <c r="R976" s="20"/>
      <c r="S976" s="20"/>
      <c r="T976" s="20"/>
      <c r="U976" s="20"/>
      <c r="V976" s="20"/>
      <c r="W976" s="20"/>
      <c r="X976" s="20"/>
      <c r="Y976" s="20"/>
      <c r="Z976" s="20"/>
      <c r="AA976" s="20"/>
      <c r="AB976" s="20"/>
      <c r="AC976" s="20"/>
    </row>
    <row r="977" spans="1:29">
      <c r="A977" s="1"/>
      <c r="B977" s="1"/>
      <c r="C977" s="1"/>
      <c r="D977" s="1"/>
      <c r="E977" s="303"/>
      <c r="F977" s="1"/>
      <c r="G977" s="1"/>
      <c r="H977" s="1"/>
      <c r="I977" s="303"/>
      <c r="J977" s="1"/>
      <c r="K977" s="1"/>
      <c r="M977" s="20"/>
      <c r="N977" s="20"/>
      <c r="O977" s="71"/>
      <c r="P977" s="71"/>
      <c r="Q977" s="20"/>
      <c r="R977" s="20"/>
      <c r="S977" s="20"/>
      <c r="T977" s="20"/>
      <c r="U977" s="20"/>
      <c r="V977" s="20"/>
      <c r="W977" s="20"/>
      <c r="X977" s="20"/>
      <c r="Y977" s="20"/>
      <c r="Z977" s="20"/>
      <c r="AA977" s="20"/>
      <c r="AB977" s="20"/>
      <c r="AC977" s="20"/>
    </row>
    <row r="978" spans="1:29">
      <c r="A978" s="1" t="s">
        <v>476</v>
      </c>
      <c r="B978" s="1"/>
      <c r="C978" s="21"/>
      <c r="D978" s="21"/>
      <c r="E978" s="182"/>
      <c r="F978" s="1"/>
      <c r="G978" s="296">
        <v>0</v>
      </c>
      <c r="H978" s="296">
        <v>0</v>
      </c>
      <c r="I978" s="182"/>
      <c r="J978" s="1"/>
      <c r="K978" s="2">
        <f>G978</f>
        <v>0</v>
      </c>
      <c r="M978" s="20"/>
      <c r="N978" s="20"/>
      <c r="O978" s="71"/>
      <c r="P978" s="71"/>
      <c r="Q978" s="20"/>
      <c r="R978" s="20"/>
      <c r="S978" s="20"/>
      <c r="T978" s="20"/>
      <c r="U978" s="20"/>
      <c r="V978" s="20"/>
      <c r="W978" s="20"/>
      <c r="X978" s="20"/>
      <c r="Y978" s="20"/>
      <c r="Z978" s="20"/>
      <c r="AA978" s="20"/>
      <c r="AB978" s="20"/>
      <c r="AC978" s="20"/>
    </row>
    <row r="979" spans="1:29">
      <c r="A979" s="1" t="s">
        <v>483</v>
      </c>
      <c r="B979" s="1"/>
      <c r="C979" s="148">
        <v>0</v>
      </c>
      <c r="D979" s="203">
        <f>ROUND(($D$982/$C$982)*C979,0)</f>
        <v>0</v>
      </c>
      <c r="E979" s="297">
        <f>$E$942</f>
        <v>6.1459999999999999</v>
      </c>
      <c r="F979" s="1" t="s">
        <v>362</v>
      </c>
      <c r="G979" s="298">
        <f>ROUND(C979*E979/100,0)</f>
        <v>0</v>
      </c>
      <c r="H979" s="298">
        <f>ROUND(D979*E979/100,0)</f>
        <v>0</v>
      </c>
      <c r="I979" s="297">
        <f>I968</f>
        <v>6.6180000000000003</v>
      </c>
      <c r="J979" s="1" t="s">
        <v>362</v>
      </c>
      <c r="K979" s="2">
        <f>ROUND(I979*D979/100,0)</f>
        <v>0</v>
      </c>
      <c r="M979" s="20"/>
      <c r="N979" s="20"/>
      <c r="O979" s="71"/>
      <c r="P979" s="71"/>
      <c r="Q979" s="20"/>
      <c r="R979" s="20"/>
      <c r="S979" s="20"/>
      <c r="T979" s="20"/>
      <c r="U979" s="20"/>
      <c r="V979" s="20"/>
      <c r="W979" s="20"/>
      <c r="X979" s="20"/>
      <c r="Y979" s="20"/>
      <c r="Z979" s="20"/>
      <c r="AA979" s="20"/>
      <c r="AB979" s="20"/>
      <c r="AC979" s="20"/>
    </row>
    <row r="980" spans="1:29">
      <c r="A980" s="1" t="s">
        <v>484</v>
      </c>
      <c r="B980" s="1"/>
      <c r="C980" s="148">
        <v>1030127</v>
      </c>
      <c r="D980" s="203">
        <f>ROUND(($D$982/$C$982)*C980,0)</f>
        <v>984893</v>
      </c>
      <c r="E980" s="305">
        <f>E979</f>
        <v>6.1459999999999999</v>
      </c>
      <c r="F980" s="1" t="s">
        <v>362</v>
      </c>
      <c r="G980" s="298">
        <f>ROUND(C980*E980/100,0)</f>
        <v>63312</v>
      </c>
      <c r="H980" s="298">
        <f>ROUND(D980*E980/100,0)</f>
        <v>60532</v>
      </c>
      <c r="I980" s="305">
        <f>I979</f>
        <v>6.6180000000000003</v>
      </c>
      <c r="J980" s="1" t="s">
        <v>362</v>
      </c>
      <c r="K980" s="2">
        <f>ROUND(I980*$C980/100,0)</f>
        <v>68174</v>
      </c>
      <c r="M980" s="20"/>
      <c r="N980" s="20"/>
      <c r="O980" s="71"/>
      <c r="P980" s="71"/>
      <c r="Q980" s="20"/>
      <c r="R980" s="20"/>
      <c r="S980" s="20"/>
      <c r="T980" s="20"/>
      <c r="U980" s="20"/>
      <c r="V980" s="20"/>
      <c r="W980" s="20"/>
      <c r="X980" s="20"/>
      <c r="Y980" s="20"/>
      <c r="Z980" s="20"/>
      <c r="AA980" s="20"/>
      <c r="AB980" s="20"/>
      <c r="AC980" s="20"/>
    </row>
    <row r="981" spans="1:29">
      <c r="A981" s="1" t="s">
        <v>350</v>
      </c>
      <c r="B981" s="1"/>
      <c r="C981" s="148">
        <v>1042</v>
      </c>
      <c r="D981" s="203">
        <v>1032</v>
      </c>
      <c r="E981" s="299"/>
      <c r="F981" s="1"/>
      <c r="G981" s="2"/>
      <c r="H981" s="2"/>
      <c r="I981" s="299"/>
      <c r="J981" s="1"/>
      <c r="K981" s="2"/>
      <c r="M981" s="20"/>
      <c r="N981" s="20"/>
      <c r="O981" s="71"/>
      <c r="P981" s="71"/>
      <c r="Q981" s="20"/>
      <c r="R981" s="20"/>
      <c r="S981" s="20"/>
      <c r="T981" s="20"/>
      <c r="U981" s="20"/>
      <c r="V981" s="20"/>
      <c r="W981" s="20"/>
      <c r="X981" s="20"/>
      <c r="Y981" s="20"/>
      <c r="Z981" s="20"/>
      <c r="AA981" s="20"/>
      <c r="AB981" s="20"/>
      <c r="AC981" s="20"/>
    </row>
    <row r="982" spans="1:29">
      <c r="A982" s="3" t="s">
        <v>479</v>
      </c>
      <c r="C982" s="148">
        <f>C979+C980</f>
        <v>1030127</v>
      </c>
      <c r="D982" s="148">
        <v>984893.270531249</v>
      </c>
      <c r="E982" s="153"/>
      <c r="F982" s="20"/>
      <c r="G982" s="156">
        <f>SUM(G978:G980)</f>
        <v>63312</v>
      </c>
      <c r="H982" s="156">
        <f>SUM(H978:H980)</f>
        <v>60532</v>
      </c>
      <c r="I982" s="153"/>
      <c r="J982" s="20"/>
      <c r="K982" s="156">
        <f>SUM(K978:K980)</f>
        <v>68174</v>
      </c>
      <c r="M982" s="20"/>
      <c r="N982" s="20"/>
      <c r="O982" s="71"/>
      <c r="P982" s="71"/>
      <c r="Q982" s="20"/>
      <c r="R982" s="20"/>
      <c r="S982" s="20"/>
      <c r="T982" s="20"/>
      <c r="U982" s="20"/>
      <c r="V982" s="20"/>
      <c r="W982" s="20"/>
      <c r="X982" s="20"/>
      <c r="Y982" s="20"/>
      <c r="Z982" s="20"/>
      <c r="AA982" s="20"/>
      <c r="AB982" s="20"/>
      <c r="AC982" s="20"/>
    </row>
    <row r="983" spans="1:29">
      <c r="A983" s="3" t="s">
        <v>480</v>
      </c>
      <c r="C983" s="148" t="e">
        <f>#REF!</f>
        <v>#REF!</v>
      </c>
      <c r="D983" s="148">
        <v>0</v>
      </c>
      <c r="E983" s="153"/>
      <c r="F983" s="20"/>
      <c r="G983" s="156" t="e">
        <f>#REF!</f>
        <v>#REF!</v>
      </c>
      <c r="H983" s="156">
        <v>0</v>
      </c>
      <c r="I983" s="153"/>
      <c r="J983" s="20"/>
      <c r="K983" s="156" t="e">
        <f>G983</f>
        <v>#REF!</v>
      </c>
      <c r="M983" s="328"/>
      <c r="N983" s="328"/>
      <c r="O983" s="171"/>
      <c r="P983" s="71"/>
      <c r="Q983" s="20"/>
      <c r="R983" s="20"/>
      <c r="S983" s="20"/>
      <c r="T983" s="20"/>
      <c r="U983" s="20"/>
      <c r="V983" s="20"/>
      <c r="W983" s="20"/>
      <c r="X983" s="20"/>
      <c r="Y983" s="20"/>
      <c r="Z983" s="20"/>
      <c r="AA983" s="20"/>
      <c r="AB983" s="20"/>
      <c r="AC983" s="20"/>
    </row>
    <row r="984" spans="1:29" ht="16.5" thickBot="1">
      <c r="A984" s="1" t="s">
        <v>9</v>
      </c>
      <c r="B984" s="1"/>
      <c r="C984" s="277" t="e">
        <f>C982+C983</f>
        <v>#REF!</v>
      </c>
      <c r="D984" s="277">
        <f>D982+D983</f>
        <v>984893.270531249</v>
      </c>
      <c r="E984" s="301"/>
      <c r="F984" s="302"/>
      <c r="G984" s="158" t="e">
        <f>G982+G983</f>
        <v>#REF!</v>
      </c>
      <c r="H984" s="158">
        <f>H982+H983</f>
        <v>60532</v>
      </c>
      <c r="I984" s="301"/>
      <c r="J984" s="302"/>
      <c r="K984" s="158" t="e">
        <f>K982+K983</f>
        <v>#REF!</v>
      </c>
      <c r="M984" s="295"/>
      <c r="N984" s="295"/>
      <c r="O984" s="354"/>
      <c r="P984" s="71"/>
      <c r="Q984" s="20"/>
      <c r="R984" s="20"/>
      <c r="S984" s="20"/>
      <c r="T984" s="20"/>
      <c r="U984" s="20"/>
      <c r="V984" s="20"/>
      <c r="W984" s="20"/>
      <c r="X984" s="20"/>
      <c r="Y984" s="20"/>
      <c r="Z984" s="20"/>
      <c r="AA984" s="20"/>
      <c r="AB984" s="20"/>
      <c r="AC984" s="20"/>
    </row>
    <row r="985" spans="1:29" ht="16.5" thickTop="1">
      <c r="A985" s="1"/>
      <c r="B985" s="1"/>
      <c r="C985" s="25"/>
      <c r="D985" s="25"/>
      <c r="E985" s="306"/>
      <c r="F985" s="23"/>
      <c r="G985" s="50"/>
      <c r="H985" s="50"/>
      <c r="I985" s="306" t="s">
        <v>31</v>
      </c>
      <c r="J985" s="23"/>
      <c r="K985" s="50" t="s">
        <v>31</v>
      </c>
      <c r="M985" s="20"/>
      <c r="N985" s="20"/>
      <c r="O985" s="71"/>
      <c r="P985" s="71"/>
      <c r="Q985" s="20"/>
      <c r="R985" s="20"/>
      <c r="S985" s="20"/>
      <c r="T985" s="20"/>
      <c r="U985" s="20"/>
      <c r="V985" s="20"/>
      <c r="W985" s="20"/>
      <c r="X985" s="20"/>
      <c r="Y985" s="20"/>
      <c r="Z985" s="20"/>
      <c r="AA985" s="20"/>
      <c r="AB985" s="20"/>
      <c r="AC985" s="20"/>
    </row>
    <row r="986" spans="1:29">
      <c r="A986" s="177" t="s">
        <v>489</v>
      </c>
      <c r="B986" s="1"/>
      <c r="C986" s="1"/>
      <c r="D986" s="1"/>
      <c r="E986" s="1"/>
      <c r="F986" s="1"/>
      <c r="G986" s="1"/>
      <c r="H986" s="1"/>
      <c r="I986" s="1"/>
      <c r="J986" s="1"/>
      <c r="K986" s="1" t="s">
        <v>31</v>
      </c>
      <c r="M986" s="20"/>
      <c r="N986" s="20"/>
      <c r="O986" s="71"/>
      <c r="P986" s="71"/>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1"/>
      <c r="P987" s="71"/>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1"/>
      <c r="P988" s="71"/>
      <c r="Q988" s="20"/>
      <c r="R988" s="20"/>
      <c r="S988" s="20"/>
      <c r="T988" s="20"/>
      <c r="U988" s="20"/>
      <c r="V988" s="20"/>
      <c r="W988" s="20"/>
      <c r="X988" s="20"/>
      <c r="Y988" s="20"/>
      <c r="Z988" s="20"/>
      <c r="AA988" s="20"/>
      <c r="AB988" s="20"/>
      <c r="AC988" s="20"/>
    </row>
    <row r="989" spans="1:29">
      <c r="A989" s="1" t="s">
        <v>490</v>
      </c>
      <c r="B989" s="1"/>
      <c r="C989" s="21">
        <v>192</v>
      </c>
      <c r="D989" s="203">
        <v>190</v>
      </c>
      <c r="E989" s="182">
        <v>3.5</v>
      </c>
      <c r="F989" s="1"/>
      <c r="G989" s="2">
        <f>ROUND(E989*C989,0)</f>
        <v>672</v>
      </c>
      <c r="H989" s="2">
        <f>ROUND(E989*D989,0)</f>
        <v>665</v>
      </c>
      <c r="I989" s="182">
        <f>'Blocking - detail'!I960</f>
        <v>3.5</v>
      </c>
      <c r="J989" s="1"/>
      <c r="K989" s="2">
        <f>ROUND(I989*$C989,0)</f>
        <v>672</v>
      </c>
      <c r="M989" s="81">
        <f>I989*D989</f>
        <v>665</v>
      </c>
      <c r="N989" s="20"/>
      <c r="O989" s="309"/>
      <c r="P989" s="309"/>
      <c r="Q989" s="20"/>
      <c r="R989" s="20"/>
      <c r="S989" s="20"/>
      <c r="T989" s="20"/>
      <c r="U989" s="20"/>
      <c r="V989" s="20"/>
      <c r="W989" s="20"/>
      <c r="X989" s="20"/>
      <c r="Y989" s="20"/>
      <c r="Z989" s="20"/>
      <c r="AA989" s="20"/>
      <c r="AB989" s="20"/>
      <c r="AC989" s="20"/>
    </row>
    <row r="990" spans="1:29">
      <c r="A990" s="1" t="s">
        <v>491</v>
      </c>
      <c r="B990" s="1"/>
      <c r="C990" s="21">
        <v>146</v>
      </c>
      <c r="D990" s="203">
        <v>145</v>
      </c>
      <c r="E990" s="182">
        <v>6.5</v>
      </c>
      <c r="F990" s="1"/>
      <c r="G990" s="2">
        <f>ROUND(E990*C990,0)</f>
        <v>949</v>
      </c>
      <c r="H990" s="2">
        <f>ROUND(E990*D990,0)</f>
        <v>943</v>
      </c>
      <c r="I990" s="182">
        <f>'Blocking - detail'!I961</f>
        <v>6.5</v>
      </c>
      <c r="J990" s="1"/>
      <c r="K990" s="2">
        <f>ROUND(I990*$C990,0)</f>
        <v>949</v>
      </c>
      <c r="M990" s="81">
        <f>I990*D990</f>
        <v>942.5</v>
      </c>
      <c r="N990" s="20"/>
      <c r="O990" s="309"/>
      <c r="P990" s="309"/>
      <c r="Q990" s="20"/>
      <c r="R990" s="20"/>
      <c r="S990" s="20"/>
      <c r="T990" s="20"/>
      <c r="U990" s="20"/>
      <c r="V990" s="20"/>
      <c r="W990" s="20"/>
      <c r="X990" s="20"/>
      <c r="Y990" s="20"/>
      <c r="Z990" s="20"/>
      <c r="AA990" s="20"/>
      <c r="AB990" s="20"/>
      <c r="AC990" s="20"/>
    </row>
    <row r="991" spans="1:29">
      <c r="A991" s="1" t="s">
        <v>492</v>
      </c>
      <c r="B991" s="1"/>
      <c r="C991" s="21">
        <f>SUM(C989:C990)</f>
        <v>338</v>
      </c>
      <c r="D991" s="203">
        <v>335</v>
      </c>
      <c r="E991" s="258"/>
      <c r="F991" s="1"/>
      <c r="G991" s="298"/>
      <c r="H991" s="298"/>
      <c r="I991" s="258"/>
      <c r="J991" s="1"/>
      <c r="K991" s="2"/>
      <c r="M991" s="20"/>
      <c r="N991" s="20"/>
      <c r="O991" s="309"/>
      <c r="P991" s="309"/>
      <c r="Q991" s="20"/>
      <c r="R991" s="20"/>
      <c r="S991" s="20"/>
      <c r="T991" s="20"/>
      <c r="U991" s="20"/>
      <c r="V991" s="20"/>
      <c r="W991" s="20"/>
      <c r="X991" s="20"/>
      <c r="Y991" s="20"/>
      <c r="Z991" s="20"/>
      <c r="AA991" s="20"/>
      <c r="AB991" s="20"/>
      <c r="AC991" s="20"/>
    </row>
    <row r="992" spans="1:29">
      <c r="A992" s="1" t="s">
        <v>452</v>
      </c>
      <c r="B992" s="1"/>
      <c r="C992" s="21">
        <f>88297+144017</f>
        <v>232314</v>
      </c>
      <c r="D992" s="203">
        <v>235030</v>
      </c>
      <c r="E992" s="211">
        <v>7.2930000000000001</v>
      </c>
      <c r="F992" s="1" t="s">
        <v>362</v>
      </c>
      <c r="G992" s="298">
        <f>ROUND(C992*E992/100,0)</f>
        <v>16943</v>
      </c>
      <c r="H992" s="298">
        <f>ROUND(D992*E992/100,0)</f>
        <v>17141</v>
      </c>
      <c r="I992" s="211">
        <v>7.88</v>
      </c>
      <c r="J992" s="2" t="s">
        <v>362</v>
      </c>
      <c r="K992" s="2">
        <f>ROUND(I992*$C992/100,0)</f>
        <v>18306</v>
      </c>
      <c r="M992" s="81">
        <f>(I992/100)*D992</f>
        <v>18520.363999999998</v>
      </c>
      <c r="N992" s="20"/>
      <c r="O992" s="309"/>
      <c r="P992" s="309"/>
      <c r="Q992" s="20"/>
      <c r="R992" s="20"/>
      <c r="S992" s="20"/>
      <c r="T992" s="20"/>
      <c r="U992" s="20"/>
      <c r="V992" s="20"/>
      <c r="W992" s="20"/>
      <c r="X992" s="20"/>
      <c r="Y992" s="20"/>
      <c r="Z992" s="20"/>
      <c r="AA992" s="20"/>
      <c r="AB992" s="20"/>
      <c r="AC992" s="20"/>
    </row>
    <row r="993" spans="1:29">
      <c r="A993" s="1" t="s">
        <v>369</v>
      </c>
      <c r="B993" s="1"/>
      <c r="C993" s="203">
        <f>SUM(C992)</f>
        <v>232314</v>
      </c>
      <c r="D993" s="203">
        <f>SUM(D992)</f>
        <v>235030</v>
      </c>
      <c r="E993" s="21"/>
      <c r="F993" s="21"/>
      <c r="G993" s="298">
        <f>SUM(G989:G992)</f>
        <v>18564</v>
      </c>
      <c r="H993" s="298">
        <f>SUM(H989:H992)</f>
        <v>18749</v>
      </c>
      <c r="I993" s="21"/>
      <c r="J993" s="2"/>
      <c r="K993" s="298">
        <f>SUM(K989:K992)</f>
        <v>19927</v>
      </c>
      <c r="M993" s="300">
        <f>SUM(M989:M992)</f>
        <v>20127.863999999998</v>
      </c>
      <c r="N993" s="20"/>
      <c r="O993" s="71"/>
      <c r="P993" s="71"/>
      <c r="Q993" s="20"/>
      <c r="R993" s="20"/>
      <c r="S993" s="20"/>
      <c r="T993" s="20"/>
      <c r="U993" s="20"/>
      <c r="V993" s="20"/>
      <c r="W993" s="20"/>
      <c r="X993" s="20"/>
      <c r="Y993" s="20"/>
      <c r="Z993" s="20"/>
      <c r="AA993" s="20"/>
      <c r="AB993" s="20"/>
      <c r="AC993" s="20"/>
    </row>
    <row r="994" spans="1:29">
      <c r="A994" s="1" t="s">
        <v>351</v>
      </c>
      <c r="B994" s="1"/>
      <c r="C994" s="233" t="e">
        <f>#REF!</f>
        <v>#REF!</v>
      </c>
      <c r="D994" s="233">
        <v>0</v>
      </c>
      <c r="E994" s="311"/>
      <c r="F994" s="311"/>
      <c r="G994" s="312" t="e">
        <f>#REF!</f>
        <v>#REF!</v>
      </c>
      <c r="H994" s="312">
        <v>0</v>
      </c>
      <c r="I994" s="311"/>
      <c r="J994" s="311"/>
      <c r="K994" s="312" t="e">
        <f>G994</f>
        <v>#REF!</v>
      </c>
      <c r="M994" s="173"/>
      <c r="N994" s="173"/>
      <c r="O994" s="174"/>
      <c r="P994" s="71"/>
      <c r="Q994" s="20"/>
      <c r="R994" s="20"/>
      <c r="S994" s="20"/>
      <c r="T994" s="20"/>
      <c r="U994" s="20"/>
      <c r="V994" s="20"/>
      <c r="W994" s="20"/>
      <c r="X994" s="20"/>
      <c r="Y994" s="20"/>
      <c r="Z994" s="20"/>
      <c r="AA994" s="20"/>
      <c r="AB994" s="20"/>
      <c r="AC994" s="20"/>
    </row>
    <row r="995" spans="1:29" ht="16.5" thickBot="1">
      <c r="A995" s="1" t="s">
        <v>370</v>
      </c>
      <c r="B995" s="1"/>
      <c r="C995" s="250" t="e">
        <f>C993+C994</f>
        <v>#REF!</v>
      </c>
      <c r="D995" s="250">
        <f>D992+D994</f>
        <v>235030</v>
      </c>
      <c r="E995" s="229"/>
      <c r="F995" s="229"/>
      <c r="G995" s="196" t="e">
        <f>G993+G994</f>
        <v>#REF!</v>
      </c>
      <c r="H995" s="196">
        <f>H993+H994</f>
        <v>18749</v>
      </c>
      <c r="I995" s="229"/>
      <c r="J995" s="229"/>
      <c r="K995" s="196" t="e">
        <f>K993+K994</f>
        <v>#REF!</v>
      </c>
      <c r="M995" s="175"/>
      <c r="N995" s="161" t="s">
        <v>397</v>
      </c>
      <c r="O995" s="66" t="e">
        <f>#REF!*1000</f>
        <v>#REF!</v>
      </c>
      <c r="P995" s="71"/>
      <c r="Q995" s="20"/>
      <c r="R995" s="20"/>
      <c r="S995" s="20"/>
      <c r="T995" s="20"/>
      <c r="U995" s="20"/>
      <c r="V995" s="20"/>
      <c r="W995" s="20"/>
      <c r="X995" s="20"/>
      <c r="Y995" s="20"/>
      <c r="Z995" s="20"/>
      <c r="AA995" s="20"/>
      <c r="AB995" s="20"/>
      <c r="AC995" s="20"/>
    </row>
    <row r="996" spans="1:29" ht="16.5" thickTop="1">
      <c r="A996" s="1"/>
      <c r="B996" s="197"/>
      <c r="C996" s="1"/>
      <c r="D996" s="1"/>
      <c r="E996" s="1"/>
      <c r="F996" s="1"/>
      <c r="G996" s="1"/>
      <c r="H996" s="1"/>
      <c r="I996" s="1" t="s">
        <v>31</v>
      </c>
      <c r="J996" s="1"/>
      <c r="K996" s="2" t="s">
        <v>31</v>
      </c>
      <c r="M996" s="20"/>
      <c r="N996" s="161" t="s">
        <v>256</v>
      </c>
      <c r="O996" s="300" t="e">
        <f>O995-K995</f>
        <v>#REF!</v>
      </c>
      <c r="P996" s="160" t="e">
        <f>(O995-K995)/K995</f>
        <v>#REF!</v>
      </c>
      <c r="Q996" s="20"/>
      <c r="R996" s="20"/>
      <c r="S996" s="20"/>
      <c r="T996" s="20"/>
      <c r="U996" s="20"/>
      <c r="V996" s="20"/>
      <c r="W996" s="20"/>
      <c r="X996" s="20"/>
      <c r="Y996" s="20"/>
      <c r="Z996" s="20"/>
      <c r="AA996" s="20"/>
      <c r="AB996" s="20"/>
      <c r="AC996" s="20"/>
    </row>
    <row r="997" spans="1:29">
      <c r="A997" s="146" t="s">
        <v>493</v>
      </c>
      <c r="B997" s="187"/>
      <c r="C997" s="187"/>
      <c r="D997" s="187"/>
      <c r="E997" s="187"/>
      <c r="F997" s="187"/>
      <c r="G997" s="187"/>
      <c r="H997" s="187"/>
      <c r="I997" s="187"/>
      <c r="J997" s="187"/>
      <c r="K997" s="187"/>
      <c r="M997" s="20"/>
      <c r="N997" s="20"/>
      <c r="O997" s="71"/>
      <c r="P997" s="71"/>
      <c r="Q997" s="20"/>
      <c r="R997" s="20"/>
      <c r="S997" s="20"/>
      <c r="T997" s="20"/>
      <c r="U997" s="20"/>
      <c r="V997" s="20"/>
      <c r="W997" s="20"/>
      <c r="X997" s="20"/>
      <c r="Y997" s="20"/>
      <c r="Z997" s="20"/>
      <c r="AA997" s="20"/>
      <c r="AB997" s="20"/>
      <c r="AC997" s="20"/>
    </row>
    <row r="998" spans="1:29">
      <c r="A998" s="187" t="s">
        <v>494</v>
      </c>
      <c r="B998" s="187"/>
      <c r="C998" s="187"/>
      <c r="D998" s="187"/>
      <c r="E998" s="187"/>
      <c r="F998" s="187"/>
      <c r="G998" s="187"/>
      <c r="H998" s="187"/>
      <c r="I998" s="187"/>
      <c r="J998" s="187"/>
      <c r="K998" s="187"/>
      <c r="M998" s="162"/>
      <c r="N998" s="162"/>
      <c r="O998" s="162"/>
      <c r="P998" s="162"/>
      <c r="Q998" s="162"/>
      <c r="R998" s="162"/>
      <c r="S998" s="162"/>
      <c r="T998" s="162"/>
      <c r="U998" s="162"/>
      <c r="V998" s="162"/>
      <c r="W998" s="162"/>
      <c r="X998" s="162"/>
      <c r="Y998" s="20"/>
      <c r="Z998" s="20"/>
      <c r="AA998" s="20"/>
      <c r="AB998" s="20"/>
      <c r="AC998" s="20"/>
    </row>
    <row r="999" spans="1:29">
      <c r="A999" s="314" t="s">
        <v>495</v>
      </c>
      <c r="B999" s="187"/>
      <c r="C999" s="187"/>
      <c r="D999" s="187"/>
      <c r="E999" s="187"/>
      <c r="F999" s="187"/>
      <c r="G999" s="187"/>
      <c r="H999" s="187"/>
      <c r="I999" s="187"/>
      <c r="J999" s="187"/>
      <c r="K999" s="187"/>
      <c r="M999" s="162"/>
      <c r="N999" s="162"/>
      <c r="O999" s="162"/>
      <c r="P999" s="162"/>
      <c r="Q999" s="162"/>
      <c r="R999" s="162"/>
      <c r="S999" s="162"/>
      <c r="T999" s="162"/>
      <c r="U999" s="162"/>
      <c r="V999" s="162"/>
      <c r="W999" s="162"/>
      <c r="X999" s="162"/>
      <c r="Y999" s="20"/>
      <c r="Z999" s="20"/>
      <c r="AA999" s="20"/>
      <c r="AB999" s="20"/>
      <c r="AC999" s="20"/>
    </row>
    <row r="1000" spans="1:29">
      <c r="A1000" s="3" t="s">
        <v>496</v>
      </c>
      <c r="G1000" s="147"/>
      <c r="H1000" s="147"/>
      <c r="M1000" s="162"/>
      <c r="N1000" s="162"/>
      <c r="O1000" s="162"/>
      <c r="P1000" s="71"/>
      <c r="Q1000" s="163"/>
      <c r="R1000" s="164"/>
      <c r="S1000" s="315"/>
      <c r="T1000" s="166"/>
      <c r="U1000" s="162"/>
      <c r="V1000" s="162"/>
      <c r="W1000" s="162"/>
      <c r="X1000" s="162"/>
      <c r="Y1000" s="20"/>
      <c r="Z1000" s="20"/>
      <c r="AA1000" s="20"/>
      <c r="AB1000" s="20"/>
      <c r="AC1000" s="20"/>
    </row>
    <row r="1001" spans="1:29">
      <c r="A1001" s="3" t="s">
        <v>342</v>
      </c>
      <c r="C1001" s="148">
        <f>10803</f>
        <v>10803</v>
      </c>
      <c r="D1001" s="148">
        <f>ROUND(($D$1030/$C$1030)*C1001,0)</f>
        <v>10983</v>
      </c>
      <c r="E1001" s="149">
        <v>8.7799999999999994</v>
      </c>
      <c r="G1001" s="2">
        <f>ROUND(E1001*$C1001,0)</f>
        <v>94850</v>
      </c>
      <c r="H1001" s="2">
        <f>ROUND(E1001*$D1001,0)</f>
        <v>96431</v>
      </c>
      <c r="I1001" s="149" t="e">
        <f>E1001+(E1001*$P$1032)</f>
        <v>#REF!</v>
      </c>
      <c r="K1001" s="2" t="e">
        <f>ROUND(I1001*$C1001,0)</f>
        <v>#REF!</v>
      </c>
      <c r="M1001" s="81" t="e">
        <f>I1001*D1001</f>
        <v>#REF!</v>
      </c>
      <c r="N1001" s="20"/>
      <c r="O1001" s="165"/>
      <c r="P1001" s="71"/>
      <c r="Q1001" s="287"/>
      <c r="R1001" s="167"/>
      <c r="S1001" s="168"/>
      <c r="T1001" s="162"/>
      <c r="U1001" s="165"/>
      <c r="V1001" s="165"/>
      <c r="W1001" s="316"/>
      <c r="X1001" s="165"/>
      <c r="Y1001" s="20"/>
      <c r="Z1001" s="20"/>
      <c r="AA1001" s="20"/>
      <c r="AB1001" s="20"/>
      <c r="AC1001" s="20"/>
    </row>
    <row r="1002" spans="1:29">
      <c r="A1002" s="3" t="s">
        <v>343</v>
      </c>
      <c r="C1002" s="148">
        <f>1449</f>
        <v>1449</v>
      </c>
      <c r="D1002" s="148">
        <f>ROUND(($D$1030/$C$1030)*C1002,0)</f>
        <v>1473</v>
      </c>
      <c r="E1002" s="149">
        <v>16.079999999999998</v>
      </c>
      <c r="G1002" s="2">
        <f>ROUND(E1002*$C1002,0)</f>
        <v>23300</v>
      </c>
      <c r="H1002" s="2">
        <f>ROUND(E1002*$D1002,0)</f>
        <v>23686</v>
      </c>
      <c r="I1002" s="149" t="e">
        <f>E1002+(E1002*$P$1032)</f>
        <v>#REF!</v>
      </c>
      <c r="K1002" s="2" t="e">
        <f>ROUND(I1002*$C1002,0)</f>
        <v>#REF!</v>
      </c>
      <c r="M1002" s="81" t="e">
        <f>I1002*D1002</f>
        <v>#REF!</v>
      </c>
      <c r="N1002" s="20"/>
      <c r="O1002" s="165"/>
      <c r="P1002" s="71"/>
      <c r="Q1002" s="287"/>
      <c r="R1002" s="167"/>
      <c r="S1002" s="162"/>
      <c r="T1002" s="162"/>
      <c r="U1002" s="165"/>
      <c r="V1002" s="165"/>
      <c r="W1002" s="316"/>
      <c r="X1002" s="165"/>
      <c r="Y1002" s="20"/>
      <c r="Z1002" s="20"/>
      <c r="AA1002" s="20"/>
      <c r="AB1002" s="20"/>
      <c r="AC1002" s="20"/>
    </row>
    <row r="1003" spans="1:29">
      <c r="A1003" s="3" t="s">
        <v>344</v>
      </c>
      <c r="C1003" s="148">
        <v>36</v>
      </c>
      <c r="D1003" s="148">
        <f>ROUND(($D$1030/$C$1030)*C1003,0)</f>
        <v>37</v>
      </c>
      <c r="E1003" s="149">
        <v>32.53</v>
      </c>
      <c r="G1003" s="2">
        <f>ROUND(E1003*$C1003,0)</f>
        <v>1171</v>
      </c>
      <c r="H1003" s="2">
        <f>ROUND(E1003*$D1003,0)</f>
        <v>1204</v>
      </c>
      <c r="I1003" s="149" t="e">
        <f>E1003+(E1003*$P$1032)</f>
        <v>#REF!</v>
      </c>
      <c r="K1003" s="2" t="e">
        <f>ROUND(I1003*$C1003,0)</f>
        <v>#REF!</v>
      </c>
      <c r="M1003" s="81" t="e">
        <f>I1003*D1003</f>
        <v>#REF!</v>
      </c>
      <c r="N1003" s="20"/>
      <c r="O1003" s="165"/>
      <c r="P1003" s="71"/>
      <c r="Q1003" s="287"/>
      <c r="R1003" s="167"/>
      <c r="S1003" s="162"/>
      <c r="T1003" s="162"/>
      <c r="U1003" s="165"/>
      <c r="V1003" s="165"/>
      <c r="W1003" s="316"/>
      <c r="X1003" s="165"/>
      <c r="Y1003" s="20"/>
      <c r="Z1003" s="20"/>
      <c r="AA1003" s="20"/>
      <c r="AB1003" s="20"/>
      <c r="AC1003" s="20"/>
    </row>
    <row r="1004" spans="1:29">
      <c r="A1004" s="3" t="s">
        <v>497</v>
      </c>
      <c r="C1004" s="148"/>
      <c r="D1004" s="148"/>
      <c r="E1004" s="317"/>
      <c r="G1004" s="147"/>
      <c r="H1004" s="147"/>
      <c r="I1004" s="317"/>
      <c r="N1004" s="20"/>
      <c r="O1004" s="165"/>
      <c r="P1004" s="71"/>
      <c r="Q1004" s="20"/>
      <c r="R1004" s="171"/>
      <c r="S1004" s="162"/>
      <c r="T1004" s="162"/>
      <c r="U1004" s="165"/>
      <c r="V1004" s="165"/>
      <c r="W1004" s="316"/>
      <c r="X1004" s="165"/>
      <c r="Y1004" s="20"/>
      <c r="Z1004" s="20"/>
      <c r="AA1004" s="20"/>
      <c r="AB1004" s="20"/>
      <c r="AC1004" s="20"/>
    </row>
    <row r="1005" spans="1:29">
      <c r="A1005" s="3" t="s">
        <v>342</v>
      </c>
      <c r="C1005" s="148">
        <f>5042</f>
        <v>5042</v>
      </c>
      <c r="D1005" s="148">
        <f>ROUND(($D$1030/$C$1030)*C1005,0)</f>
        <v>5126</v>
      </c>
      <c r="E1005" s="149">
        <v>8.23</v>
      </c>
      <c r="G1005" s="2">
        <f>ROUND(E1005*$C1005,0)</f>
        <v>41496</v>
      </c>
      <c r="H1005" s="2">
        <f>ROUND(E1005*$D1005,0)</f>
        <v>42187</v>
      </c>
      <c r="I1005" s="149" t="e">
        <f>E1005+(E1005*$P$1032)</f>
        <v>#REF!</v>
      </c>
      <c r="K1005" s="2" t="e">
        <f>ROUND(I1005*$C1005,0)</f>
        <v>#REF!</v>
      </c>
      <c r="M1005" s="81" t="e">
        <f>I1005*D1005</f>
        <v>#REF!</v>
      </c>
      <c r="N1005" s="20"/>
      <c r="O1005" s="165"/>
      <c r="P1005" s="71"/>
      <c r="Q1005" s="287"/>
      <c r="R1005" s="167"/>
      <c r="S1005" s="20"/>
      <c r="T1005" s="20"/>
      <c r="U1005" s="165"/>
      <c r="V1005" s="165"/>
      <c r="W1005" s="316"/>
      <c r="X1005" s="165"/>
      <c r="Y1005" s="20"/>
      <c r="Z1005" s="20"/>
      <c r="AA1005" s="20"/>
      <c r="AB1005" s="20"/>
      <c r="AC1005" s="20"/>
    </row>
    <row r="1006" spans="1:29">
      <c r="A1006" s="3" t="s">
        <v>343</v>
      </c>
      <c r="C1006" s="148">
        <v>0</v>
      </c>
      <c r="D1006" s="148">
        <f>ROUND(($D$1030/$C$1030)*C1006,0)</f>
        <v>0</v>
      </c>
      <c r="E1006" s="149">
        <v>15</v>
      </c>
      <c r="G1006" s="2">
        <f>ROUND(E1006*$C1006,0)</f>
        <v>0</v>
      </c>
      <c r="H1006" s="2">
        <f>ROUND(E1006*$D1006,0)</f>
        <v>0</v>
      </c>
      <c r="I1006" s="149" t="e">
        <f>E1006+(E1006*$P$1032)</f>
        <v>#REF!</v>
      </c>
      <c r="K1006" s="2" t="e">
        <f>ROUND(I1006*$C1006,0)</f>
        <v>#REF!</v>
      </c>
      <c r="M1006" s="81" t="e">
        <f>I1006*D1006</f>
        <v>#REF!</v>
      </c>
      <c r="N1006" s="20"/>
      <c r="O1006" s="165"/>
      <c r="P1006" s="71"/>
      <c r="Q1006" s="287"/>
      <c r="R1006" s="167"/>
      <c r="S1006" s="20"/>
      <c r="T1006" s="20"/>
      <c r="U1006" s="165"/>
      <c r="V1006" s="165"/>
      <c r="W1006" s="316"/>
      <c r="X1006" s="165"/>
      <c r="Y1006" s="20"/>
      <c r="Z1006" s="20"/>
      <c r="AA1006" s="20"/>
      <c r="AB1006" s="20"/>
      <c r="AC1006" s="20"/>
    </row>
    <row r="1007" spans="1:29">
      <c r="A1007" s="314" t="s">
        <v>498</v>
      </c>
      <c r="C1007" s="148"/>
      <c r="D1007" s="148"/>
      <c r="E1007" s="149"/>
      <c r="G1007" s="2"/>
      <c r="H1007" s="2"/>
      <c r="I1007" s="149"/>
      <c r="K1007" s="2"/>
      <c r="N1007" s="20"/>
      <c r="O1007" s="165"/>
      <c r="P1007" s="71"/>
      <c r="Q1007" s="20"/>
      <c r="R1007" s="20"/>
      <c r="S1007" s="20"/>
      <c r="T1007" s="20"/>
      <c r="U1007" s="20"/>
      <c r="V1007" s="20"/>
      <c r="W1007" s="316"/>
      <c r="X1007" s="20"/>
      <c r="Y1007" s="20"/>
      <c r="Z1007" s="20"/>
      <c r="AA1007" s="20"/>
      <c r="AB1007" s="20"/>
      <c r="AC1007" s="20"/>
    </row>
    <row r="1008" spans="1:29">
      <c r="A1008" s="3" t="s">
        <v>496</v>
      </c>
      <c r="C1008" s="148"/>
      <c r="D1008" s="148"/>
      <c r="E1008" s="317"/>
      <c r="G1008" s="147"/>
      <c r="H1008" s="147"/>
      <c r="I1008" s="317"/>
      <c r="N1008" s="20"/>
      <c r="O1008" s="71"/>
      <c r="P1008" s="71"/>
      <c r="Q1008" s="20"/>
      <c r="R1008" s="20"/>
      <c r="S1008" s="20"/>
      <c r="T1008" s="20"/>
      <c r="U1008" s="20"/>
      <c r="V1008" s="20"/>
      <c r="W1008" s="316"/>
      <c r="X1008" s="20"/>
      <c r="Y1008" s="20"/>
      <c r="Z1008" s="20"/>
      <c r="AA1008" s="20"/>
      <c r="AB1008" s="20"/>
      <c r="AC1008" s="20"/>
    </row>
    <row r="1009" spans="1:29">
      <c r="A1009" s="3" t="s">
        <v>342</v>
      </c>
      <c r="C1009" s="148">
        <f>471</f>
        <v>471</v>
      </c>
      <c r="D1009" s="148">
        <f>ROUND(($D$1030/$C$1030)*C1009,0)</f>
        <v>479</v>
      </c>
      <c r="E1009" s="149">
        <v>11.47</v>
      </c>
      <c r="G1009" s="2">
        <f>ROUND(E1009*$C1009,0)</f>
        <v>5402</v>
      </c>
      <c r="H1009" s="2">
        <f>ROUND(E1009*$D1009,0)</f>
        <v>5494</v>
      </c>
      <c r="I1009" s="149" t="e">
        <f>E1009+(E1009*$P$1032)</f>
        <v>#REF!</v>
      </c>
      <c r="K1009" s="2" t="e">
        <f>ROUND(I1009*$C1009,0)</f>
        <v>#REF!</v>
      </c>
      <c r="M1009" s="81" t="e">
        <f>I1009*D1009</f>
        <v>#REF!</v>
      </c>
      <c r="N1009" s="20"/>
      <c r="O1009" s="165"/>
      <c r="P1009" s="71"/>
      <c r="Q1009" s="287"/>
      <c r="R1009" s="167"/>
      <c r="S1009" s="20"/>
      <c r="T1009" s="20"/>
      <c r="U1009" s="165"/>
      <c r="V1009" s="165"/>
      <c r="W1009" s="316"/>
      <c r="X1009" s="165"/>
      <c r="Y1009" s="20"/>
      <c r="Z1009" s="20"/>
      <c r="AA1009" s="20"/>
      <c r="AB1009" s="20"/>
      <c r="AC1009" s="20"/>
    </row>
    <row r="1010" spans="1:29">
      <c r="A1010" s="3" t="s">
        <v>343</v>
      </c>
      <c r="C1010" s="148">
        <f>456</f>
        <v>456</v>
      </c>
      <c r="D1010" s="148">
        <f>ROUND(($D$1030/$C$1030)*C1010,0)</f>
        <v>464</v>
      </c>
      <c r="E1010" s="149">
        <v>19.260000000000002</v>
      </c>
      <c r="G1010" s="2">
        <f>ROUND(E1010*$C1010,0)</f>
        <v>8783</v>
      </c>
      <c r="H1010" s="2">
        <f>ROUND(E1010*$D1010,0)</f>
        <v>8937</v>
      </c>
      <c r="I1010" s="149" t="e">
        <f>E1010+(E1010*$P$1032)</f>
        <v>#REF!</v>
      </c>
      <c r="K1010" s="2" t="e">
        <f>ROUND(I1010*$C1010,0)</f>
        <v>#REF!</v>
      </c>
      <c r="M1010" s="81" t="e">
        <f>I1010*D1010</f>
        <v>#REF!</v>
      </c>
      <c r="N1010" s="20"/>
      <c r="O1010" s="165"/>
      <c r="P1010" s="71"/>
      <c r="Q1010" s="287"/>
      <c r="R1010" s="167"/>
      <c r="S1010" s="313"/>
      <c r="T1010" s="313"/>
      <c r="U1010" s="165"/>
      <c r="V1010" s="165"/>
      <c r="W1010" s="316"/>
      <c r="X1010" s="165"/>
      <c r="Y1010" s="20"/>
      <c r="Z1010" s="20"/>
      <c r="AA1010" s="20"/>
      <c r="AB1010" s="20"/>
      <c r="AC1010" s="20"/>
    </row>
    <row r="1011" spans="1:29">
      <c r="A1011" s="3" t="s">
        <v>344</v>
      </c>
      <c r="C1011" s="148">
        <v>0</v>
      </c>
      <c r="D1011" s="148">
        <f>ROUND(($D$1030/$C$1030)*C1011,0)</f>
        <v>0</v>
      </c>
      <c r="E1011" s="149">
        <v>35.75</v>
      </c>
      <c r="G1011" s="2">
        <f>ROUND(E1011*$C1011,0)</f>
        <v>0</v>
      </c>
      <c r="H1011" s="2">
        <f>ROUND(E1011*$D1011,0)</f>
        <v>0</v>
      </c>
      <c r="I1011" s="149" t="e">
        <f>E1011+(E1011*$P$1032)</f>
        <v>#REF!</v>
      </c>
      <c r="K1011" s="2" t="e">
        <f>ROUND(I1011*$C1011,0)</f>
        <v>#REF!</v>
      </c>
      <c r="M1011" s="81" t="e">
        <f>I1011*D1011</f>
        <v>#REF!</v>
      </c>
      <c r="N1011" s="20"/>
      <c r="O1011" s="165"/>
      <c r="P1011" s="71"/>
      <c r="Q1011" s="287"/>
      <c r="R1011" s="167"/>
      <c r="S1011" s="313"/>
      <c r="T1011" s="313"/>
      <c r="U1011" s="165"/>
      <c r="V1011" s="165"/>
      <c r="W1011" s="316"/>
      <c r="X1011" s="165"/>
      <c r="Y1011" s="20"/>
      <c r="Z1011" s="20"/>
      <c r="AA1011" s="20"/>
      <c r="AB1011" s="20"/>
      <c r="AC1011" s="20"/>
    </row>
    <row r="1012" spans="1:29">
      <c r="A1012" s="3" t="s">
        <v>497</v>
      </c>
      <c r="C1012" s="148"/>
      <c r="D1012" s="148"/>
      <c r="E1012" s="317"/>
      <c r="G1012" s="147"/>
      <c r="H1012" s="147"/>
      <c r="I1012" s="317"/>
      <c r="M1012" s="20"/>
      <c r="N1012" s="20"/>
      <c r="O1012" s="20"/>
      <c r="P1012" s="319"/>
      <c r="Q1012" s="319"/>
      <c r="R1012" s="425"/>
      <c r="S1012" s="313"/>
      <c r="T1012" s="313"/>
      <c r="U1012" s="321"/>
      <c r="V1012" s="20"/>
      <c r="W1012" s="316"/>
      <c r="X1012" s="20"/>
      <c r="Y1012" s="20"/>
      <c r="Z1012" s="20"/>
      <c r="AA1012" s="20"/>
      <c r="AB1012" s="20"/>
      <c r="AC1012" s="20"/>
    </row>
    <row r="1013" spans="1:29">
      <c r="A1013" s="3" t="s">
        <v>342</v>
      </c>
      <c r="C1013" s="148">
        <v>0</v>
      </c>
      <c r="D1013" s="148">
        <f>ROUND(($D$1030/$C$1030)*C1013,0)</f>
        <v>0</v>
      </c>
      <c r="E1013" s="149">
        <v>10.86</v>
      </c>
      <c r="G1013" s="2">
        <f>ROUND(E1013*$C1013,0)</f>
        <v>0</v>
      </c>
      <c r="H1013" s="2">
        <f>ROUND(E1013*$D1013,0)</f>
        <v>0</v>
      </c>
      <c r="I1013" s="149" t="e">
        <f>E1013+(E1013*$P$1032)</f>
        <v>#REF!</v>
      </c>
      <c r="K1013" s="2" t="e">
        <f>ROUND(I1013*$C1013,0)</f>
        <v>#REF!</v>
      </c>
      <c r="M1013" s="81" t="e">
        <f>I1013*D1013</f>
        <v>#REF!</v>
      </c>
      <c r="N1013" s="20"/>
      <c r="O1013" s="165"/>
      <c r="P1013" s="71"/>
      <c r="Q1013" s="287"/>
      <c r="R1013" s="167"/>
      <c r="S1013" s="313"/>
      <c r="T1013" s="313"/>
      <c r="U1013" s="165"/>
      <c r="V1013" s="165"/>
      <c r="W1013" s="316"/>
      <c r="X1013" s="165"/>
      <c r="Y1013" s="20"/>
      <c r="Z1013" s="20"/>
      <c r="AA1013" s="20"/>
      <c r="AB1013" s="20"/>
      <c r="AC1013" s="20"/>
    </row>
    <row r="1014" spans="1:29">
      <c r="A1014" s="3" t="s">
        <v>343</v>
      </c>
      <c r="C1014" s="148">
        <v>0</v>
      </c>
      <c r="D1014" s="148">
        <f>ROUND(($D$1030/$C$1030)*C1014,0)</f>
        <v>0</v>
      </c>
      <c r="E1014" s="149">
        <v>18.21</v>
      </c>
      <c r="G1014" s="2">
        <f>ROUND(E1014*$C1014,0)</f>
        <v>0</v>
      </c>
      <c r="H1014" s="2">
        <f>ROUND(E1014*$D1014,0)</f>
        <v>0</v>
      </c>
      <c r="I1014" s="149" t="e">
        <f>E1014+(E1014*$P$1032)</f>
        <v>#REF!</v>
      </c>
      <c r="K1014" s="2" t="e">
        <f>ROUND(I1014*$C1014,0)</f>
        <v>#REF!</v>
      </c>
      <c r="M1014" s="81" t="e">
        <f>I1014*D1014</f>
        <v>#REF!</v>
      </c>
      <c r="N1014" s="20"/>
      <c r="O1014" s="165"/>
      <c r="P1014" s="71"/>
      <c r="Q1014" s="287"/>
      <c r="R1014" s="167"/>
      <c r="S1014" s="313"/>
      <c r="T1014" s="313"/>
      <c r="U1014" s="165"/>
      <c r="V1014" s="165"/>
      <c r="W1014" s="316"/>
      <c r="X1014" s="165"/>
      <c r="Y1014" s="20"/>
      <c r="Z1014" s="20"/>
      <c r="AA1014" s="20"/>
      <c r="AB1014" s="20"/>
      <c r="AC1014" s="20"/>
    </row>
    <row r="1015" spans="1:29">
      <c r="A1015" s="314" t="s">
        <v>499</v>
      </c>
      <c r="B1015" s="187"/>
      <c r="C1015" s="148"/>
      <c r="D1015" s="148"/>
      <c r="E1015" s="317"/>
      <c r="F1015" s="187"/>
      <c r="G1015" s="187"/>
      <c r="H1015" s="187"/>
      <c r="I1015" s="317"/>
      <c r="J1015" s="187"/>
      <c r="K1015" s="187"/>
      <c r="M1015" s="20"/>
      <c r="N1015" s="20"/>
      <c r="O1015" s="20"/>
      <c r="P1015" s="319"/>
      <c r="Q1015" s="319"/>
      <c r="R1015" s="425"/>
      <c r="S1015" s="313"/>
      <c r="T1015" s="313"/>
      <c r="U1015" s="321"/>
      <c r="V1015" s="20"/>
      <c r="W1015" s="316"/>
      <c r="X1015" s="20"/>
      <c r="Y1015" s="20"/>
      <c r="Z1015" s="20"/>
      <c r="AA1015" s="20"/>
      <c r="AB1015" s="20"/>
      <c r="AC1015" s="20"/>
    </row>
    <row r="1016" spans="1:29">
      <c r="A1016" s="3" t="s">
        <v>496</v>
      </c>
      <c r="C1016" s="148"/>
      <c r="D1016" s="148"/>
      <c r="E1016" s="317"/>
      <c r="G1016" s="147"/>
      <c r="H1016" s="147"/>
      <c r="I1016" s="317"/>
      <c r="M1016" s="20"/>
      <c r="N1016" s="20"/>
      <c r="O1016" s="20"/>
      <c r="P1016" s="319"/>
      <c r="Q1016" s="319"/>
      <c r="R1016" s="425"/>
      <c r="S1016" s="313"/>
      <c r="T1016" s="313"/>
      <c r="U1016" s="321"/>
      <c r="V1016" s="20"/>
      <c r="W1016" s="316"/>
      <c r="X1016" s="20"/>
      <c r="Y1016" s="20"/>
      <c r="Z1016" s="20"/>
      <c r="AA1016" s="20"/>
      <c r="AB1016" s="20"/>
      <c r="AC1016" s="20"/>
    </row>
    <row r="1017" spans="1:29">
      <c r="A1017" s="3" t="s">
        <v>342</v>
      </c>
      <c r="C1017" s="148">
        <v>0</v>
      </c>
      <c r="D1017" s="148">
        <f>ROUND(($D$1030/$C$1030)*C1017,0)</f>
        <v>0</v>
      </c>
      <c r="E1017" s="149">
        <v>11.47</v>
      </c>
      <c r="G1017" s="2">
        <f>ROUND(E1017*$C1017,0)</f>
        <v>0</v>
      </c>
      <c r="H1017" s="2">
        <f>ROUND(E1017*$D1017,0)</f>
        <v>0</v>
      </c>
      <c r="I1017" s="149" t="e">
        <f>E1017+(E1017*$P$1032)</f>
        <v>#REF!</v>
      </c>
      <c r="K1017" s="2" t="e">
        <f>ROUND(I1017*$C1017,0)</f>
        <v>#REF!</v>
      </c>
      <c r="M1017" s="81" t="e">
        <f>I1017*D1017</f>
        <v>#REF!</v>
      </c>
      <c r="N1017" s="20"/>
      <c r="O1017" s="165"/>
      <c r="P1017" s="71"/>
      <c r="Q1017" s="287"/>
      <c r="R1017" s="167"/>
      <c r="S1017" s="313"/>
      <c r="T1017" s="313"/>
      <c r="U1017" s="165"/>
      <c r="V1017" s="165"/>
      <c r="W1017" s="316"/>
      <c r="X1017" s="165"/>
      <c r="Y1017" s="20"/>
      <c r="Z1017" s="20"/>
      <c r="AA1017" s="20"/>
      <c r="AB1017" s="20"/>
      <c r="AC1017" s="20"/>
    </row>
    <row r="1018" spans="1:29">
      <c r="A1018" s="3" t="s">
        <v>343</v>
      </c>
      <c r="C1018" s="148">
        <v>0</v>
      </c>
      <c r="D1018" s="148">
        <f>ROUND(($D$1030/$C$1030)*C1018,0)</f>
        <v>0</v>
      </c>
      <c r="E1018" s="149">
        <v>18.649999999999999</v>
      </c>
      <c r="G1018" s="2">
        <f>ROUND(E1018*$C1018,0)</f>
        <v>0</v>
      </c>
      <c r="H1018" s="2">
        <f>ROUND(E1018*$D1018,0)</f>
        <v>0</v>
      </c>
      <c r="I1018" s="149" t="e">
        <f>E1018+(E1018*$P$1032)</f>
        <v>#REF!</v>
      </c>
      <c r="K1018" s="2" t="e">
        <f>ROUND(I1018*$C1018,0)</f>
        <v>#REF!</v>
      </c>
      <c r="M1018" s="81" t="e">
        <f>I1018*D1018</f>
        <v>#REF!</v>
      </c>
      <c r="N1018" s="20"/>
      <c r="O1018" s="165"/>
      <c r="P1018" s="71"/>
      <c r="Q1018" s="287"/>
      <c r="R1018" s="167"/>
      <c r="S1018" s="313"/>
      <c r="T1018" s="313"/>
      <c r="U1018" s="165"/>
      <c r="V1018" s="165"/>
      <c r="W1018" s="316"/>
      <c r="X1018" s="165"/>
      <c r="Y1018" s="20"/>
      <c r="Z1018" s="20"/>
      <c r="AA1018" s="20"/>
      <c r="AB1018" s="20"/>
      <c r="AC1018" s="20"/>
    </row>
    <row r="1019" spans="1:29">
      <c r="A1019" s="3" t="s">
        <v>344</v>
      </c>
      <c r="C1019" s="148">
        <v>0</v>
      </c>
      <c r="D1019" s="148">
        <f>ROUND(($D$1030/$C$1030)*C1019,0)</f>
        <v>0</v>
      </c>
      <c r="E1019" s="149">
        <v>35.130000000000003</v>
      </c>
      <c r="G1019" s="2">
        <f>ROUND(E1019*$C1019,0)</f>
        <v>0</v>
      </c>
      <c r="H1019" s="2">
        <f>ROUND(E1019*$D1019,0)</f>
        <v>0</v>
      </c>
      <c r="I1019" s="149" t="e">
        <f>E1019+(E1019*$P$1032)</f>
        <v>#REF!</v>
      </c>
      <c r="K1019" s="2" t="e">
        <f>ROUND(I1019*$C1019,0)</f>
        <v>#REF!</v>
      </c>
      <c r="M1019" s="81" t="e">
        <f>I1019*D1019</f>
        <v>#REF!</v>
      </c>
      <c r="N1019" s="20"/>
      <c r="O1019" s="165"/>
      <c r="P1019" s="71"/>
      <c r="Q1019" s="287"/>
      <c r="R1019" s="167"/>
      <c r="S1019" s="313"/>
      <c r="T1019" s="313"/>
      <c r="U1019" s="165"/>
      <c r="V1019" s="165"/>
      <c r="W1019" s="316"/>
      <c r="X1019" s="165"/>
      <c r="Y1019" s="20"/>
      <c r="Z1019" s="20"/>
      <c r="AA1019" s="20"/>
      <c r="AB1019" s="20"/>
      <c r="AC1019" s="20"/>
    </row>
    <row r="1020" spans="1:29">
      <c r="A1020" s="3" t="s">
        <v>497</v>
      </c>
      <c r="C1020" s="148"/>
      <c r="D1020" s="148"/>
      <c r="E1020" s="317"/>
      <c r="G1020" s="147"/>
      <c r="H1020" s="147"/>
      <c r="I1020" s="317"/>
      <c r="M1020" s="20"/>
      <c r="N1020" s="20"/>
      <c r="O1020" s="20"/>
      <c r="P1020" s="319"/>
      <c r="Q1020" s="319"/>
      <c r="R1020" s="425"/>
      <c r="S1020" s="313"/>
      <c r="T1020" s="313"/>
      <c r="U1020" s="321"/>
      <c r="V1020" s="20"/>
      <c r="W1020" s="316"/>
      <c r="X1020" s="20"/>
      <c r="Y1020" s="20"/>
      <c r="Z1020" s="20"/>
      <c r="AA1020" s="20"/>
      <c r="AB1020" s="20"/>
      <c r="AC1020" s="20"/>
    </row>
    <row r="1021" spans="1:29">
      <c r="A1021" s="3" t="s">
        <v>342</v>
      </c>
      <c r="C1021" s="148">
        <v>0</v>
      </c>
      <c r="D1021" s="148">
        <f>ROUND(($D$1030/$C$1030)*C1021,0)</f>
        <v>0</v>
      </c>
      <c r="E1021" s="149">
        <v>10.86</v>
      </c>
      <c r="G1021" s="2">
        <f>ROUND(E1021*$C1021,0)</f>
        <v>0</v>
      </c>
      <c r="H1021" s="2">
        <f>ROUND(E1021*$D1021,0)</f>
        <v>0</v>
      </c>
      <c r="I1021" s="149" t="e">
        <f>E1021+(E1021*$P$1032)</f>
        <v>#REF!</v>
      </c>
      <c r="K1021" s="2" t="e">
        <f>ROUND(I1021*$C1021,0)</f>
        <v>#REF!</v>
      </c>
      <c r="M1021" s="81" t="e">
        <f>I1021*D1021</f>
        <v>#REF!</v>
      </c>
      <c r="N1021" s="20"/>
      <c r="O1021" s="165"/>
      <c r="P1021" s="71"/>
      <c r="Q1021" s="287"/>
      <c r="R1021" s="167"/>
      <c r="S1021" s="313"/>
      <c r="T1021" s="313"/>
      <c r="U1021" s="165"/>
      <c r="V1021" s="165"/>
      <c r="W1021" s="316"/>
      <c r="X1021" s="165"/>
      <c r="Y1021" s="20"/>
      <c r="Z1021" s="20"/>
      <c r="AA1021" s="20"/>
      <c r="AB1021" s="20"/>
      <c r="AC1021" s="20"/>
    </row>
    <row r="1022" spans="1:29">
      <c r="A1022" s="3" t="s">
        <v>343</v>
      </c>
      <c r="C1022" s="148">
        <v>0</v>
      </c>
      <c r="D1022" s="148">
        <f>ROUND(($D$1030/$C$1030)*C1022,0)</f>
        <v>0</v>
      </c>
      <c r="E1022" s="149">
        <v>17.600000000000001</v>
      </c>
      <c r="G1022" s="2">
        <f>ROUND(E1022*$C1022,0)</f>
        <v>0</v>
      </c>
      <c r="H1022" s="2">
        <f>ROUND(E1022*$D1022,0)</f>
        <v>0</v>
      </c>
      <c r="I1022" s="149" t="e">
        <f>E1022+(E1022*$P$1032)</f>
        <v>#REF!</v>
      </c>
      <c r="K1022" s="2" t="e">
        <f>ROUND(I1022*$C1022,0)</f>
        <v>#REF!</v>
      </c>
      <c r="M1022" s="81" t="e">
        <f>I1022*D1022</f>
        <v>#REF!</v>
      </c>
      <c r="N1022" s="20"/>
      <c r="O1022" s="165"/>
      <c r="P1022" s="71"/>
      <c r="Q1022" s="287"/>
      <c r="R1022" s="167"/>
      <c r="S1022" s="313"/>
      <c r="T1022" s="313"/>
      <c r="U1022" s="165"/>
      <c r="V1022" s="165"/>
      <c r="W1022" s="316"/>
      <c r="X1022" s="165"/>
      <c r="Y1022" s="20"/>
      <c r="Z1022" s="20"/>
      <c r="AA1022" s="20"/>
      <c r="AB1022" s="20"/>
      <c r="AC1022" s="20"/>
    </row>
    <row r="1023" spans="1:29">
      <c r="A1023" s="314" t="s">
        <v>500</v>
      </c>
      <c r="B1023" s="187"/>
      <c r="C1023" s="148"/>
      <c r="D1023" s="148"/>
      <c r="E1023" s="317"/>
      <c r="F1023" s="187"/>
      <c r="G1023" s="187"/>
      <c r="H1023" s="187"/>
      <c r="I1023" s="317"/>
      <c r="J1023" s="187"/>
      <c r="K1023" s="187"/>
      <c r="M1023" s="20"/>
      <c r="N1023" s="20"/>
      <c r="O1023" s="20"/>
      <c r="P1023" s="319"/>
      <c r="Q1023" s="319"/>
      <c r="R1023" s="425"/>
      <c r="S1023" s="313"/>
      <c r="T1023" s="313"/>
      <c r="U1023" s="321"/>
      <c r="V1023" s="20"/>
      <c r="W1023" s="316"/>
      <c r="X1023" s="20"/>
      <c r="Y1023" s="20"/>
      <c r="Z1023" s="20"/>
      <c r="AA1023" s="20"/>
      <c r="AB1023" s="20"/>
      <c r="AC1023" s="20"/>
    </row>
    <row r="1024" spans="1:29">
      <c r="A1024" s="3" t="s">
        <v>342</v>
      </c>
      <c r="C1024" s="148">
        <f>1999</f>
        <v>1999</v>
      </c>
      <c r="D1024" s="148">
        <f>ROUND(($D$1030/$C$1030)*C1024,0)</f>
        <v>2032</v>
      </c>
      <c r="E1024" s="149">
        <v>9.18</v>
      </c>
      <c r="G1024" s="2">
        <f>ROUND(E1024*$C1024,0)</f>
        <v>18351</v>
      </c>
      <c r="H1024" s="2">
        <f>ROUND(E1024*$D1024,0)</f>
        <v>18654</v>
      </c>
      <c r="I1024" s="149" t="e">
        <f>E1024+(E1024*$P$1032)</f>
        <v>#REF!</v>
      </c>
      <c r="K1024" s="2" t="e">
        <f>ROUND(I1024*$C1024,0)</f>
        <v>#REF!</v>
      </c>
      <c r="M1024" s="81" t="e">
        <f>I1024*D1024</f>
        <v>#REF!</v>
      </c>
      <c r="N1024" s="20"/>
      <c r="O1024" s="165"/>
      <c r="P1024" s="71"/>
      <c r="Q1024" s="287"/>
      <c r="R1024" s="167"/>
      <c r="S1024" s="313"/>
      <c r="T1024" s="313"/>
      <c r="U1024" s="165"/>
      <c r="V1024" s="165"/>
      <c r="W1024" s="316"/>
      <c r="X1024" s="165"/>
      <c r="Y1024" s="20"/>
      <c r="Z1024" s="20"/>
      <c r="AA1024" s="20"/>
      <c r="AB1024" s="20"/>
      <c r="AC1024" s="20"/>
    </row>
    <row r="1025" spans="1:29">
      <c r="A1025" s="3" t="s">
        <v>343</v>
      </c>
      <c r="C1025" s="148">
        <f>1691</f>
        <v>1691</v>
      </c>
      <c r="D1025" s="148">
        <f>ROUND(($D$1030/$C$1030)*C1025,0)</f>
        <v>1719</v>
      </c>
      <c r="E1025" s="149">
        <v>16.079999999999998</v>
      </c>
      <c r="G1025" s="2">
        <f>ROUND(E1025*$C1025,0)</f>
        <v>27191</v>
      </c>
      <c r="H1025" s="2">
        <f>ROUND(E1025*$D1025,0)</f>
        <v>27642</v>
      </c>
      <c r="I1025" s="149" t="e">
        <f>E1025+(E1025*$P$1032)</f>
        <v>#REF!</v>
      </c>
      <c r="K1025" s="2" t="e">
        <f>ROUND(I1025*$C1025,0)</f>
        <v>#REF!</v>
      </c>
      <c r="M1025" s="81" t="e">
        <f>I1025*D1025</f>
        <v>#REF!</v>
      </c>
      <c r="N1025" s="20"/>
      <c r="O1025" s="165"/>
      <c r="P1025" s="71"/>
      <c r="Q1025" s="287"/>
      <c r="R1025" s="167"/>
      <c r="S1025" s="313"/>
      <c r="T1025" s="313"/>
      <c r="U1025" s="165"/>
      <c r="V1025" s="165"/>
      <c r="W1025" s="316"/>
      <c r="X1025" s="165"/>
      <c r="Y1025" s="20"/>
      <c r="Z1025" s="20"/>
      <c r="AA1025" s="20"/>
      <c r="AB1025" s="20"/>
      <c r="AC1025" s="20"/>
    </row>
    <row r="1026" spans="1:29">
      <c r="A1026" s="3" t="s">
        <v>344</v>
      </c>
      <c r="C1026" s="148">
        <v>0</v>
      </c>
      <c r="D1026" s="148">
        <f>ROUND(($D$1030/$C$1030)*C1026,0)</f>
        <v>0</v>
      </c>
      <c r="E1026" s="149">
        <v>34.340000000000003</v>
      </c>
      <c r="G1026" s="2">
        <f>ROUND(E1026*$C1026,0)</f>
        <v>0</v>
      </c>
      <c r="H1026" s="2">
        <f>ROUND(E1026*$D1026,0)</f>
        <v>0</v>
      </c>
      <c r="I1026" s="149" t="e">
        <f>E1026+(E1026*$P$1032)</f>
        <v>#REF!</v>
      </c>
      <c r="K1026" s="2" t="e">
        <f>ROUND(I1026*$C1026,0)</f>
        <v>#REF!</v>
      </c>
      <c r="M1026" s="81" t="e">
        <f>I1026*D1026</f>
        <v>#REF!</v>
      </c>
      <c r="N1026" s="20"/>
      <c r="O1026" s="165"/>
      <c r="P1026" s="71"/>
      <c r="Q1026" s="287"/>
      <c r="R1026" s="167"/>
      <c r="S1026" s="313"/>
      <c r="T1026" s="313"/>
      <c r="U1026" s="165"/>
      <c r="V1026" s="165"/>
      <c r="W1026" s="316"/>
      <c r="X1026" s="165"/>
      <c r="Y1026" s="20"/>
      <c r="Z1026" s="20"/>
      <c r="AA1026" s="20"/>
      <c r="AB1026" s="20"/>
      <c r="AC1026" s="20"/>
    </row>
    <row r="1027" spans="1:29">
      <c r="A1027" s="5" t="s">
        <v>501</v>
      </c>
      <c r="C1027" s="148"/>
      <c r="D1027" s="148"/>
      <c r="E1027" s="149"/>
      <c r="G1027" s="2"/>
      <c r="H1027" s="2"/>
      <c r="I1027" s="149"/>
      <c r="K1027" s="2"/>
      <c r="M1027" s="20"/>
      <c r="N1027" s="20"/>
      <c r="O1027" s="20"/>
      <c r="P1027" s="319"/>
      <c r="Q1027" s="319"/>
      <c r="R1027" s="426"/>
      <c r="S1027" s="313"/>
      <c r="T1027" s="313"/>
      <c r="U1027" s="321"/>
      <c r="V1027" s="20"/>
      <c r="W1027" s="316"/>
      <c r="X1027" s="20"/>
      <c r="Y1027" s="20"/>
      <c r="Z1027" s="20"/>
      <c r="AA1027" s="20"/>
      <c r="AB1027" s="20"/>
      <c r="AC1027" s="20"/>
    </row>
    <row r="1028" spans="1:29">
      <c r="A1028" s="3" t="s">
        <v>502</v>
      </c>
      <c r="C1028" s="148">
        <f>96</f>
        <v>96</v>
      </c>
      <c r="D1028" s="148">
        <f>ROUND(($D$1030/$C$1030)*C1028,0)</f>
        <v>98</v>
      </c>
      <c r="E1028" s="149">
        <v>32.950000000000003</v>
      </c>
      <c r="G1028" s="2">
        <f>ROUND(E1028*$C1028,0)</f>
        <v>3163</v>
      </c>
      <c r="H1028" s="2">
        <f>ROUND(E1028*$D1028,0)</f>
        <v>3229</v>
      </c>
      <c r="I1028" s="149" t="e">
        <f>E1028+(E1028*$P$1032)</f>
        <v>#REF!</v>
      </c>
      <c r="K1028" s="2" t="e">
        <f>ROUND(I1028*$C1028,0)</f>
        <v>#REF!</v>
      </c>
      <c r="M1028" s="81" t="e">
        <f>I1028*D1028</f>
        <v>#REF!</v>
      </c>
      <c r="N1028" s="20"/>
      <c r="O1028" s="165"/>
      <c r="P1028" s="71"/>
      <c r="Q1028" s="287"/>
      <c r="R1028" s="167"/>
      <c r="S1028" s="313"/>
      <c r="T1028" s="313"/>
      <c r="U1028" s="165"/>
      <c r="V1028" s="165"/>
      <c r="W1028" s="316"/>
      <c r="X1028" s="165"/>
      <c r="Y1028" s="20"/>
      <c r="Z1028" s="20"/>
      <c r="AA1028" s="20"/>
      <c r="AB1028" s="20"/>
      <c r="AC1028" s="20"/>
    </row>
    <row r="1029" spans="1:29">
      <c r="A1029" s="3" t="s">
        <v>350</v>
      </c>
      <c r="C1029" s="148">
        <f>74+91+41+12+35+35+27+62+12</f>
        <v>389</v>
      </c>
      <c r="D1029" s="148">
        <v>588</v>
      </c>
      <c r="E1029" s="323"/>
      <c r="G1029" s="2"/>
      <c r="H1029" s="2"/>
      <c r="I1029" s="323"/>
      <c r="K1029" s="2"/>
      <c r="N1029" s="20"/>
      <c r="O1029" s="165"/>
      <c r="P1029" s="324"/>
      <c r="Q1029" s="20"/>
      <c r="R1029" s="171"/>
      <c r="S1029" s="162"/>
      <c r="T1029" s="162"/>
      <c r="U1029" s="165"/>
      <c r="V1029" s="165"/>
      <c r="W1029" s="165"/>
      <c r="X1029" s="165"/>
      <c r="Y1029" s="20"/>
      <c r="Z1029" s="20"/>
      <c r="AA1029" s="20"/>
      <c r="AB1029" s="20"/>
      <c r="AC1029" s="20"/>
    </row>
    <row r="1030" spans="1:29">
      <c r="A1030" s="3" t="s">
        <v>369</v>
      </c>
      <c r="C1030" s="148">
        <f>2042049</f>
        <v>2042049</v>
      </c>
      <c r="D1030" s="148">
        <v>2075987.7990116791</v>
      </c>
      <c r="E1030" s="153"/>
      <c r="F1030" s="20"/>
      <c r="G1030" s="156">
        <f>SUM(G1001:G1028)</f>
        <v>223707</v>
      </c>
      <c r="H1030" s="156">
        <f>SUM(H1001:H1028)</f>
        <v>227464</v>
      </c>
      <c r="I1030" s="153"/>
      <c r="J1030" s="20"/>
      <c r="K1030" s="156" t="e">
        <f>SUM(K1001:K1028)</f>
        <v>#REF!</v>
      </c>
      <c r="M1030" s="81" t="e">
        <f>SUM(M1001:M1029)</f>
        <v>#REF!</v>
      </c>
      <c r="N1030" s="20"/>
      <c r="O1030" s="165"/>
      <c r="P1030" s="427"/>
      <c r="Q1030" s="20"/>
      <c r="R1030" s="171"/>
      <c r="S1030" s="162"/>
      <c r="T1030" s="162"/>
      <c r="U1030" s="172"/>
      <c r="V1030" s="162"/>
      <c r="W1030" s="162"/>
      <c r="X1030" s="162"/>
      <c r="Y1030" s="20"/>
      <c r="Z1030" s="20"/>
      <c r="AA1030" s="20"/>
      <c r="AB1030" s="20"/>
      <c r="AC1030" s="20"/>
    </row>
    <row r="1031" spans="1:29">
      <c r="A1031" s="3" t="s">
        <v>351</v>
      </c>
      <c r="C1031" s="148" t="e">
        <f>#REF!</f>
        <v>#REF!</v>
      </c>
      <c r="D1031" s="148">
        <v>0</v>
      </c>
      <c r="E1031" s="153"/>
      <c r="F1031" s="20"/>
      <c r="G1031" s="156" t="e">
        <f>#REF!</f>
        <v>#REF!</v>
      </c>
      <c r="H1031" s="156">
        <v>0</v>
      </c>
      <c r="I1031" s="153"/>
      <c r="J1031" s="20"/>
      <c r="K1031" s="156" t="e">
        <f>G1031</f>
        <v>#REF!</v>
      </c>
      <c r="M1031" s="173"/>
      <c r="N1031" s="328"/>
      <c r="O1031" s="171"/>
      <c r="P1031" s="162"/>
      <c r="Q1031" s="162"/>
      <c r="R1031" s="167"/>
      <c r="S1031" s="165"/>
      <c r="T1031" s="162"/>
      <c r="U1031" s="20"/>
      <c r="V1031" s="20"/>
      <c r="W1031" s="20"/>
      <c r="X1031" s="20"/>
      <c r="Y1031" s="20"/>
      <c r="Z1031" s="20"/>
      <c r="AA1031" s="20"/>
      <c r="AB1031" s="20"/>
      <c r="AC1031" s="20"/>
    </row>
    <row r="1032" spans="1:29" ht="16.5" thickBot="1">
      <c r="A1032" s="3" t="s">
        <v>9</v>
      </c>
      <c r="C1032" s="157" t="e">
        <f>C1030+C1031</f>
        <v>#REF!</v>
      </c>
      <c r="D1032" s="157">
        <f>D1030+D1031</f>
        <v>2075987.7990116791</v>
      </c>
      <c r="E1032" s="158"/>
      <c r="F1032" s="158"/>
      <c r="G1032" s="158" t="e">
        <f>G1030+G1031</f>
        <v>#REF!</v>
      </c>
      <c r="H1032" s="158">
        <f>H1030+H1031</f>
        <v>227464</v>
      </c>
      <c r="I1032" s="158"/>
      <c r="J1032" s="158"/>
      <c r="K1032" s="158" t="e">
        <f>K1030+K1031</f>
        <v>#REF!</v>
      </c>
      <c r="M1032" s="175"/>
      <c r="N1032" s="161" t="s">
        <v>397</v>
      </c>
      <c r="O1032" s="66" t="e">
        <f>#REF!*1000</f>
        <v>#REF!</v>
      </c>
      <c r="P1032" s="14" t="e">
        <f>(O1032-G1032)/G1032+0.00276</f>
        <v>#REF!</v>
      </c>
      <c r="Q1032" s="162"/>
      <c r="R1032" s="162"/>
      <c r="S1032" s="162"/>
      <c r="T1032" s="162"/>
      <c r="U1032" s="20"/>
      <c r="V1032" s="20"/>
      <c r="W1032" s="20"/>
      <c r="X1032" s="20"/>
      <c r="Y1032" s="20"/>
      <c r="Z1032" s="20"/>
      <c r="AA1032" s="20"/>
      <c r="AB1032" s="20"/>
      <c r="AC1032" s="20"/>
    </row>
    <row r="1033" spans="1:29" ht="16.5" thickTop="1">
      <c r="C1033" s="159"/>
      <c r="D1033" s="159"/>
      <c r="E1033" s="159"/>
      <c r="F1033" s="159"/>
      <c r="G1033" s="147"/>
      <c r="H1033" s="147"/>
      <c r="I1033" s="159" t="s">
        <v>31</v>
      </c>
      <c r="J1033" s="159"/>
      <c r="K1033" s="2" t="s">
        <v>31</v>
      </c>
      <c r="M1033" s="161"/>
      <c r="N1033" s="161" t="s">
        <v>256</v>
      </c>
      <c r="O1033" s="300" t="e">
        <f>O1032-K1032</f>
        <v>#REF!</v>
      </c>
      <c r="P1033" s="178" t="e">
        <f>(O1032-K1032)/K1032</f>
        <v>#REF!</v>
      </c>
      <c r="Q1033" s="162"/>
      <c r="R1033" s="162"/>
      <c r="S1033" s="162"/>
      <c r="T1033" s="162"/>
      <c r="U1033" s="20"/>
      <c r="V1033" s="20"/>
      <c r="W1033" s="20"/>
      <c r="X1033" s="20"/>
      <c r="Y1033" s="20"/>
      <c r="Z1033" s="20"/>
      <c r="AA1033" s="20"/>
      <c r="AB1033" s="20"/>
      <c r="AC1033" s="20"/>
    </row>
    <row r="1034" spans="1:29">
      <c r="A1034" s="187"/>
      <c r="B1034" s="197"/>
      <c r="C1034" s="329"/>
      <c r="D1034" s="329"/>
      <c r="E1034" s="330"/>
      <c r="F1034" s="2"/>
      <c r="G1034" s="2"/>
      <c r="H1034" s="2"/>
      <c r="I1034" s="330"/>
      <c r="J1034" s="187"/>
      <c r="K1034" s="2"/>
      <c r="M1034" s="20"/>
      <c r="N1034" s="20"/>
      <c r="O1034" s="71"/>
      <c r="P1034" s="71"/>
      <c r="Q1034" s="20"/>
      <c r="R1034" s="20"/>
      <c r="S1034" s="20"/>
      <c r="T1034" s="20"/>
      <c r="U1034" s="20"/>
      <c r="V1034" s="20"/>
      <c r="W1034" s="20"/>
      <c r="X1034" s="20"/>
    </row>
    <row r="1035" spans="1:29" s="4" customFormat="1" ht="19.899999999999999" customHeight="1" thickBot="1">
      <c r="A1035" s="331" t="s">
        <v>503</v>
      </c>
      <c r="B1035" s="332"/>
      <c r="C1035" s="333" t="e">
        <f>C27+C91+C176+C474+C508+C627+C760+C787+C925+C936+C947+C995+C1032</f>
        <v>#REF!</v>
      </c>
      <c r="D1035" s="333" t="e">
        <f>D27+D91+D176+D474+D508+D627+D760+D787+D925+D936+D947+D995+D1032</f>
        <v>#REF!</v>
      </c>
      <c r="E1035" s="334"/>
      <c r="F1035" s="335"/>
      <c r="G1035" s="335" t="e">
        <f>G27+G91+G176+G474+G508+G627+G760+G787+G925+G936+G947+G995+G1032</f>
        <v>#REF!</v>
      </c>
      <c r="H1035" s="335" t="e">
        <f>H27+H91+H176+H474+H508+H627+H760+H787+H925+H936+H947+H995+H1032</f>
        <v>#REF!</v>
      </c>
      <c r="I1035" s="334"/>
      <c r="J1035" s="335"/>
      <c r="K1035" s="335" t="e">
        <f>K27+K91+K176+K474+K508+K627+K760+K787+K925+K936+K947+K995+K1032</f>
        <v>#REF!</v>
      </c>
      <c r="M1035" s="20"/>
      <c r="N1035" s="7" t="s">
        <v>397</v>
      </c>
      <c r="O1035" s="342" t="e">
        <f>O27+O91+O176+O508+O627+O815+O898+O925+O936+O947+O995+O1032</f>
        <v>#REF!</v>
      </c>
      <c r="P1035" s="71"/>
      <c r="Q1035" s="7"/>
      <c r="R1035" s="7"/>
      <c r="S1035" s="7"/>
      <c r="T1035" s="7"/>
      <c r="U1035" s="7"/>
      <c r="V1035" s="7"/>
      <c r="W1035" s="7"/>
      <c r="X1035" s="7"/>
    </row>
    <row r="1036" spans="1:29" ht="16.5" thickTop="1">
      <c r="A1036" s="1"/>
      <c r="B1036" s="197"/>
      <c r="C1036" s="21"/>
      <c r="D1036" s="21"/>
      <c r="E1036" s="221"/>
      <c r="F1036" s="2"/>
      <c r="G1036" s="2"/>
      <c r="H1036" s="2"/>
      <c r="I1036" s="237" t="s">
        <v>31</v>
      </c>
      <c r="J1036" s="1"/>
      <c r="K1036" s="2" t="s">
        <v>31</v>
      </c>
      <c r="M1036" s="20"/>
      <c r="N1036" s="20" t="s">
        <v>256</v>
      </c>
      <c r="O1036" s="71" t="e">
        <f>O1035-K1035</f>
        <v>#REF!</v>
      </c>
      <c r="P1036" s="198" t="e">
        <f>(O1035-K1038)/K1038</f>
        <v>#REF!</v>
      </c>
      <c r="Q1036" s="20"/>
      <c r="R1036" s="20"/>
      <c r="S1036" s="20"/>
      <c r="T1036" s="20"/>
      <c r="U1036" s="20"/>
      <c r="V1036" s="20"/>
      <c r="W1036" s="20"/>
      <c r="X1036" s="20"/>
    </row>
    <row r="1037" spans="1:29">
      <c r="A1037" s="1" t="s">
        <v>34</v>
      </c>
      <c r="B1037" s="197"/>
      <c r="C1037" s="337"/>
      <c r="D1037" s="337"/>
      <c r="E1037" s="338"/>
      <c r="F1037" s="339"/>
      <c r="G1037" s="339" t="e">
        <f>#REF!+#REF!+#REF!+#REF!+#REF!</f>
        <v>#REF!</v>
      </c>
      <c r="H1037" s="339">
        <v>311006.74</v>
      </c>
      <c r="I1037" s="340"/>
      <c r="J1037" s="341"/>
      <c r="K1037" s="339" t="e">
        <f>G1037</f>
        <v>#REF!</v>
      </c>
      <c r="M1037" s="20"/>
      <c r="Q1037" s="20"/>
      <c r="R1037" s="20"/>
      <c r="S1037" s="20"/>
      <c r="T1037" s="20"/>
      <c r="U1037" s="20"/>
      <c r="V1037" s="20"/>
      <c r="W1037" s="20"/>
      <c r="X1037" s="20"/>
    </row>
    <row r="1038" spans="1:29" s="4" customFormat="1" ht="19.899999999999999" customHeight="1" thickBot="1">
      <c r="A1038" s="343" t="s">
        <v>504</v>
      </c>
      <c r="B1038" s="344"/>
      <c r="C1038" s="345" t="e">
        <f>C1035+C1037</f>
        <v>#REF!</v>
      </c>
      <c r="D1038" s="345" t="e">
        <f>D1035+D1037</f>
        <v>#REF!</v>
      </c>
      <c r="E1038" s="346"/>
      <c r="F1038" s="347"/>
      <c r="G1038" s="348" t="e">
        <f>G1035+G1037</f>
        <v>#REF!</v>
      </c>
      <c r="H1038" s="363" t="e">
        <f>H1035+H1037</f>
        <v>#REF!</v>
      </c>
      <c r="I1038" s="349"/>
      <c r="J1038" s="347"/>
      <c r="K1038" s="363" t="e">
        <f>K1035+K1037</f>
        <v>#REF!</v>
      </c>
      <c r="M1038" s="7"/>
      <c r="Q1038" s="7"/>
      <c r="R1038" s="7"/>
      <c r="S1038" s="7"/>
      <c r="T1038" s="7"/>
      <c r="U1038" s="7"/>
      <c r="V1038" s="7"/>
      <c r="W1038" s="7"/>
      <c r="X1038" s="7"/>
    </row>
    <row r="1039" spans="1:29" ht="16.5" thickTop="1">
      <c r="A1039" s="1"/>
      <c r="B1039" s="197"/>
      <c r="C1039" s="21"/>
      <c r="D1039" s="21"/>
      <c r="E1039" s="350" t="s">
        <v>31</v>
      </c>
      <c r="F1039" s="2"/>
      <c r="G1039" s="2" t="s">
        <v>31</v>
      </c>
      <c r="H1039" s="2" t="s">
        <v>31</v>
      </c>
      <c r="I1039" s="221"/>
      <c r="J1039" s="1"/>
      <c r="K1039" s="2"/>
      <c r="M1039" s="20"/>
      <c r="N1039" s="20"/>
      <c r="O1039" s="71"/>
      <c r="P1039" s="71"/>
      <c r="Q1039" s="20"/>
      <c r="R1039" s="20"/>
      <c r="S1039" s="20"/>
      <c r="T1039" s="20"/>
      <c r="U1039" s="20"/>
      <c r="V1039" s="20"/>
      <c r="W1039" s="20"/>
      <c r="X1039" s="20"/>
    </row>
    <row r="1040" spans="1:29">
      <c r="C1040" s="351"/>
      <c r="D1040" s="351"/>
      <c r="E1040" s="154"/>
      <c r="H1040" s="352"/>
      <c r="K1040" s="148"/>
      <c r="M1040" s="20"/>
      <c r="N1040" s="20"/>
      <c r="O1040" s="71"/>
      <c r="P1040" s="71"/>
      <c r="Q1040" s="20"/>
      <c r="R1040" s="20"/>
      <c r="S1040" s="20"/>
      <c r="T1040" s="20"/>
      <c r="U1040" s="20"/>
      <c r="V1040" s="20"/>
      <c r="W1040" s="20"/>
      <c r="X1040" s="20"/>
    </row>
    <row r="1041" spans="1:24">
      <c r="A1041" s="353"/>
      <c r="M1041" s="20"/>
      <c r="N1041" s="20"/>
      <c r="O1041" s="71"/>
      <c r="P1041" s="71"/>
      <c r="Q1041" s="20"/>
      <c r="R1041" s="20"/>
      <c r="S1041" s="20"/>
      <c r="T1041" s="20"/>
      <c r="U1041" s="20"/>
      <c r="V1041" s="20"/>
      <c r="W1041" s="20"/>
      <c r="X1041" s="20"/>
    </row>
    <row r="1042" spans="1:24">
      <c r="A1042" s="1" t="s">
        <v>161</v>
      </c>
      <c r="B1042" s="3" t="s">
        <v>505</v>
      </c>
      <c r="C1042" s="148" t="e">
        <f>#REF!</f>
        <v>#REF!</v>
      </c>
      <c r="D1042" s="148">
        <v>4081125563.3743143</v>
      </c>
      <c r="G1042" s="81" t="e">
        <f>#REF!</f>
        <v>#REF!</v>
      </c>
      <c r="H1042" s="81">
        <v>239244616.27999997</v>
      </c>
      <c r="M1042" s="20"/>
      <c r="N1042" s="20"/>
      <c r="O1042" s="71"/>
      <c r="P1042" s="71"/>
      <c r="Q1042" s="20"/>
      <c r="R1042" s="20"/>
      <c r="S1042" s="20"/>
      <c r="T1042" s="20"/>
      <c r="U1042" s="20"/>
      <c r="V1042" s="20"/>
      <c r="W1042" s="20"/>
      <c r="X1042" s="20"/>
    </row>
    <row r="1043" spans="1:24">
      <c r="B1043" s="3" t="s">
        <v>506</v>
      </c>
      <c r="C1043" s="148" t="e">
        <f>#REF!</f>
        <v>#REF!</v>
      </c>
      <c r="D1043" s="148">
        <v>4081125563.3743143</v>
      </c>
      <c r="G1043" s="81" t="e">
        <f>#REF!</f>
        <v>#REF!</v>
      </c>
      <c r="H1043" s="81">
        <v>239244616.27999997</v>
      </c>
      <c r="M1043" s="20"/>
      <c r="N1043" s="20"/>
      <c r="O1043" s="71"/>
      <c r="P1043" s="71"/>
      <c r="Q1043" s="20"/>
      <c r="R1043" s="20"/>
      <c r="S1043" s="20"/>
      <c r="T1043" s="20"/>
      <c r="U1043" s="20"/>
      <c r="V1043" s="20"/>
      <c r="W1043" s="20"/>
      <c r="X1043" s="20"/>
    </row>
    <row r="1044" spans="1:24">
      <c r="M1044" s="20"/>
      <c r="N1044" s="20"/>
      <c r="O1044" s="71"/>
      <c r="P1044" s="71"/>
      <c r="Q1044" s="20"/>
      <c r="R1044" s="20"/>
      <c r="S1044" s="20"/>
      <c r="T1044" s="20"/>
      <c r="U1044" s="20"/>
      <c r="V1044" s="20"/>
      <c r="W1044" s="20"/>
      <c r="X1044" s="20"/>
    </row>
    <row r="1045" spans="1:24">
      <c r="B1045" s="3" t="s">
        <v>244</v>
      </c>
      <c r="C1045" s="148" t="e">
        <f>C1038-C1043</f>
        <v>#REF!</v>
      </c>
      <c r="D1045" s="148" t="e">
        <f>D1038-D1043</f>
        <v>#REF!</v>
      </c>
      <c r="G1045" s="148" t="e">
        <f>G1038-G1043</f>
        <v>#REF!</v>
      </c>
      <c r="H1045" s="148" t="e">
        <f>H1038-H1043</f>
        <v>#REF!</v>
      </c>
      <c r="M1045" s="20"/>
      <c r="N1045" s="20"/>
      <c r="O1045" s="71"/>
      <c r="P1045" s="71"/>
      <c r="Q1045" s="20"/>
      <c r="R1045" s="20"/>
      <c r="S1045" s="20"/>
      <c r="T1045" s="20"/>
      <c r="U1045" s="20"/>
      <c r="V1045" s="20"/>
      <c r="W1045" s="20"/>
      <c r="X1045" s="20"/>
    </row>
    <row r="1046" spans="1:24">
      <c r="M1046" s="20"/>
      <c r="N1046" s="20"/>
      <c r="O1046" s="71"/>
      <c r="P1046" s="71"/>
      <c r="Q1046" s="20"/>
      <c r="R1046" s="20"/>
      <c r="S1046" s="20"/>
      <c r="T1046" s="20"/>
      <c r="U1046" s="20"/>
      <c r="V1046" s="20"/>
      <c r="W1046" s="20"/>
      <c r="X1046" s="20"/>
    </row>
    <row r="1048" spans="1:24">
      <c r="B1048" s="3" t="s">
        <v>507</v>
      </c>
      <c r="C1048" s="148">
        <f>C24+C83+C157+C483+C587+C737+C768+C922+C933+C944+C991+C1029</f>
        <v>1499468</v>
      </c>
      <c r="D1048" s="148">
        <f>D24+D83+D157+D483+D587+D737+D768+D922+D933+D944+D991+D1029</f>
        <v>1458185.8409090908</v>
      </c>
    </row>
    <row r="1049" spans="1:24">
      <c r="B1049" s="3" t="s">
        <v>40</v>
      </c>
      <c r="C1049" s="148">
        <f>((C83+C186+C271+C483+C737+C768+C922+C933+C944+C991+C1029)/12)+C358+C587+C24</f>
        <v>160240.41666666669</v>
      </c>
      <c r="D1049" s="148">
        <f>((D83+D186+D271+D483+D737+D768+D922+D933+D944+D991+D1029)/12)+D358+D587+D24</f>
        <v>129032.00757575758</v>
      </c>
    </row>
    <row r="1051" spans="1:24">
      <c r="B1051" s="3" t="s">
        <v>244</v>
      </c>
      <c r="C1051" s="148">
        <v>-31827.666666666672</v>
      </c>
      <c r="D1051" s="148">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tabColor indexed="13"/>
  </sheetPr>
  <dimension ref="A1:AE1022"/>
  <sheetViews>
    <sheetView workbookViewId="0"/>
  </sheetViews>
  <sheetFormatPr defaultColWidth="10.25" defaultRowHeight="15.75"/>
  <cols>
    <col min="1" max="1" width="21.625" style="3" customWidth="1"/>
    <col min="2" max="2" width="15.625" style="3" customWidth="1"/>
    <col min="3" max="3" width="16.625" style="3" hidden="1" customWidth="1"/>
    <col min="4" max="4" width="16.625" style="3" customWidth="1"/>
    <col min="5" max="5" width="14.875" style="3" customWidth="1"/>
    <col min="6" max="6" width="2.125" style="3" bestFit="1" customWidth="1"/>
    <col min="7" max="7" width="16.875" style="3" hidden="1" customWidth="1"/>
    <col min="8" max="8" width="16.875" style="3" customWidth="1"/>
    <col min="9" max="9" width="12.625" style="3" customWidth="1"/>
    <col min="10" max="10" width="2.125" style="3" bestFit="1" customWidth="1"/>
    <col min="11" max="11" width="17.875" style="3" customWidth="1"/>
    <col min="12" max="12" width="1.25" style="3" customWidth="1"/>
    <col min="13" max="14" width="16.5" style="3" customWidth="1"/>
    <col min="15" max="15" width="15" style="66" customWidth="1"/>
    <col min="16" max="16" width="11.75" style="66" customWidth="1"/>
    <col min="17" max="17" width="13.5" style="3" customWidth="1"/>
    <col min="18" max="18" width="15" style="3" customWidth="1"/>
    <col min="19" max="19" width="15.375" style="3" customWidth="1"/>
    <col min="20" max="20" width="15.25" style="3" customWidth="1"/>
    <col min="21" max="21" width="14.125" style="3" customWidth="1"/>
    <col min="22" max="22" width="13.75" style="3" customWidth="1"/>
    <col min="23" max="23" width="13.125" style="3" customWidth="1"/>
    <col min="24" max="24" width="14.875" style="3" customWidth="1"/>
    <col min="25" max="25" width="10.75" style="3" customWidth="1"/>
    <col min="26" max="16384" width="10.25" style="3"/>
  </cols>
  <sheetData>
    <row r="1" spans="1:31" ht="18">
      <c r="A1" s="130" t="s">
        <v>31</v>
      </c>
      <c r="B1" s="131"/>
      <c r="C1" s="131"/>
      <c r="D1" s="131"/>
      <c r="E1" s="132"/>
      <c r="F1" s="132"/>
      <c r="G1" s="131"/>
      <c r="H1" s="131"/>
      <c r="I1" s="132"/>
      <c r="J1" s="131"/>
      <c r="K1" s="131"/>
    </row>
    <row r="2" spans="1:31" ht="18">
      <c r="A2" s="130" t="s">
        <v>178</v>
      </c>
      <c r="B2" s="131"/>
      <c r="C2" s="131"/>
      <c r="D2" s="131"/>
      <c r="E2" s="132"/>
      <c r="F2" s="132"/>
      <c r="G2" s="131"/>
      <c r="H2" s="131"/>
      <c r="I2" s="132"/>
      <c r="J2" s="131"/>
      <c r="K2" s="131"/>
    </row>
    <row r="3" spans="1:31" ht="18">
      <c r="A3" s="130" t="s">
        <v>334</v>
      </c>
      <c r="B3" s="131"/>
      <c r="C3" s="131"/>
      <c r="D3" s="131"/>
      <c r="E3" s="132"/>
      <c r="F3" s="132"/>
      <c r="G3" s="131"/>
      <c r="H3" s="131"/>
      <c r="I3" s="132"/>
      <c r="J3" s="131"/>
      <c r="K3" s="131"/>
    </row>
    <row r="4" spans="1:31">
      <c r="A4" s="133" t="s">
        <v>293</v>
      </c>
      <c r="B4" s="134"/>
      <c r="C4" s="134"/>
      <c r="D4" s="134"/>
      <c r="E4" s="135"/>
      <c r="F4" s="135"/>
      <c r="G4" s="134"/>
      <c r="H4" s="134"/>
      <c r="I4" s="135"/>
      <c r="J4" s="134"/>
      <c r="K4" s="134"/>
    </row>
    <row r="5" spans="1:31">
      <c r="A5" s="136" t="s">
        <v>335</v>
      </c>
      <c r="B5" s="134"/>
      <c r="C5" s="134"/>
      <c r="D5" s="134"/>
      <c r="E5" s="135"/>
      <c r="F5" s="135"/>
      <c r="G5" s="134"/>
      <c r="H5" s="134"/>
      <c r="I5" s="135"/>
      <c r="J5" s="134"/>
      <c r="K5" s="134"/>
    </row>
    <row r="6" spans="1:31">
      <c r="A6" s="136"/>
      <c r="B6" s="134"/>
      <c r="C6" s="134"/>
      <c r="D6" s="134"/>
      <c r="E6" s="135"/>
      <c r="F6" s="135"/>
      <c r="G6" s="134"/>
      <c r="H6" s="134"/>
      <c r="I6" s="135"/>
      <c r="J6" s="134"/>
      <c r="K6" s="134"/>
    </row>
    <row r="7" spans="1:31">
      <c r="A7" s="136"/>
      <c r="B7" s="134"/>
      <c r="C7" s="134"/>
      <c r="D7" s="134"/>
      <c r="E7" s="135"/>
      <c r="F7" s="135"/>
      <c r="G7" s="134"/>
      <c r="H7" s="134"/>
      <c r="I7" s="135"/>
      <c r="J7" s="134"/>
      <c r="K7" s="134"/>
    </row>
    <row r="8" spans="1:31">
      <c r="A8" s="134"/>
      <c r="B8" s="134"/>
      <c r="C8" s="134"/>
      <c r="D8" s="134"/>
      <c r="E8" s="135"/>
      <c r="F8" s="135"/>
      <c r="G8" s="134"/>
      <c r="H8" s="134"/>
      <c r="I8" s="135"/>
      <c r="J8" s="134"/>
      <c r="K8" s="134"/>
    </row>
    <row r="9" spans="1:31">
      <c r="A9" s="137"/>
      <c r="B9" s="137"/>
      <c r="C9" s="138"/>
      <c r="D9" s="138"/>
      <c r="E9" s="139"/>
      <c r="F9" s="139"/>
      <c r="G9" s="140" t="s">
        <v>190</v>
      </c>
      <c r="H9" s="141"/>
      <c r="I9" s="139"/>
      <c r="J9" s="140"/>
      <c r="K9" s="140"/>
    </row>
    <row r="10" spans="1:31">
      <c r="A10" s="137"/>
      <c r="B10" s="137"/>
      <c r="C10" s="138" t="s">
        <v>336</v>
      </c>
      <c r="D10" s="138"/>
      <c r="E10" s="140" t="s">
        <v>190</v>
      </c>
      <c r="F10" s="139"/>
      <c r="G10" s="142" t="s">
        <v>337</v>
      </c>
      <c r="H10" s="141" t="s">
        <v>190</v>
      </c>
      <c r="I10" s="140" t="s">
        <v>295</v>
      </c>
      <c r="J10" s="138"/>
      <c r="K10" s="140" t="s">
        <v>295</v>
      </c>
    </row>
    <row r="11" spans="1:31">
      <c r="A11" s="137"/>
      <c r="B11" s="137"/>
      <c r="C11" s="143" t="s">
        <v>294</v>
      </c>
      <c r="D11" s="138" t="s">
        <v>336</v>
      </c>
      <c r="E11" s="144" t="s">
        <v>13</v>
      </c>
      <c r="F11" s="145"/>
      <c r="G11" s="144" t="s">
        <v>294</v>
      </c>
      <c r="H11" s="140" t="s">
        <v>337</v>
      </c>
      <c r="I11" s="144" t="s">
        <v>13</v>
      </c>
      <c r="J11" s="144"/>
      <c r="K11" s="144" t="s">
        <v>337</v>
      </c>
      <c r="M11" s="142" t="s">
        <v>338</v>
      </c>
    </row>
    <row r="12" spans="1:31">
      <c r="A12" s="146" t="s">
        <v>339</v>
      </c>
      <c r="G12" s="147"/>
      <c r="H12" s="147"/>
    </row>
    <row r="13" spans="1:31">
      <c r="A13" s="3" t="s">
        <v>340</v>
      </c>
      <c r="G13" s="147"/>
      <c r="H13" s="147"/>
    </row>
    <row r="14" spans="1:31">
      <c r="G14" s="147"/>
      <c r="H14" s="147"/>
    </row>
    <row r="15" spans="1:31">
      <c r="A15" s="3" t="s">
        <v>341</v>
      </c>
      <c r="G15" s="147"/>
      <c r="H15" s="147"/>
    </row>
    <row r="16" spans="1:31">
      <c r="A16" s="3" t="s">
        <v>342</v>
      </c>
      <c r="C16" s="148">
        <f t="shared" ref="C16:D18" si="0">C33+C50+C67</f>
        <v>30615</v>
      </c>
      <c r="D16" s="148">
        <f t="shared" si="0"/>
        <v>30989</v>
      </c>
      <c r="E16" s="149">
        <v>9.6</v>
      </c>
      <c r="G16" s="2">
        <f t="shared" ref="G16:H18" si="1">G33+G50+G67</f>
        <v>293904</v>
      </c>
      <c r="H16" s="2">
        <f t="shared" si="1"/>
        <v>297494</v>
      </c>
      <c r="I16" s="149">
        <v>9.6</v>
      </c>
      <c r="K16" s="2">
        <f>K33+K50+K67</f>
        <v>297494</v>
      </c>
      <c r="M16" s="81">
        <f>I16*D16</f>
        <v>297494.39999999997</v>
      </c>
      <c r="N16" s="3">
        <v>76</v>
      </c>
      <c r="O16" s="102">
        <f>N16*D16</f>
        <v>2355164</v>
      </c>
      <c r="P16" s="150">
        <f>N16*$O$25</f>
        <v>-2.3212565360957803E-15</v>
      </c>
      <c r="Q16" s="150">
        <f>C16*P16</f>
        <v>-7.1065268852572319E-11</v>
      </c>
      <c r="R16" s="151">
        <f>ROUND(E16+P16,2)</f>
        <v>9.6</v>
      </c>
      <c r="AE16" s="81"/>
    </row>
    <row r="17" spans="1:31">
      <c r="A17" s="3" t="s">
        <v>343</v>
      </c>
      <c r="C17" s="148">
        <f t="shared" si="0"/>
        <v>4904</v>
      </c>
      <c r="D17" s="148">
        <f t="shared" si="0"/>
        <v>5043</v>
      </c>
      <c r="E17" s="149">
        <v>18.28</v>
      </c>
      <c r="G17" s="2">
        <f t="shared" si="1"/>
        <v>89645</v>
      </c>
      <c r="H17" s="2">
        <f t="shared" si="1"/>
        <v>92186</v>
      </c>
      <c r="I17" s="149">
        <v>18.28</v>
      </c>
      <c r="K17" s="2">
        <f>K34+K51+K68</f>
        <v>92186</v>
      </c>
      <c r="M17" s="81">
        <f>I17*D17</f>
        <v>92186.040000000008</v>
      </c>
      <c r="N17" s="3">
        <v>172</v>
      </c>
      <c r="O17" s="102">
        <f>N17*D17</f>
        <v>867396</v>
      </c>
      <c r="P17" s="150">
        <f>N17*$O$25</f>
        <v>-5.2533700553746604E-15</v>
      </c>
      <c r="Q17" s="150">
        <f>C17*P17</f>
        <v>-2.5762526751557335E-11</v>
      </c>
      <c r="R17" s="151">
        <f>ROUND(E17+P17,2)</f>
        <v>18.28</v>
      </c>
      <c r="AE17" s="81"/>
    </row>
    <row r="18" spans="1:31">
      <c r="A18" s="3" t="s">
        <v>344</v>
      </c>
      <c r="C18" s="148">
        <f t="shared" si="0"/>
        <v>657</v>
      </c>
      <c r="D18" s="148">
        <f t="shared" si="0"/>
        <v>677</v>
      </c>
      <c r="E18" s="149">
        <v>37.82</v>
      </c>
      <c r="G18" s="2">
        <f t="shared" si="1"/>
        <v>24848</v>
      </c>
      <c r="H18" s="2">
        <f t="shared" si="1"/>
        <v>25605</v>
      </c>
      <c r="I18" s="149">
        <v>37.82</v>
      </c>
      <c r="K18" s="2">
        <f>K35+K52+K69</f>
        <v>25605</v>
      </c>
      <c r="M18" s="81">
        <f>I18*D18</f>
        <v>25604.14</v>
      </c>
      <c r="N18" s="3">
        <v>412</v>
      </c>
      <c r="O18" s="102">
        <f>N18*D18</f>
        <v>278924</v>
      </c>
      <c r="P18" s="150">
        <f>N18*$O$25</f>
        <v>-1.2583653853571861E-14</v>
      </c>
      <c r="Q18" s="150">
        <f>C18*P18</f>
        <v>-8.2674605817967132E-12</v>
      </c>
      <c r="R18" s="151">
        <f>ROUND(E18+P18,2)</f>
        <v>37.82</v>
      </c>
      <c r="AE18" s="81"/>
    </row>
    <row r="19" spans="1:31">
      <c r="A19" s="3" t="s">
        <v>345</v>
      </c>
      <c r="C19" s="148"/>
      <c r="D19" s="148"/>
      <c r="E19" s="149"/>
      <c r="G19" s="2"/>
      <c r="H19" s="2"/>
      <c r="I19" s="149"/>
      <c r="K19" s="2"/>
      <c r="M19" s="81"/>
      <c r="O19" s="3"/>
      <c r="P19" s="150"/>
      <c r="Q19" s="150"/>
      <c r="R19" s="152"/>
      <c r="AE19" s="81"/>
    </row>
    <row r="20" spans="1:31">
      <c r="A20" s="3" t="s">
        <v>346</v>
      </c>
      <c r="C20" s="148">
        <f t="shared" ref="C20:D25" si="2">C37+C54+C71</f>
        <v>2070</v>
      </c>
      <c r="D20" s="148">
        <f t="shared" si="2"/>
        <v>2097</v>
      </c>
      <c r="E20" s="149">
        <v>10.92</v>
      </c>
      <c r="G20" s="2">
        <f t="shared" ref="G20:H23" si="3">G37+G54+G71</f>
        <v>22604</v>
      </c>
      <c r="H20" s="2">
        <f t="shared" si="3"/>
        <v>22899</v>
      </c>
      <c r="I20" s="149">
        <v>10.92</v>
      </c>
      <c r="K20" s="2">
        <f>K37+K54+K71</f>
        <v>22899</v>
      </c>
      <c r="M20" s="81">
        <f>I20*D20</f>
        <v>22899.24</v>
      </c>
      <c r="N20" s="3">
        <v>31</v>
      </c>
      <c r="O20" s="102">
        <f>N20*D20</f>
        <v>65007</v>
      </c>
      <c r="P20" s="150">
        <f>N20*$O$25</f>
        <v>-9.4682832393380513E-16</v>
      </c>
      <c r="Q20" s="150">
        <f>C20*P20</f>
        <v>-1.9599346305429768E-12</v>
      </c>
      <c r="R20" s="151">
        <f>ROUND(E20+P20,2)</f>
        <v>10.92</v>
      </c>
      <c r="AE20" s="81"/>
    </row>
    <row r="21" spans="1:31">
      <c r="A21" s="3" t="s">
        <v>347</v>
      </c>
      <c r="C21" s="148">
        <f t="shared" si="2"/>
        <v>1813</v>
      </c>
      <c r="D21" s="148">
        <f t="shared" si="2"/>
        <v>1858</v>
      </c>
      <c r="E21" s="149">
        <v>16.04</v>
      </c>
      <c r="G21" s="2">
        <f t="shared" si="3"/>
        <v>29080</v>
      </c>
      <c r="H21" s="2">
        <f t="shared" si="3"/>
        <v>29802</v>
      </c>
      <c r="I21" s="149">
        <v>16.04</v>
      </c>
      <c r="K21" s="2">
        <f>K38+K55+K72</f>
        <v>29802</v>
      </c>
      <c r="M21" s="81">
        <f>I21*D21</f>
        <v>29802.32</v>
      </c>
      <c r="N21" s="3">
        <v>85</v>
      </c>
      <c r="O21" s="102">
        <f>N21*D21</f>
        <v>157930</v>
      </c>
      <c r="P21" s="150">
        <f>N21*$O$25</f>
        <v>-2.5961421785281753E-15</v>
      </c>
      <c r="Q21" s="150">
        <f>C21*P21</f>
        <v>-4.7068057696715822E-12</v>
      </c>
      <c r="R21" s="151">
        <f>ROUND(E21+P21,2)</f>
        <v>16.04</v>
      </c>
      <c r="AE21" s="81"/>
    </row>
    <row r="22" spans="1:31">
      <c r="A22" s="3" t="s">
        <v>348</v>
      </c>
      <c r="C22" s="148">
        <f t="shared" si="2"/>
        <v>481</v>
      </c>
      <c r="D22" s="148">
        <f t="shared" si="2"/>
        <v>495</v>
      </c>
      <c r="E22" s="149">
        <v>25.88</v>
      </c>
      <c r="G22" s="2">
        <f t="shared" si="3"/>
        <v>12449</v>
      </c>
      <c r="H22" s="2">
        <f t="shared" si="3"/>
        <v>12811</v>
      </c>
      <c r="I22" s="149">
        <v>25.88</v>
      </c>
      <c r="K22" s="2">
        <f>K39+K56+K73</f>
        <v>12811</v>
      </c>
      <c r="M22" s="81">
        <f>I22*D22</f>
        <v>12810.6</v>
      </c>
      <c r="N22" s="3">
        <v>176</v>
      </c>
      <c r="O22" s="102">
        <f>N22*D22</f>
        <v>87120</v>
      </c>
      <c r="P22" s="150">
        <f>N22*$O$25</f>
        <v>-5.3755414520112801E-15</v>
      </c>
      <c r="Q22" s="150">
        <f>C22*P22</f>
        <v>-2.5856354384174258E-12</v>
      </c>
      <c r="R22" s="151">
        <f>ROUND(E22+P22,2)</f>
        <v>25.88</v>
      </c>
      <c r="AE22" s="81"/>
    </row>
    <row r="23" spans="1:31">
      <c r="A23" s="3" t="s">
        <v>349</v>
      </c>
      <c r="C23" s="148">
        <f t="shared" si="2"/>
        <v>632</v>
      </c>
      <c r="D23" s="148">
        <f t="shared" si="2"/>
        <v>647</v>
      </c>
      <c r="E23" s="153">
        <v>1</v>
      </c>
      <c r="F23" s="20"/>
      <c r="G23" s="2">
        <f t="shared" si="3"/>
        <v>632</v>
      </c>
      <c r="H23" s="2">
        <f t="shared" si="3"/>
        <v>647</v>
      </c>
      <c r="I23" s="153">
        <v>1</v>
      </c>
      <c r="J23" s="20"/>
      <c r="K23" s="2">
        <f>K40+K57+K74</f>
        <v>647</v>
      </c>
      <c r="M23" s="81">
        <f>I23*D23</f>
        <v>647</v>
      </c>
      <c r="O23" s="102">
        <f>SUM(O16:O22)</f>
        <v>3811541</v>
      </c>
      <c r="P23" s="3"/>
      <c r="Q23" s="150">
        <f>SUM(Q16:Q22)</f>
        <v>-1.1434763202455836E-10</v>
      </c>
      <c r="AE23" s="81"/>
    </row>
    <row r="24" spans="1:31">
      <c r="A24" s="3" t="s">
        <v>350</v>
      </c>
      <c r="C24" s="148">
        <f t="shared" si="2"/>
        <v>2828</v>
      </c>
      <c r="D24" s="148">
        <f t="shared" si="2"/>
        <v>2797.0833333333335</v>
      </c>
      <c r="E24" s="149"/>
      <c r="G24" s="2"/>
      <c r="H24" s="2"/>
      <c r="I24" s="149"/>
      <c r="K24" s="2"/>
      <c r="M24" s="81"/>
      <c r="O24" s="81">
        <v>-1.1641532182693481E-10</v>
      </c>
      <c r="P24" s="3"/>
      <c r="AE24" s="81"/>
    </row>
    <row r="25" spans="1:31">
      <c r="A25" s="3" t="s">
        <v>35</v>
      </c>
      <c r="C25" s="148">
        <f t="shared" si="2"/>
        <v>3727613.5</v>
      </c>
      <c r="D25" s="148">
        <f t="shared" si="2"/>
        <v>3794904.7279999279</v>
      </c>
      <c r="E25" s="153"/>
      <c r="F25" s="20"/>
      <c r="G25" s="2">
        <f>G42+G59+G76</f>
        <v>473162</v>
      </c>
      <c r="H25" s="2">
        <f>H42+H59+H76</f>
        <v>481444</v>
      </c>
      <c r="I25" s="153"/>
      <c r="J25" s="20"/>
      <c r="K25" s="154">
        <f>K42+K59+K76</f>
        <v>481444</v>
      </c>
      <c r="M25" s="81">
        <f>SUM(M16:M24)</f>
        <v>481443.73999999993</v>
      </c>
      <c r="O25" s="155">
        <f>O24/O23</f>
        <v>-3.0542849159155002E-17</v>
      </c>
      <c r="P25" s="3"/>
      <c r="AE25" s="81"/>
    </row>
    <row r="26" spans="1:31">
      <c r="A26" s="3" t="s">
        <v>351</v>
      </c>
      <c r="C26" s="148">
        <f>C43+C60+C77</f>
        <v>7475.3644456641432</v>
      </c>
      <c r="D26" s="148">
        <v>0</v>
      </c>
      <c r="E26" s="153"/>
      <c r="F26" s="20"/>
      <c r="G26" s="156">
        <f>G43+G60+G77</f>
        <v>758.26673033638372</v>
      </c>
      <c r="H26" s="156">
        <v>0</v>
      </c>
      <c r="I26" s="153"/>
      <c r="J26" s="20"/>
      <c r="K26" s="156">
        <f>K43+K60+K77</f>
        <v>0</v>
      </c>
      <c r="AE26" s="81"/>
    </row>
    <row r="27" spans="1:31" ht="16.5" thickBot="1">
      <c r="A27" s="3" t="s">
        <v>9</v>
      </c>
      <c r="C27" s="157">
        <f>C25+C26</f>
        <v>3735088.864445664</v>
      </c>
      <c r="D27" s="157">
        <f>D25+D26</f>
        <v>3794904.7279999279</v>
      </c>
      <c r="E27" s="158"/>
      <c r="F27" s="158"/>
      <c r="G27" s="158">
        <f>G25+G26</f>
        <v>473920.26673033636</v>
      </c>
      <c r="H27" s="158">
        <f>H25+H26</f>
        <v>481444</v>
      </c>
      <c r="I27" s="158"/>
      <c r="J27" s="158"/>
      <c r="K27" s="158">
        <f>K25+K26</f>
        <v>481444</v>
      </c>
      <c r="N27" s="3" t="s">
        <v>352</v>
      </c>
      <c r="O27" s="66" t="e">
        <f>#REF!*1000</f>
        <v>#REF!</v>
      </c>
      <c r="Q27" s="14"/>
      <c r="AE27" s="81"/>
    </row>
    <row r="28" spans="1:31" ht="16.5" thickTop="1">
      <c r="C28" s="159"/>
      <c r="D28" s="159"/>
      <c r="E28" s="159"/>
      <c r="F28" s="159"/>
      <c r="G28" s="147"/>
      <c r="H28" s="147"/>
      <c r="I28" s="1" t="s">
        <v>31</v>
      </c>
      <c r="J28" s="159"/>
      <c r="K28" s="2" t="s">
        <v>31</v>
      </c>
      <c r="N28" s="3" t="s">
        <v>256</v>
      </c>
      <c r="O28" s="66" t="e">
        <f>O27-K27</f>
        <v>#REF!</v>
      </c>
      <c r="P28" s="14" t="e">
        <f>(O27-K27)/K27</f>
        <v>#REF!</v>
      </c>
      <c r="Q28" s="14"/>
      <c r="AE28" s="81"/>
    </row>
    <row r="29" spans="1:31">
      <c r="A29" s="146" t="s">
        <v>339</v>
      </c>
      <c r="G29" s="147"/>
      <c r="H29" s="147"/>
      <c r="O29" s="160" t="e">
        <f>O28/(K16+K17+K18+K20+K21+K22)</f>
        <v>#REF!</v>
      </c>
      <c r="P29" s="3"/>
      <c r="AE29" s="81"/>
    </row>
    <row r="30" spans="1:31">
      <c r="A30" s="3" t="s">
        <v>353</v>
      </c>
      <c r="G30" s="147"/>
      <c r="H30" s="147"/>
      <c r="M30" s="161"/>
      <c r="N30" s="161"/>
      <c r="O30" s="161"/>
      <c r="P30" s="161"/>
      <c r="Q30" s="161"/>
      <c r="R30" s="161"/>
      <c r="S30" s="161"/>
      <c r="T30" s="161"/>
      <c r="U30" s="161"/>
      <c r="V30" s="161"/>
      <c r="W30" s="161"/>
      <c r="X30" s="161"/>
      <c r="AE30" s="81"/>
    </row>
    <row r="31" spans="1:31">
      <c r="E31" s="148"/>
      <c r="G31" s="147"/>
      <c r="H31" s="147"/>
      <c r="M31" s="162"/>
      <c r="N31" s="162"/>
      <c r="O31" s="162"/>
      <c r="P31" s="162"/>
      <c r="Q31" s="162"/>
      <c r="R31" s="162"/>
      <c r="S31" s="162"/>
      <c r="T31" s="162"/>
      <c r="U31" s="162"/>
      <c r="V31" s="162"/>
      <c r="W31" s="162"/>
      <c r="X31" s="161"/>
      <c r="AE31" s="81"/>
    </row>
    <row r="32" spans="1:31">
      <c r="A32" s="3" t="s">
        <v>341</v>
      </c>
      <c r="G32" s="147"/>
      <c r="H32" s="147"/>
      <c r="M32" s="162"/>
      <c r="N32" s="162"/>
      <c r="O32" s="162"/>
      <c r="P32" s="71"/>
      <c r="Q32" s="163"/>
      <c r="R32" s="164"/>
      <c r="S32" s="165"/>
      <c r="T32" s="166"/>
      <c r="U32" s="162"/>
      <c r="V32" s="162"/>
      <c r="W32" s="162"/>
      <c r="X32" s="161"/>
      <c r="AE32" s="81"/>
    </row>
    <row r="33" spans="1:31">
      <c r="A33" s="3" t="s">
        <v>342</v>
      </c>
      <c r="C33" s="148">
        <f>14258+124</f>
        <v>14382</v>
      </c>
      <c r="D33" s="148">
        <f>ROUND(C33*($D$42/$C$42),0)</f>
        <v>14272</v>
      </c>
      <c r="E33" s="149">
        <v>9.6</v>
      </c>
      <c r="G33" s="2">
        <f>ROUND(E33*$C33,0)</f>
        <v>138067</v>
      </c>
      <c r="H33" s="2">
        <f>ROUND(E33*$D33,0)</f>
        <v>137011</v>
      </c>
      <c r="I33" s="149">
        <f>$I$16</f>
        <v>9.6</v>
      </c>
      <c r="K33" s="2">
        <f>ROUND(I33*$D33,0)</f>
        <v>137011</v>
      </c>
      <c r="M33" s="20"/>
      <c r="N33" s="20"/>
      <c r="O33" s="165"/>
      <c r="P33" s="71"/>
      <c r="Q33" s="162"/>
      <c r="R33" s="167"/>
      <c r="S33" s="168"/>
      <c r="T33" s="162"/>
      <c r="U33" s="165"/>
      <c r="V33" s="165"/>
      <c r="W33" s="169"/>
      <c r="X33" s="170"/>
      <c r="AE33" s="81"/>
    </row>
    <row r="34" spans="1:31">
      <c r="A34" s="3" t="s">
        <v>343</v>
      </c>
      <c r="C34" s="148">
        <f>262+12</f>
        <v>274</v>
      </c>
      <c r="D34" s="148">
        <f>ROUND(C34*($D$42/$C$42),0)</f>
        <v>272</v>
      </c>
      <c r="E34" s="149">
        <v>18.28</v>
      </c>
      <c r="G34" s="2">
        <f>ROUND(E34*$C34,0)</f>
        <v>5009</v>
      </c>
      <c r="H34" s="2">
        <f>ROUND(E34*$D34,0)</f>
        <v>4972</v>
      </c>
      <c r="I34" s="149">
        <f>$I$17</f>
        <v>18.28</v>
      </c>
      <c r="K34" s="2">
        <f>ROUND(I34*$D34,0)</f>
        <v>4972</v>
      </c>
      <c r="M34" s="20"/>
      <c r="N34" s="20"/>
      <c r="O34" s="165"/>
      <c r="P34" s="71"/>
      <c r="Q34" s="20"/>
      <c r="R34" s="171"/>
      <c r="S34" s="162"/>
      <c r="T34" s="162"/>
      <c r="U34" s="165"/>
      <c r="V34" s="165"/>
      <c r="W34" s="169"/>
      <c r="X34" s="170"/>
      <c r="AE34" s="81"/>
    </row>
    <row r="35" spans="1:31">
      <c r="A35" s="3" t="s">
        <v>344</v>
      </c>
      <c r="C35" s="148">
        <f>2</f>
        <v>2</v>
      </c>
      <c r="D35" s="148">
        <f>ROUND(C35*($D$42/$C$42),0)</f>
        <v>2</v>
      </c>
      <c r="E35" s="149">
        <v>37.82</v>
      </c>
      <c r="G35" s="2">
        <f>ROUND(E35*$C35,0)</f>
        <v>76</v>
      </c>
      <c r="H35" s="2">
        <f>ROUND(E35*$D35,0)</f>
        <v>76</v>
      </c>
      <c r="I35" s="149">
        <f>$I$18</f>
        <v>37.82</v>
      </c>
      <c r="K35" s="2">
        <f>ROUND(I35*$D35,0)</f>
        <v>76</v>
      </c>
      <c r="M35" s="20"/>
      <c r="N35" s="20"/>
      <c r="O35" s="165"/>
      <c r="P35" s="71"/>
      <c r="Q35" s="20"/>
      <c r="R35" s="171"/>
      <c r="S35" s="162"/>
      <c r="T35" s="162"/>
      <c r="U35" s="165"/>
      <c r="V35" s="165"/>
      <c r="W35" s="169"/>
      <c r="X35" s="170"/>
      <c r="AE35" s="81"/>
    </row>
    <row r="36" spans="1:31">
      <c r="A36" s="3" t="s">
        <v>345</v>
      </c>
      <c r="C36" s="148"/>
      <c r="D36" s="148"/>
      <c r="E36" s="149"/>
      <c r="G36" s="2"/>
      <c r="H36" s="2"/>
      <c r="I36" s="149"/>
      <c r="K36" s="2"/>
      <c r="M36" s="20"/>
      <c r="N36" s="20"/>
      <c r="O36" s="165"/>
      <c r="P36" s="71"/>
      <c r="Q36" s="20"/>
      <c r="R36" s="171"/>
      <c r="S36" s="162"/>
      <c r="T36" s="162"/>
      <c r="U36" s="165"/>
      <c r="V36" s="165"/>
      <c r="W36" s="169"/>
      <c r="X36" s="170"/>
      <c r="AE36" s="81"/>
    </row>
    <row r="37" spans="1:31">
      <c r="A37" s="3" t="s">
        <v>346</v>
      </c>
      <c r="C37" s="148">
        <f>921</f>
        <v>921</v>
      </c>
      <c r="D37" s="148">
        <f>ROUND(C37*($D$42/$C$42),0)</f>
        <v>914</v>
      </c>
      <c r="E37" s="149">
        <v>10.92</v>
      </c>
      <c r="G37" s="2">
        <f>ROUND(E37*$C37,0)</f>
        <v>10057</v>
      </c>
      <c r="H37" s="2">
        <f>ROUND(E37*$D37,0)</f>
        <v>9981</v>
      </c>
      <c r="I37" s="149">
        <f>$I$20</f>
        <v>10.92</v>
      </c>
      <c r="K37" s="2">
        <f>ROUND(I37*$D37,0)</f>
        <v>9981</v>
      </c>
      <c r="M37" s="20"/>
      <c r="N37" s="20"/>
      <c r="O37" s="165"/>
      <c r="P37" s="71"/>
      <c r="Q37" s="20"/>
      <c r="R37" s="171"/>
      <c r="S37" s="162"/>
      <c r="T37" s="162"/>
      <c r="U37" s="165"/>
      <c r="V37" s="165"/>
      <c r="W37" s="169"/>
      <c r="X37" s="170"/>
      <c r="AE37" s="81"/>
    </row>
    <row r="38" spans="1:31">
      <c r="A38" s="3" t="s">
        <v>347</v>
      </c>
      <c r="C38" s="148">
        <f>234</f>
        <v>234</v>
      </c>
      <c r="D38" s="148">
        <f>ROUND(C38*($D$42/$C$42),0)</f>
        <v>232</v>
      </c>
      <c r="E38" s="149">
        <v>16.04</v>
      </c>
      <c r="G38" s="2">
        <f>ROUND(E38*$C38,0)</f>
        <v>3753</v>
      </c>
      <c r="H38" s="2">
        <f>ROUND(E38*$D38,0)</f>
        <v>3721</v>
      </c>
      <c r="I38" s="149">
        <f>$I$21</f>
        <v>16.04</v>
      </c>
      <c r="K38" s="2">
        <f>ROUND(I38*$D38,0)</f>
        <v>3721</v>
      </c>
      <c r="M38" s="20"/>
      <c r="N38" s="20"/>
      <c r="O38" s="165"/>
      <c r="P38" s="71"/>
      <c r="Q38" s="20"/>
      <c r="R38" s="171"/>
      <c r="S38" s="162"/>
      <c r="T38" s="162"/>
      <c r="U38" s="165"/>
      <c r="V38" s="165"/>
      <c r="W38" s="169"/>
      <c r="X38" s="170"/>
      <c r="AE38" s="81"/>
    </row>
    <row r="39" spans="1:31">
      <c r="A39" s="3" t="s">
        <v>348</v>
      </c>
      <c r="C39" s="148">
        <f>12</f>
        <v>12</v>
      </c>
      <c r="D39" s="148">
        <f>ROUND(C39*($D$42/$C$42),0)</f>
        <v>12</v>
      </c>
      <c r="E39" s="149">
        <v>25.88</v>
      </c>
      <c r="G39" s="2">
        <f>ROUND(E39*$C39,0)</f>
        <v>311</v>
      </c>
      <c r="H39" s="2">
        <f>ROUND(E39*$D39,0)</f>
        <v>311</v>
      </c>
      <c r="I39" s="149">
        <f>$I$22</f>
        <v>25.88</v>
      </c>
      <c r="K39" s="2">
        <f>ROUND(I39*$D39,0)</f>
        <v>311</v>
      </c>
      <c r="M39" s="20"/>
      <c r="N39" s="20"/>
      <c r="O39" s="165"/>
      <c r="P39" s="71"/>
      <c r="Q39" s="20"/>
      <c r="R39" s="171"/>
      <c r="S39" s="162"/>
      <c r="T39" s="162"/>
      <c r="U39" s="165"/>
      <c r="V39" s="165"/>
      <c r="W39" s="169"/>
      <c r="X39" s="170"/>
      <c r="AE39" s="81"/>
    </row>
    <row r="40" spans="1:31">
      <c r="A40" s="3" t="s">
        <v>349</v>
      </c>
      <c r="C40" s="148">
        <f>125+12+2</f>
        <v>139</v>
      </c>
      <c r="D40" s="148">
        <f>ROUND(C40*($D$42/$C$42),0)</f>
        <v>138</v>
      </c>
      <c r="E40" s="153">
        <v>1</v>
      </c>
      <c r="F40" s="20"/>
      <c r="G40" s="156">
        <f>ROUND(E40*$C40,0)</f>
        <v>139</v>
      </c>
      <c r="H40" s="156">
        <f>ROUND(E40*$D40,0)</f>
        <v>138</v>
      </c>
      <c r="I40" s="153">
        <f>$I$23</f>
        <v>1</v>
      </c>
      <c r="J40" s="20"/>
      <c r="K40" s="156">
        <f>ROUND(I40*$D40,0)</f>
        <v>138</v>
      </c>
      <c r="M40" s="162"/>
      <c r="N40" s="162"/>
      <c r="O40" s="165"/>
      <c r="P40" s="71"/>
      <c r="Q40" s="20"/>
      <c r="R40" s="162"/>
      <c r="S40" s="162"/>
      <c r="T40" s="162"/>
      <c r="U40" s="165"/>
      <c r="V40" s="165"/>
      <c r="W40" s="165"/>
      <c r="X40" s="170"/>
      <c r="AE40" s="81"/>
    </row>
    <row r="41" spans="1:31">
      <c r="A41" s="3" t="s">
        <v>350</v>
      </c>
      <c r="C41" s="148">
        <v>1293</v>
      </c>
      <c r="D41" s="148">
        <v>1276.1666666666667</v>
      </c>
      <c r="E41" s="149"/>
      <c r="G41" s="2"/>
      <c r="H41" s="2"/>
      <c r="I41" s="149"/>
      <c r="K41" s="2"/>
      <c r="M41" s="162"/>
      <c r="N41" s="162"/>
      <c r="O41" s="162"/>
      <c r="P41" s="162"/>
      <c r="Q41" s="162"/>
      <c r="R41" s="162"/>
      <c r="S41" s="162"/>
      <c r="T41" s="162"/>
      <c r="U41" s="172"/>
      <c r="V41" s="162"/>
      <c r="W41" s="162"/>
      <c r="X41" s="161"/>
      <c r="AE41" s="81"/>
    </row>
    <row r="42" spans="1:31">
      <c r="A42" s="3" t="s">
        <v>35</v>
      </c>
      <c r="C42" s="148">
        <v>1187224</v>
      </c>
      <c r="D42" s="148">
        <v>1178171.795773752</v>
      </c>
      <c r="E42" s="153"/>
      <c r="F42" s="20"/>
      <c r="G42" s="156">
        <f>SUM(G33:G40)</f>
        <v>157412</v>
      </c>
      <c r="H42" s="156">
        <f>SUM(H33:H40)</f>
        <v>156210</v>
      </c>
      <c r="I42" s="153"/>
      <c r="J42" s="20"/>
      <c r="K42" s="156">
        <f>SUM(K33:K40)</f>
        <v>156210</v>
      </c>
      <c r="M42" s="162"/>
      <c r="N42" s="162"/>
      <c r="O42" s="171"/>
      <c r="P42" s="162"/>
      <c r="Q42" s="20"/>
      <c r="R42" s="20"/>
      <c r="S42" s="20"/>
      <c r="T42" s="162"/>
      <c r="U42" s="162"/>
      <c r="V42" s="162"/>
      <c r="W42" s="162"/>
      <c r="X42" s="161"/>
      <c r="AE42" s="81"/>
    </row>
    <row r="43" spans="1:31">
      <c r="A43" s="3" t="s">
        <v>351</v>
      </c>
      <c r="C43" s="148">
        <v>718.56078337023234</v>
      </c>
      <c r="D43" s="148">
        <v>0</v>
      </c>
      <c r="E43" s="153"/>
      <c r="F43" s="20"/>
      <c r="G43" s="156">
        <v>42.574697195479054</v>
      </c>
      <c r="H43" s="156">
        <v>0</v>
      </c>
      <c r="I43" s="153"/>
      <c r="J43" s="20"/>
      <c r="K43" s="156">
        <v>0</v>
      </c>
      <c r="M43" s="173"/>
      <c r="N43" s="173"/>
      <c r="O43" s="174"/>
      <c r="P43" s="161"/>
      <c r="Q43" s="161"/>
      <c r="R43" s="167"/>
      <c r="S43" s="165"/>
      <c r="T43" s="162"/>
      <c r="U43" s="161"/>
      <c r="V43" s="161"/>
      <c r="W43" s="161"/>
      <c r="X43" s="161"/>
      <c r="AE43" s="81"/>
    </row>
    <row r="44" spans="1:31" ht="16.5" thickBot="1">
      <c r="A44" s="3" t="s">
        <v>9</v>
      </c>
      <c r="C44" s="157">
        <f>C42+C43</f>
        <v>1187942.5607833702</v>
      </c>
      <c r="D44" s="157">
        <f>SUM(D42:D43)</f>
        <v>1178171.795773752</v>
      </c>
      <c r="E44" s="158"/>
      <c r="F44" s="158"/>
      <c r="G44" s="158">
        <f>G42+G43</f>
        <v>157454.57469719546</v>
      </c>
      <c r="H44" s="158">
        <f>H42+H43</f>
        <v>156210</v>
      </c>
      <c r="I44" s="158"/>
      <c r="J44" s="158"/>
      <c r="K44" s="158">
        <f>K42+K43</f>
        <v>156210</v>
      </c>
      <c r="M44" s="175"/>
      <c r="N44" s="175"/>
      <c r="O44" s="176"/>
      <c r="P44" s="161"/>
      <c r="Q44" s="161"/>
      <c r="R44" s="162"/>
      <c r="S44" s="162"/>
      <c r="T44" s="162"/>
      <c r="U44" s="161"/>
      <c r="V44" s="161"/>
      <c r="W44" s="161"/>
      <c r="X44" s="161"/>
      <c r="AE44" s="81"/>
    </row>
    <row r="45" spans="1:31" ht="16.5" thickTop="1">
      <c r="C45" s="159"/>
      <c r="D45" s="159"/>
      <c r="E45" s="159"/>
      <c r="F45" s="159"/>
      <c r="G45" s="147"/>
      <c r="H45" s="147"/>
      <c r="I45" s="1" t="s">
        <v>31</v>
      </c>
      <c r="J45" s="159"/>
      <c r="K45" s="2" t="s">
        <v>31</v>
      </c>
      <c r="P45" s="71"/>
      <c r="Q45" s="20"/>
      <c r="R45" s="20"/>
      <c r="S45" s="20"/>
      <c r="T45" s="162"/>
      <c r="U45" s="162"/>
      <c r="V45" s="162"/>
      <c r="W45" s="162"/>
      <c r="X45" s="162"/>
      <c r="Y45" s="20"/>
      <c r="Z45" s="20"/>
      <c r="AE45" s="81"/>
    </row>
    <row r="46" spans="1:31">
      <c r="A46" s="146" t="s">
        <v>339</v>
      </c>
      <c r="G46" s="147"/>
      <c r="H46" s="147"/>
      <c r="P46" s="71"/>
      <c r="Q46" s="20"/>
      <c r="R46" s="20"/>
      <c r="S46" s="20"/>
      <c r="T46" s="162"/>
      <c r="U46" s="162"/>
      <c r="V46" s="162"/>
      <c r="W46" s="162"/>
      <c r="X46" s="162"/>
      <c r="Y46" s="20"/>
      <c r="Z46" s="20"/>
      <c r="AE46" s="81"/>
    </row>
    <row r="47" spans="1:31">
      <c r="A47" s="3" t="s">
        <v>354</v>
      </c>
      <c r="G47" s="147"/>
      <c r="H47" s="147"/>
      <c r="M47" s="161"/>
      <c r="N47" s="161"/>
      <c r="O47" s="161"/>
      <c r="P47" s="162"/>
      <c r="Q47" s="162"/>
      <c r="R47" s="162"/>
      <c r="S47" s="162"/>
      <c r="T47" s="162"/>
      <c r="U47" s="162"/>
      <c r="V47" s="162"/>
      <c r="W47" s="162"/>
      <c r="X47" s="162"/>
      <c r="Y47" s="20"/>
      <c r="Z47" s="20"/>
      <c r="AE47" s="81"/>
    </row>
    <row r="48" spans="1:31">
      <c r="G48" s="147"/>
      <c r="H48" s="147"/>
      <c r="M48" s="161"/>
      <c r="N48" s="161"/>
      <c r="O48" s="161"/>
      <c r="P48" s="162"/>
      <c r="Q48" s="162"/>
      <c r="R48" s="162"/>
      <c r="S48" s="162"/>
      <c r="T48" s="162"/>
      <c r="U48" s="162"/>
      <c r="V48" s="162"/>
      <c r="W48" s="162"/>
      <c r="X48" s="162"/>
      <c r="Y48" s="20"/>
      <c r="Z48" s="20"/>
      <c r="AE48" s="81"/>
    </row>
    <row r="49" spans="1:31">
      <c r="A49" s="3" t="s">
        <v>341</v>
      </c>
      <c r="G49" s="147"/>
      <c r="H49" s="147"/>
      <c r="M49" s="161"/>
      <c r="N49" s="161"/>
      <c r="O49" s="161"/>
      <c r="P49" s="71"/>
      <c r="Q49" s="163"/>
      <c r="R49" s="164"/>
      <c r="S49" s="165"/>
      <c r="T49" s="166"/>
      <c r="U49" s="162"/>
      <c r="V49" s="162"/>
      <c r="W49" s="162"/>
      <c r="X49" s="162"/>
      <c r="Y49" s="20"/>
      <c r="Z49" s="20"/>
      <c r="AE49" s="81"/>
    </row>
    <row r="50" spans="1:31">
      <c r="A50" s="3" t="s">
        <v>342</v>
      </c>
      <c r="C50" s="148">
        <f>8661+12+6864+36</f>
        <v>15573</v>
      </c>
      <c r="D50" s="148">
        <f>ROUND(C50*($D$59/$C$59),0)</f>
        <v>16032</v>
      </c>
      <c r="E50" s="149">
        <v>9.6</v>
      </c>
      <c r="G50" s="2">
        <f>ROUND(E50*$C50,0)</f>
        <v>149501</v>
      </c>
      <c r="H50" s="2">
        <f>ROUND(E50*$D50,0)</f>
        <v>153907</v>
      </c>
      <c r="I50" s="149">
        <f>$I$16</f>
        <v>9.6</v>
      </c>
      <c r="K50" s="2">
        <f>ROUND(I50*$D50,0)</f>
        <v>153907</v>
      </c>
      <c r="O50" s="170"/>
      <c r="P50" s="71"/>
      <c r="Q50" s="162"/>
      <c r="R50" s="167"/>
      <c r="S50" s="168"/>
      <c r="T50" s="162"/>
      <c r="U50" s="165"/>
      <c r="V50" s="165"/>
      <c r="W50" s="169"/>
      <c r="X50" s="165"/>
      <c r="Y50" s="20"/>
      <c r="Z50" s="20"/>
      <c r="AE50" s="81"/>
    </row>
    <row r="51" spans="1:31">
      <c r="A51" s="3" t="s">
        <v>343</v>
      </c>
      <c r="C51" s="148">
        <f>3458+252+477</f>
        <v>4187</v>
      </c>
      <c r="D51" s="148">
        <f>ROUND(C51*($D$59/$C$59),0)</f>
        <v>4311</v>
      </c>
      <c r="E51" s="149">
        <v>18.28</v>
      </c>
      <c r="G51" s="2">
        <f>ROUND(E51*$C51,0)</f>
        <v>76538</v>
      </c>
      <c r="H51" s="2">
        <f>ROUND(E51*$D51,0)</f>
        <v>78805</v>
      </c>
      <c r="I51" s="149">
        <f>$I$17</f>
        <v>18.28</v>
      </c>
      <c r="K51" s="2">
        <f>ROUND(I51*$D51,0)</f>
        <v>78805</v>
      </c>
      <c r="O51" s="170"/>
      <c r="P51" s="71"/>
      <c r="Q51" s="20"/>
      <c r="R51" s="171"/>
      <c r="S51" s="162"/>
      <c r="T51" s="162"/>
      <c r="U51" s="165"/>
      <c r="V51" s="165"/>
      <c r="W51" s="169"/>
      <c r="X51" s="165"/>
      <c r="Y51" s="20"/>
      <c r="Z51" s="20"/>
      <c r="AE51" s="81"/>
    </row>
    <row r="52" spans="1:31">
      <c r="A52" s="3" t="s">
        <v>344</v>
      </c>
      <c r="C52" s="148">
        <f>511+48+36+12</f>
        <v>607</v>
      </c>
      <c r="D52" s="148">
        <f>ROUND(C52*($D$59/$C$59),0)</f>
        <v>625</v>
      </c>
      <c r="E52" s="149">
        <v>37.82</v>
      </c>
      <c r="G52" s="2">
        <f>ROUND(E52*$C52,0)</f>
        <v>22957</v>
      </c>
      <c r="H52" s="2">
        <f>ROUND(E52*$D52,0)</f>
        <v>23638</v>
      </c>
      <c r="I52" s="149">
        <f>$I$18</f>
        <v>37.82</v>
      </c>
      <c r="K52" s="2">
        <f>ROUND(I52*$D52,0)</f>
        <v>23638</v>
      </c>
      <c r="O52" s="170"/>
      <c r="P52" s="71"/>
      <c r="Q52" s="20"/>
      <c r="R52" s="171"/>
      <c r="S52" s="162"/>
      <c r="T52" s="162"/>
      <c r="U52" s="165"/>
      <c r="V52" s="165"/>
      <c r="W52" s="169"/>
      <c r="X52" s="165"/>
      <c r="Y52" s="20"/>
      <c r="Z52" s="20"/>
      <c r="AE52" s="81"/>
    </row>
    <row r="53" spans="1:31">
      <c r="A53" s="3" t="s">
        <v>345</v>
      </c>
      <c r="C53" s="148"/>
      <c r="D53" s="148"/>
      <c r="E53" s="149"/>
      <c r="G53" s="2"/>
      <c r="H53" s="2"/>
      <c r="I53" s="149"/>
      <c r="K53" s="2"/>
      <c r="O53" s="170"/>
      <c r="P53" s="71"/>
      <c r="Q53" s="20"/>
      <c r="R53" s="171"/>
      <c r="S53" s="162"/>
      <c r="T53" s="162"/>
      <c r="U53" s="165"/>
      <c r="V53" s="165"/>
      <c r="W53" s="169"/>
      <c r="X53" s="165"/>
      <c r="Y53" s="20"/>
      <c r="Z53" s="20"/>
      <c r="AE53" s="81"/>
    </row>
    <row r="54" spans="1:31">
      <c r="A54" s="3" t="s">
        <v>346</v>
      </c>
      <c r="C54" s="148">
        <f>634+503</f>
        <v>1137</v>
      </c>
      <c r="D54" s="148">
        <f>ROUND(C54*($D$59/$C$59),0)</f>
        <v>1171</v>
      </c>
      <c r="E54" s="149">
        <v>10.92</v>
      </c>
      <c r="G54" s="2">
        <f>ROUND(E54*$C54,0)</f>
        <v>12416</v>
      </c>
      <c r="H54" s="2">
        <f>ROUND(E54*$D54,0)</f>
        <v>12787</v>
      </c>
      <c r="I54" s="149">
        <f>$I$20</f>
        <v>10.92</v>
      </c>
      <c r="K54" s="2">
        <f>ROUND(I54*$D54,0)</f>
        <v>12787</v>
      </c>
      <c r="O54" s="170"/>
      <c r="P54" s="71"/>
      <c r="Q54" s="20"/>
      <c r="R54" s="171"/>
      <c r="S54" s="162"/>
      <c r="T54" s="162"/>
      <c r="U54" s="165"/>
      <c r="V54" s="165"/>
      <c r="W54" s="169"/>
      <c r="X54" s="165"/>
      <c r="Y54" s="20"/>
      <c r="Z54" s="20"/>
      <c r="AE54" s="81"/>
    </row>
    <row r="55" spans="1:31">
      <c r="A55" s="3" t="s">
        <v>347</v>
      </c>
      <c r="C55" s="148">
        <f>1234+237</f>
        <v>1471</v>
      </c>
      <c r="D55" s="148">
        <f>ROUND(C55*($D$59/$C$59),0)</f>
        <v>1514</v>
      </c>
      <c r="E55" s="149">
        <v>16.04</v>
      </c>
      <c r="G55" s="2">
        <f>ROUND(E55*$C55,0)</f>
        <v>23595</v>
      </c>
      <c r="H55" s="2">
        <f>ROUND(E55*$D55,0)</f>
        <v>24285</v>
      </c>
      <c r="I55" s="149">
        <f>$I$21</f>
        <v>16.04</v>
      </c>
      <c r="K55" s="2">
        <f>ROUND(I55*$D55,0)</f>
        <v>24285</v>
      </c>
      <c r="O55" s="170"/>
      <c r="P55" s="71"/>
      <c r="Q55" s="20"/>
      <c r="R55" s="171"/>
      <c r="S55" s="162"/>
      <c r="T55" s="162"/>
      <c r="U55" s="165"/>
      <c r="V55" s="165"/>
      <c r="W55" s="169"/>
      <c r="X55" s="165"/>
      <c r="Y55" s="20"/>
      <c r="Z55" s="20"/>
      <c r="AE55" s="81"/>
    </row>
    <row r="56" spans="1:31">
      <c r="A56" s="3" t="s">
        <v>348</v>
      </c>
      <c r="C56" s="148">
        <f>385+48</f>
        <v>433</v>
      </c>
      <c r="D56" s="148">
        <f>ROUND(C56*($D$59/$C$59),0)</f>
        <v>446</v>
      </c>
      <c r="E56" s="149">
        <v>25.88</v>
      </c>
      <c r="G56" s="2">
        <f>ROUND(E56*$C56,0)</f>
        <v>11206</v>
      </c>
      <c r="H56" s="2">
        <f>ROUND(E56*$D56,0)</f>
        <v>11542</v>
      </c>
      <c r="I56" s="149">
        <f>$I$22</f>
        <v>25.88</v>
      </c>
      <c r="K56" s="2">
        <f>ROUND(I56*$D56,0)</f>
        <v>11542</v>
      </c>
      <c r="O56" s="170"/>
      <c r="P56" s="71"/>
      <c r="Q56" s="20"/>
      <c r="R56" s="171"/>
      <c r="S56" s="162"/>
      <c r="T56" s="162"/>
      <c r="U56" s="165"/>
      <c r="V56" s="165"/>
      <c r="W56" s="169"/>
      <c r="X56" s="165"/>
      <c r="Y56" s="20"/>
      <c r="Z56" s="20"/>
      <c r="AE56" s="81"/>
    </row>
    <row r="57" spans="1:31">
      <c r="A57" s="3" t="s">
        <v>349</v>
      </c>
      <c r="C57" s="148">
        <f>12+252+48+36+12</f>
        <v>360</v>
      </c>
      <c r="D57" s="148">
        <f>ROUND(C57*($D$59/$C$59),0)</f>
        <v>371</v>
      </c>
      <c r="E57" s="153">
        <v>1</v>
      </c>
      <c r="F57" s="20"/>
      <c r="G57" s="156">
        <f>ROUND(E57*$C57,0)</f>
        <v>360</v>
      </c>
      <c r="H57" s="156">
        <f>ROUND(E57*$D57,0)</f>
        <v>371</v>
      </c>
      <c r="I57" s="153">
        <f>$I$23</f>
        <v>1</v>
      </c>
      <c r="J57" s="20"/>
      <c r="K57" s="156">
        <f>ROUND(I57*$D57,0)</f>
        <v>371</v>
      </c>
      <c r="M57" s="161"/>
      <c r="N57" s="161"/>
      <c r="O57" s="165"/>
      <c r="P57" s="71"/>
      <c r="Q57" s="20"/>
      <c r="R57" s="162"/>
      <c r="S57" s="162"/>
      <c r="T57" s="162"/>
      <c r="U57" s="165"/>
      <c r="V57" s="165"/>
      <c r="W57" s="165"/>
      <c r="X57" s="165"/>
      <c r="Y57" s="20"/>
      <c r="Z57" s="20"/>
      <c r="AE57" s="81"/>
    </row>
    <row r="58" spans="1:31">
      <c r="A58" s="3" t="s">
        <v>350</v>
      </c>
      <c r="C58" s="148">
        <v>1470</v>
      </c>
      <c r="D58" s="148">
        <v>1459</v>
      </c>
      <c r="E58" s="149"/>
      <c r="G58" s="2"/>
      <c r="H58" s="2"/>
      <c r="I58" s="149"/>
      <c r="K58" s="2"/>
      <c r="M58" s="161"/>
      <c r="N58" s="161"/>
      <c r="O58" s="161"/>
      <c r="P58" s="162"/>
      <c r="Q58" s="162"/>
      <c r="R58" s="162"/>
      <c r="S58" s="162"/>
      <c r="T58" s="162"/>
      <c r="U58" s="172"/>
      <c r="V58" s="162"/>
      <c r="W58" s="162"/>
      <c r="X58" s="162"/>
      <c r="Y58" s="20"/>
      <c r="Z58" s="20"/>
      <c r="AE58" s="81"/>
    </row>
    <row r="59" spans="1:31">
      <c r="A59" s="3" t="s">
        <v>35</v>
      </c>
      <c r="C59" s="148">
        <v>2378799.5</v>
      </c>
      <c r="D59" s="148">
        <v>2448984.1343942713</v>
      </c>
      <c r="E59" s="153"/>
      <c r="F59" s="20"/>
      <c r="G59" s="156">
        <f>SUM(G50:G57)</f>
        <v>296573</v>
      </c>
      <c r="H59" s="156">
        <f>SUM(H50:H57)</f>
        <v>305335</v>
      </c>
      <c r="I59" s="153"/>
      <c r="J59" s="20"/>
      <c r="K59" s="156">
        <f>SUM(K50:K57)</f>
        <v>305335</v>
      </c>
      <c r="M59" s="161"/>
      <c r="N59" s="161"/>
      <c r="O59" s="174"/>
      <c r="P59" s="162"/>
      <c r="Q59" s="20"/>
      <c r="R59" s="20"/>
      <c r="S59" s="20"/>
      <c r="T59" s="162"/>
      <c r="U59" s="162"/>
      <c r="V59" s="162"/>
      <c r="W59" s="162"/>
      <c r="X59" s="162"/>
      <c r="Y59" s="20"/>
      <c r="Z59" s="20"/>
      <c r="AE59" s="81"/>
    </row>
    <row r="60" spans="1:31">
      <c r="A60" s="3" t="s">
        <v>351</v>
      </c>
      <c r="C60" s="148">
        <v>10407.99096753577</v>
      </c>
      <c r="D60" s="148">
        <v>0</v>
      </c>
      <c r="E60" s="153"/>
      <c r="F60" s="20"/>
      <c r="G60" s="156">
        <v>1073.2189733021287</v>
      </c>
      <c r="H60" s="156">
        <v>0</v>
      </c>
      <c r="I60" s="153"/>
      <c r="J60" s="20"/>
      <c r="K60" s="156">
        <v>0</v>
      </c>
      <c r="M60" s="173"/>
      <c r="N60" s="173"/>
      <c r="O60" s="174"/>
      <c r="P60" s="162"/>
      <c r="Q60" s="162"/>
      <c r="R60" s="167"/>
      <c r="S60" s="165"/>
      <c r="T60" s="162"/>
      <c r="U60" s="162"/>
      <c r="V60" s="162"/>
      <c r="W60" s="162"/>
      <c r="X60" s="162"/>
      <c r="Y60" s="20"/>
      <c r="Z60" s="20"/>
      <c r="AE60" s="81"/>
    </row>
    <row r="61" spans="1:31" ht="16.5" thickBot="1">
      <c r="A61" s="3" t="s">
        <v>9</v>
      </c>
      <c r="C61" s="157">
        <f>C59+C60</f>
        <v>2389207.4909675359</v>
      </c>
      <c r="D61" s="157">
        <f>SUM(D59:D60)</f>
        <v>2448984.1343942713</v>
      </c>
      <c r="E61" s="158"/>
      <c r="F61" s="158"/>
      <c r="G61" s="158">
        <f>G59+G60</f>
        <v>297646.21897330211</v>
      </c>
      <c r="H61" s="158">
        <f>H59+H60</f>
        <v>305335</v>
      </c>
      <c r="I61" s="158"/>
      <c r="J61" s="158"/>
      <c r="K61" s="158">
        <f>K59+K60</f>
        <v>305335</v>
      </c>
      <c r="M61" s="175"/>
      <c r="N61" s="175"/>
      <c r="O61" s="176"/>
      <c r="P61" s="162"/>
      <c r="Q61" s="162"/>
      <c r="R61" s="162"/>
      <c r="S61" s="162"/>
      <c r="T61" s="162"/>
      <c r="U61" s="162"/>
      <c r="V61" s="162"/>
      <c r="W61" s="162"/>
      <c r="X61" s="162"/>
      <c r="Y61" s="20"/>
      <c r="Z61" s="20"/>
      <c r="AE61" s="81"/>
    </row>
    <row r="62" spans="1:31" ht="16.5" thickTop="1">
      <c r="C62" s="159"/>
      <c r="D62" s="159"/>
      <c r="E62" s="159"/>
      <c r="F62" s="159"/>
      <c r="G62" s="147"/>
      <c r="H62" s="147"/>
      <c r="I62" s="1" t="s">
        <v>31</v>
      </c>
      <c r="J62" s="159"/>
      <c r="K62" s="2" t="s">
        <v>31</v>
      </c>
      <c r="AE62" s="81"/>
    </row>
    <row r="63" spans="1:31">
      <c r="A63" s="146" t="s">
        <v>339</v>
      </c>
      <c r="G63" s="147"/>
      <c r="H63" s="147"/>
      <c r="AE63" s="81"/>
    </row>
    <row r="64" spans="1:31">
      <c r="A64" s="3" t="s">
        <v>355</v>
      </c>
      <c r="G64" s="147"/>
      <c r="H64" s="147"/>
      <c r="M64" s="161"/>
      <c r="N64" s="161"/>
      <c r="O64" s="161"/>
      <c r="P64" s="161"/>
      <c r="Q64" s="161"/>
      <c r="R64" s="161"/>
      <c r="S64" s="161"/>
      <c r="T64" s="161"/>
      <c r="U64" s="161"/>
      <c r="V64" s="161"/>
      <c r="W64" s="161"/>
      <c r="X64" s="161"/>
      <c r="AE64" s="81"/>
    </row>
    <row r="65" spans="1:31">
      <c r="G65" s="147"/>
      <c r="H65" s="147"/>
      <c r="M65" s="162"/>
      <c r="N65" s="162"/>
      <c r="O65" s="162"/>
      <c r="P65" s="162"/>
      <c r="Q65" s="162"/>
      <c r="R65" s="162"/>
      <c r="S65" s="162"/>
      <c r="T65" s="162"/>
      <c r="U65" s="162"/>
      <c r="V65" s="162"/>
      <c r="W65" s="162"/>
      <c r="X65" s="162"/>
      <c r="Y65" s="20"/>
      <c r="AE65" s="81"/>
    </row>
    <row r="66" spans="1:31">
      <c r="A66" s="3" t="s">
        <v>341</v>
      </c>
      <c r="G66" s="147"/>
      <c r="H66" s="147"/>
      <c r="M66" s="162"/>
      <c r="N66" s="162"/>
      <c r="O66" s="162"/>
      <c r="P66" s="71"/>
      <c r="Q66" s="163"/>
      <c r="R66" s="164"/>
      <c r="S66" s="165"/>
      <c r="T66" s="166"/>
      <c r="U66" s="162"/>
      <c r="V66" s="162"/>
      <c r="W66" s="162"/>
      <c r="X66" s="162"/>
      <c r="Y66" s="20"/>
      <c r="AE66" s="81"/>
    </row>
    <row r="67" spans="1:31">
      <c r="A67" s="3" t="s">
        <v>342</v>
      </c>
      <c r="C67" s="148">
        <f>336+192+132</f>
        <v>660</v>
      </c>
      <c r="D67" s="148">
        <f>ROUND(C67*($D$76/$C$76),0)</f>
        <v>685</v>
      </c>
      <c r="E67" s="149">
        <v>9.6</v>
      </c>
      <c r="G67" s="2">
        <f>ROUND(E67*$C67,0)</f>
        <v>6336</v>
      </c>
      <c r="H67" s="2">
        <f>ROUND(E67*$D67,0)</f>
        <v>6576</v>
      </c>
      <c r="I67" s="149">
        <f>$I$16</f>
        <v>9.6</v>
      </c>
      <c r="K67" s="2">
        <f>ROUND(I67*$D67,0)</f>
        <v>6576</v>
      </c>
      <c r="M67" s="20"/>
      <c r="N67" s="20"/>
      <c r="O67" s="165"/>
      <c r="P67" s="71"/>
      <c r="Q67" s="162"/>
      <c r="R67" s="167"/>
      <c r="S67" s="168"/>
      <c r="T67" s="162"/>
      <c r="U67" s="165"/>
      <c r="V67" s="165"/>
      <c r="W67" s="169"/>
      <c r="X67" s="165"/>
      <c r="Y67" s="20"/>
      <c r="AE67" s="81"/>
    </row>
    <row r="68" spans="1:31">
      <c r="A68" s="3" t="s">
        <v>343</v>
      </c>
      <c r="C68" s="148">
        <f>407+36</f>
        <v>443</v>
      </c>
      <c r="D68" s="148">
        <f>ROUND(C68*($D$76/$C$76),0)</f>
        <v>460</v>
      </c>
      <c r="E68" s="149">
        <v>18.28</v>
      </c>
      <c r="G68" s="2">
        <f>ROUND(E68*$C68,0)</f>
        <v>8098</v>
      </c>
      <c r="H68" s="2">
        <f>ROUND(E68*$D68,0)</f>
        <v>8409</v>
      </c>
      <c r="I68" s="149">
        <f>$I$17</f>
        <v>18.28</v>
      </c>
      <c r="K68" s="2">
        <f>ROUND(I68*$D68,0)</f>
        <v>8409</v>
      </c>
      <c r="M68" s="20"/>
      <c r="N68" s="20"/>
      <c r="O68" s="165"/>
      <c r="P68" s="71"/>
      <c r="Q68" s="20"/>
      <c r="R68" s="171"/>
      <c r="S68" s="162"/>
      <c r="T68" s="162"/>
      <c r="U68" s="165"/>
      <c r="V68" s="165"/>
      <c r="W68" s="169"/>
      <c r="X68" s="165"/>
      <c r="Y68" s="20"/>
      <c r="AE68" s="81"/>
    </row>
    <row r="69" spans="1:31">
      <c r="A69" s="3" t="s">
        <v>344</v>
      </c>
      <c r="C69" s="148">
        <f>48</f>
        <v>48</v>
      </c>
      <c r="D69" s="148">
        <f>ROUND(C69*($D$76/$C$76),0)</f>
        <v>50</v>
      </c>
      <c r="E69" s="149">
        <v>37.82</v>
      </c>
      <c r="G69" s="2">
        <f>ROUND(E69*$C69,0)</f>
        <v>1815</v>
      </c>
      <c r="H69" s="2">
        <f>ROUND(E69*$D69,0)</f>
        <v>1891</v>
      </c>
      <c r="I69" s="149">
        <f>$I$18</f>
        <v>37.82</v>
      </c>
      <c r="K69" s="2">
        <f>ROUND(I69*$D69,0)</f>
        <v>1891</v>
      </c>
      <c r="M69" s="20"/>
      <c r="N69" s="20"/>
      <c r="O69" s="165"/>
      <c r="P69" s="71"/>
      <c r="Q69" s="20"/>
      <c r="R69" s="171"/>
      <c r="S69" s="162"/>
      <c r="T69" s="162"/>
      <c r="U69" s="165"/>
      <c r="V69" s="165"/>
      <c r="W69" s="169"/>
      <c r="X69" s="165"/>
      <c r="Y69" s="20"/>
      <c r="AE69" s="81"/>
    </row>
    <row r="70" spans="1:31">
      <c r="A70" s="3" t="s">
        <v>345</v>
      </c>
      <c r="C70" s="148"/>
      <c r="D70" s="148"/>
      <c r="E70" s="149"/>
      <c r="G70" s="2"/>
      <c r="H70" s="2"/>
      <c r="I70" s="149"/>
      <c r="K70" s="2"/>
      <c r="M70" s="20"/>
      <c r="N70" s="20"/>
      <c r="O70" s="165"/>
      <c r="P70" s="71"/>
      <c r="Q70" s="20"/>
      <c r="R70" s="171"/>
      <c r="S70" s="162"/>
      <c r="T70" s="162"/>
      <c r="U70" s="165"/>
      <c r="V70" s="165"/>
      <c r="W70" s="169"/>
      <c r="X70" s="165"/>
      <c r="Y70" s="20"/>
      <c r="AE70" s="81"/>
    </row>
    <row r="71" spans="1:31">
      <c r="A71" s="3" t="s">
        <v>346</v>
      </c>
      <c r="C71" s="148">
        <f>12</f>
        <v>12</v>
      </c>
      <c r="D71" s="148">
        <f>ROUND(C71*($D$76/$C$76),0)</f>
        <v>12</v>
      </c>
      <c r="E71" s="149">
        <v>10.92</v>
      </c>
      <c r="G71" s="2">
        <f>ROUND(E71*$C71,0)</f>
        <v>131</v>
      </c>
      <c r="H71" s="2">
        <f>ROUND(E71*$D71,0)</f>
        <v>131</v>
      </c>
      <c r="I71" s="149">
        <f>$I$20</f>
        <v>10.92</v>
      </c>
      <c r="K71" s="2">
        <f>ROUND(I71*$D71,0)</f>
        <v>131</v>
      </c>
      <c r="M71" s="20"/>
      <c r="N71" s="20"/>
      <c r="O71" s="165"/>
      <c r="P71" s="71"/>
      <c r="Q71" s="20"/>
      <c r="R71" s="171"/>
      <c r="S71" s="162"/>
      <c r="T71" s="162"/>
      <c r="U71" s="165"/>
      <c r="V71" s="165"/>
      <c r="W71" s="169"/>
      <c r="X71" s="165"/>
      <c r="Y71" s="20"/>
      <c r="AE71" s="81"/>
    </row>
    <row r="72" spans="1:31">
      <c r="A72" s="3" t="s">
        <v>347</v>
      </c>
      <c r="C72" s="148">
        <f>96+12</f>
        <v>108</v>
      </c>
      <c r="D72" s="148">
        <f>ROUND(C72*($D$76/$C$76),0)</f>
        <v>112</v>
      </c>
      <c r="E72" s="149">
        <v>16.04</v>
      </c>
      <c r="G72" s="2">
        <f>ROUND(E72*$C72,0)</f>
        <v>1732</v>
      </c>
      <c r="H72" s="2">
        <f>ROUND(E72*$D72,0)</f>
        <v>1796</v>
      </c>
      <c r="I72" s="149">
        <f>$I$21</f>
        <v>16.04</v>
      </c>
      <c r="K72" s="2">
        <f>ROUND(I72*$D72,0)</f>
        <v>1796</v>
      </c>
      <c r="M72" s="20"/>
      <c r="N72" s="20"/>
      <c r="O72" s="165"/>
      <c r="P72" s="71"/>
      <c r="Q72" s="20"/>
      <c r="R72" s="171"/>
      <c r="S72" s="162"/>
      <c r="T72" s="162"/>
      <c r="U72" s="165"/>
      <c r="V72" s="165"/>
      <c r="W72" s="169"/>
      <c r="X72" s="165"/>
      <c r="Y72" s="20"/>
      <c r="AE72" s="81"/>
    </row>
    <row r="73" spans="1:31">
      <c r="A73" s="3" t="s">
        <v>348</v>
      </c>
      <c r="C73" s="148">
        <f>36</f>
        <v>36</v>
      </c>
      <c r="D73" s="148">
        <f>ROUND(C73*($D$76/$C$76),0)</f>
        <v>37</v>
      </c>
      <c r="E73" s="149">
        <v>25.88</v>
      </c>
      <c r="G73" s="2">
        <f>ROUND(E73*$C73,0)</f>
        <v>932</v>
      </c>
      <c r="H73" s="2">
        <f>ROUND(E73*$D73,0)</f>
        <v>958</v>
      </c>
      <c r="I73" s="149">
        <f>$I$22</f>
        <v>25.88</v>
      </c>
      <c r="K73" s="2">
        <f>ROUND(I73*$D73,0)</f>
        <v>958</v>
      </c>
      <c r="M73" s="20"/>
      <c r="N73" s="20"/>
      <c r="O73" s="165"/>
      <c r="P73" s="71"/>
      <c r="Q73" s="20"/>
      <c r="R73" s="171"/>
      <c r="S73" s="162"/>
      <c r="T73" s="162"/>
      <c r="U73" s="165"/>
      <c r="V73" s="165"/>
      <c r="W73" s="169"/>
      <c r="X73" s="165"/>
      <c r="Y73" s="20"/>
      <c r="AE73" s="81"/>
    </row>
    <row r="74" spans="1:31">
      <c r="A74" s="3" t="s">
        <v>349</v>
      </c>
      <c r="C74" s="148">
        <f>133</f>
        <v>133</v>
      </c>
      <c r="D74" s="148">
        <f>ROUND(C74*($D$76/$C$76),0)</f>
        <v>138</v>
      </c>
      <c r="E74" s="153">
        <v>1</v>
      </c>
      <c r="F74" s="20"/>
      <c r="G74" s="156">
        <f>ROUND(E74*$C74,0)</f>
        <v>133</v>
      </c>
      <c r="H74" s="156">
        <f>ROUND(E74*$D74,0)</f>
        <v>138</v>
      </c>
      <c r="I74" s="153">
        <f>$I$23</f>
        <v>1</v>
      </c>
      <c r="J74" s="20"/>
      <c r="K74" s="156">
        <f>ROUND(I74*$D74,0)</f>
        <v>138</v>
      </c>
      <c r="M74" s="162"/>
      <c r="N74" s="162"/>
      <c r="O74" s="165"/>
      <c r="P74" s="71"/>
      <c r="Q74" s="20"/>
      <c r="R74" s="162"/>
      <c r="S74" s="162"/>
      <c r="T74" s="162"/>
      <c r="U74" s="165"/>
      <c r="V74" s="165"/>
      <c r="W74" s="165"/>
      <c r="X74" s="165"/>
      <c r="Y74" s="20"/>
      <c r="AE74" s="81"/>
    </row>
    <row r="75" spans="1:31">
      <c r="A75" s="3" t="s">
        <v>350</v>
      </c>
      <c r="C75" s="148">
        <f>20+45</f>
        <v>65</v>
      </c>
      <c r="D75" s="148">
        <v>61.916666666666664</v>
      </c>
      <c r="E75" s="149"/>
      <c r="G75" s="2"/>
      <c r="H75" s="2"/>
      <c r="I75" s="149"/>
      <c r="K75" s="2"/>
      <c r="M75" s="162"/>
      <c r="N75" s="162"/>
      <c r="O75" s="162"/>
      <c r="P75" s="162"/>
      <c r="Q75" s="162"/>
      <c r="R75" s="162"/>
      <c r="S75" s="162"/>
      <c r="T75" s="162"/>
      <c r="U75" s="172"/>
      <c r="V75" s="162"/>
      <c r="W75" s="162"/>
      <c r="X75" s="162"/>
      <c r="Y75" s="20"/>
      <c r="AE75" s="81"/>
    </row>
    <row r="76" spans="1:31">
      <c r="A76" s="3" t="s">
        <v>35</v>
      </c>
      <c r="C76" s="148">
        <v>161590</v>
      </c>
      <c r="D76" s="148">
        <v>167748.79783190461</v>
      </c>
      <c r="E76" s="153"/>
      <c r="F76" s="20"/>
      <c r="G76" s="156">
        <f>SUM(G67:G74)</f>
        <v>19177</v>
      </c>
      <c r="H76" s="156">
        <f>SUM(H67:H74)</f>
        <v>19899</v>
      </c>
      <c r="I76" s="153"/>
      <c r="J76" s="20"/>
      <c r="K76" s="156">
        <f>SUM(K67:K74)</f>
        <v>19899</v>
      </c>
      <c r="M76" s="162"/>
      <c r="N76" s="162"/>
      <c r="O76" s="171"/>
      <c r="P76" s="162"/>
      <c r="Q76" s="20"/>
      <c r="R76" s="20"/>
      <c r="S76" s="20"/>
      <c r="T76" s="162"/>
      <c r="U76" s="162"/>
      <c r="V76" s="162"/>
      <c r="W76" s="162"/>
      <c r="X76" s="162"/>
      <c r="Y76" s="20"/>
      <c r="AE76" s="81"/>
    </row>
    <row r="77" spans="1:31">
      <c r="A77" s="3" t="s">
        <v>351</v>
      </c>
      <c r="C77" s="148">
        <v>-3651.1873052418596</v>
      </c>
      <c r="D77" s="148">
        <v>0</v>
      </c>
      <c r="E77" s="153"/>
      <c r="F77" s="20"/>
      <c r="G77" s="156">
        <v>-357.5269401612241</v>
      </c>
      <c r="H77" s="156">
        <v>0</v>
      </c>
      <c r="I77" s="153"/>
      <c r="J77" s="20"/>
      <c r="K77" s="156">
        <v>0</v>
      </c>
      <c r="M77" s="173"/>
      <c r="N77" s="173"/>
      <c r="O77" s="174"/>
      <c r="P77" s="162"/>
      <c r="Q77" s="162"/>
      <c r="R77" s="167"/>
      <c r="S77" s="165"/>
      <c r="T77" s="162"/>
      <c r="U77" s="161"/>
      <c r="V77" s="161"/>
      <c r="W77" s="161"/>
      <c r="X77" s="161"/>
      <c r="AE77" s="81"/>
    </row>
    <row r="78" spans="1:31" ht="16.5" thickBot="1">
      <c r="A78" s="3" t="s">
        <v>9</v>
      </c>
      <c r="C78" s="157">
        <f>C76+C77</f>
        <v>157938.81269475815</v>
      </c>
      <c r="D78" s="157">
        <f>SUM(D76:D77)</f>
        <v>167748.79783190461</v>
      </c>
      <c r="E78" s="158"/>
      <c r="F78" s="158"/>
      <c r="G78" s="158">
        <f>G76+G77</f>
        <v>18819.473059838776</v>
      </c>
      <c r="H78" s="158">
        <f>H76+H77</f>
        <v>19899</v>
      </c>
      <c r="I78" s="158"/>
      <c r="J78" s="158"/>
      <c r="K78" s="158">
        <f>K76+K77</f>
        <v>19899</v>
      </c>
      <c r="M78" s="175"/>
      <c r="N78" s="175"/>
      <c r="O78" s="176"/>
      <c r="P78" s="162"/>
      <c r="Q78" s="162"/>
      <c r="R78" s="162"/>
      <c r="S78" s="162"/>
      <c r="T78" s="162"/>
      <c r="U78" s="161"/>
      <c r="V78" s="161"/>
      <c r="W78" s="161"/>
      <c r="X78" s="161"/>
      <c r="AE78" s="81"/>
    </row>
    <row r="79" spans="1:31" ht="16.5" thickTop="1">
      <c r="C79" s="159"/>
      <c r="D79" s="159"/>
      <c r="E79" s="159"/>
      <c r="F79" s="159"/>
      <c r="G79" s="147"/>
      <c r="H79" s="147"/>
      <c r="I79" s="1" t="s">
        <v>31</v>
      </c>
      <c r="J79" s="159"/>
      <c r="K79" s="2" t="s">
        <v>31</v>
      </c>
      <c r="P79" s="71"/>
      <c r="Q79" s="20"/>
      <c r="R79" s="20"/>
      <c r="S79" s="20"/>
      <c r="T79" s="20"/>
      <c r="AE79" s="81"/>
    </row>
    <row r="80" spans="1:31">
      <c r="A80" s="177" t="s">
        <v>356</v>
      </c>
      <c r="B80" s="1"/>
      <c r="C80" s="1"/>
      <c r="D80" s="1"/>
      <c r="E80" s="21"/>
      <c r="F80" s="21"/>
      <c r="G80" s="1"/>
      <c r="H80" s="1"/>
      <c r="I80" s="21"/>
      <c r="J80" s="1"/>
      <c r="K80" s="1"/>
      <c r="M80" s="3">
        <f>K91/(D84+D85)</f>
        <v>7.0647540513858201E-2</v>
      </c>
      <c r="N80" s="178"/>
      <c r="R80" s="3" t="s">
        <v>31</v>
      </c>
      <c r="AE80" s="81"/>
    </row>
    <row r="81" spans="1:31">
      <c r="A81" s="1" t="s">
        <v>357</v>
      </c>
      <c r="B81" s="1"/>
      <c r="C81" s="1"/>
      <c r="D81" s="1"/>
      <c r="E81" s="21"/>
      <c r="F81" s="21"/>
      <c r="G81" s="1"/>
      <c r="H81" s="1"/>
      <c r="I81" s="21"/>
      <c r="J81" s="1"/>
      <c r="K81" s="1"/>
      <c r="M81" s="179"/>
      <c r="N81" s="180">
        <f>SUM(D84:D85)/SUM(D83)</f>
        <v>1285.9851569999828</v>
      </c>
      <c r="AE81" s="81"/>
    </row>
    <row r="82" spans="1:31">
      <c r="A82" s="181"/>
      <c r="B82" s="1"/>
      <c r="C82" s="1"/>
      <c r="D82" s="1"/>
      <c r="E82" s="21"/>
      <c r="F82" s="21"/>
      <c r="G82" s="1"/>
      <c r="H82" s="1"/>
      <c r="I82" s="21"/>
      <c r="J82" s="1"/>
      <c r="K82" s="1"/>
      <c r="O82" s="66" t="s">
        <v>31</v>
      </c>
      <c r="P82" s="66" t="s">
        <v>31</v>
      </c>
      <c r="AE82" s="81"/>
    </row>
    <row r="83" spans="1:31">
      <c r="A83" s="1" t="s">
        <v>358</v>
      </c>
      <c r="B83" s="1"/>
      <c r="C83" s="21">
        <f t="shared" ref="C83:D90" si="4">C96+C109+C122+C135</f>
        <v>1216043</v>
      </c>
      <c r="D83" s="21">
        <f t="shared" si="4"/>
        <v>1229864</v>
      </c>
      <c r="E83" s="182">
        <v>5.25</v>
      </c>
      <c r="F83" s="1"/>
      <c r="G83" s="2">
        <f t="shared" ref="G83:H90" si="5">G96+G109+G122+G135</f>
        <v>6384226</v>
      </c>
      <c r="H83" s="2">
        <f t="shared" si="5"/>
        <v>6456787</v>
      </c>
      <c r="I83" s="182">
        <v>6</v>
      </c>
      <c r="J83" s="1"/>
      <c r="K83" s="2">
        <f t="shared" ref="K83:K90" si="6">K96+K109+K122+K135</f>
        <v>7379184</v>
      </c>
      <c r="M83" s="81">
        <f>I83*D83</f>
        <v>7379184</v>
      </c>
      <c r="O83" s="14">
        <f t="shared" ref="O83:O88" si="7">(I83-E83)/E83</f>
        <v>0.14285714285714285</v>
      </c>
      <c r="T83" s="3" t="s">
        <v>359</v>
      </c>
      <c r="U83" s="3" t="s">
        <v>295</v>
      </c>
      <c r="V83" s="3" t="s">
        <v>360</v>
      </c>
      <c r="W83" s="3" t="s">
        <v>304</v>
      </c>
      <c r="AE83" s="81"/>
    </row>
    <row r="84" spans="1:31">
      <c r="A84" s="1" t="s">
        <v>361</v>
      </c>
      <c r="B84" s="1"/>
      <c r="C84" s="21">
        <f t="shared" si="4"/>
        <v>638137013.30924332</v>
      </c>
      <c r="D84" s="21">
        <f t="shared" si="4"/>
        <v>643146746.60466242</v>
      </c>
      <c r="E84" s="183">
        <v>4.569</v>
      </c>
      <c r="F84" s="1" t="s">
        <v>362</v>
      </c>
      <c r="G84" s="2">
        <f t="shared" si="5"/>
        <v>29156479</v>
      </c>
      <c r="H84" s="2">
        <f t="shared" si="5"/>
        <v>29385375</v>
      </c>
      <c r="I84" s="183">
        <v>4.9139999999999997</v>
      </c>
      <c r="J84" s="1" t="s">
        <v>362</v>
      </c>
      <c r="K84" s="2">
        <f t="shared" si="6"/>
        <v>31604232</v>
      </c>
      <c r="M84" s="81">
        <f>(I84/100)*D84</f>
        <v>31604231.128153108</v>
      </c>
      <c r="O84" s="14">
        <f t="shared" si="7"/>
        <v>7.55088640840446E-2</v>
      </c>
      <c r="Q84" s="128">
        <f>(E85-E84)/E84</f>
        <v>0.57758809367476482</v>
      </c>
      <c r="S84" s="3" t="s">
        <v>20</v>
      </c>
      <c r="T84" s="81">
        <f>H83</f>
        <v>6456787</v>
      </c>
      <c r="U84" s="81">
        <f>K83</f>
        <v>7379184</v>
      </c>
      <c r="V84" s="103">
        <v>10560201.731189568</v>
      </c>
      <c r="W84" s="128">
        <f>U84/V84</f>
        <v>0.69877301474322895</v>
      </c>
      <c r="AE84" s="81"/>
    </row>
    <row r="85" spans="1:31">
      <c r="A85" s="1" t="s">
        <v>363</v>
      </c>
      <c r="B85" s="1"/>
      <c r="C85" s="21">
        <f t="shared" si="4"/>
        <v>930810309.69075668</v>
      </c>
      <c r="D85" s="21">
        <f t="shared" si="4"/>
        <v>938440102.52396452</v>
      </c>
      <c r="E85" s="183">
        <v>7.2080000000000002</v>
      </c>
      <c r="F85" s="1" t="s">
        <v>362</v>
      </c>
      <c r="G85" s="2">
        <f t="shared" si="5"/>
        <v>67092808</v>
      </c>
      <c r="H85" s="2">
        <f t="shared" si="5"/>
        <v>67642762</v>
      </c>
      <c r="I85" s="183">
        <v>7.7510000000000003</v>
      </c>
      <c r="J85" s="1" t="s">
        <v>362</v>
      </c>
      <c r="K85" s="2">
        <f t="shared" si="6"/>
        <v>72738492</v>
      </c>
      <c r="M85" s="81">
        <f>(I85/100)*D85</f>
        <v>72738492.346632496</v>
      </c>
      <c r="N85" s="184"/>
      <c r="O85" s="14">
        <f t="shared" si="7"/>
        <v>7.533296337402888E-2</v>
      </c>
      <c r="Q85" s="128">
        <f>(I85-I84)/I84</f>
        <v>0.57733007733007746</v>
      </c>
      <c r="S85" s="3" t="s">
        <v>364</v>
      </c>
      <c r="T85" s="103">
        <f>E84*(D84+D85)/100</f>
        <v>72262703.136686951</v>
      </c>
      <c r="U85" s="103">
        <f>I84*(D84+D85)/100</f>
        <v>77719177.766180709</v>
      </c>
      <c r="V85" s="103">
        <v>74901422.706720337</v>
      </c>
      <c r="W85" s="128">
        <f>U85/V85</f>
        <v>1.0376195131899351</v>
      </c>
      <c r="AE85" s="81"/>
    </row>
    <row r="86" spans="1:31">
      <c r="A86" s="1" t="s">
        <v>365</v>
      </c>
      <c r="B86" s="1"/>
      <c r="C86" s="21">
        <f t="shared" si="4"/>
        <v>6129</v>
      </c>
      <c r="D86" s="21">
        <f t="shared" si="4"/>
        <v>6540.0468369807459</v>
      </c>
      <c r="E86" s="185">
        <v>1.55</v>
      </c>
      <c r="F86" s="1"/>
      <c r="G86" s="2">
        <f t="shared" si="5"/>
        <v>9500</v>
      </c>
      <c r="H86" s="2">
        <f t="shared" si="5"/>
        <v>10137</v>
      </c>
      <c r="I86" s="185">
        <v>1.55</v>
      </c>
      <c r="J86" s="1"/>
      <c r="K86" s="2">
        <f t="shared" si="6"/>
        <v>10137</v>
      </c>
      <c r="M86" s="81">
        <f>I86*D86</f>
        <v>10137.072597320157</v>
      </c>
      <c r="N86" s="186"/>
      <c r="O86" s="14">
        <f t="shared" si="7"/>
        <v>0</v>
      </c>
      <c r="S86" s="3" t="s">
        <v>366</v>
      </c>
      <c r="T86" s="81">
        <f>H84+H85-T85</f>
        <v>24765433.863313049</v>
      </c>
      <c r="U86" s="81">
        <f>K84+K85-U85</f>
        <v>26623546.233819291</v>
      </c>
      <c r="V86" s="103">
        <v>33130328.65840701</v>
      </c>
      <c r="W86" s="128">
        <f>U86/V86</f>
        <v>0.80360042631401463</v>
      </c>
      <c r="AE86" s="81"/>
    </row>
    <row r="87" spans="1:31">
      <c r="A87" s="187" t="s">
        <v>367</v>
      </c>
      <c r="B87" s="187"/>
      <c r="C87" s="21">
        <f t="shared" si="4"/>
        <v>1017</v>
      </c>
      <c r="D87" s="21">
        <f t="shared" si="4"/>
        <v>1085.8002596400945</v>
      </c>
      <c r="E87" s="185">
        <v>3</v>
      </c>
      <c r="F87" s="187"/>
      <c r="G87" s="2">
        <f t="shared" si="5"/>
        <v>3051</v>
      </c>
      <c r="H87" s="2">
        <f t="shared" si="5"/>
        <v>3258</v>
      </c>
      <c r="I87" s="185">
        <v>3</v>
      </c>
      <c r="J87" s="187"/>
      <c r="K87" s="2">
        <f t="shared" si="6"/>
        <v>3258</v>
      </c>
      <c r="M87" s="81">
        <f>I87*D87</f>
        <v>3257.4007789202833</v>
      </c>
      <c r="O87" s="14">
        <f t="shared" si="7"/>
        <v>0</v>
      </c>
      <c r="AE87" s="81"/>
    </row>
    <row r="88" spans="1:31">
      <c r="A88" s="187" t="s">
        <v>368</v>
      </c>
      <c r="B88" s="187"/>
      <c r="C88" s="21">
        <f t="shared" si="4"/>
        <v>50</v>
      </c>
      <c r="D88" s="21">
        <f t="shared" si="4"/>
        <v>53.081237721216993</v>
      </c>
      <c r="E88" s="188">
        <f>-E86</f>
        <v>-1.55</v>
      </c>
      <c r="F88" s="187"/>
      <c r="G88" s="2">
        <f t="shared" si="5"/>
        <v>-77</v>
      </c>
      <c r="H88" s="2">
        <f t="shared" si="5"/>
        <v>-82</v>
      </c>
      <c r="I88" s="188">
        <f>-I86</f>
        <v>-1.55</v>
      </c>
      <c r="J88" s="187"/>
      <c r="K88" s="2">
        <f t="shared" si="6"/>
        <v>-82</v>
      </c>
      <c r="M88" s="81">
        <f>I88*D88</f>
        <v>-82.275918467886342</v>
      </c>
      <c r="O88" s="14">
        <f t="shared" si="7"/>
        <v>0</v>
      </c>
      <c r="AE88" s="81"/>
    </row>
    <row r="89" spans="1:31">
      <c r="A89" s="1" t="s">
        <v>369</v>
      </c>
      <c r="B89" s="189"/>
      <c r="C89" s="21">
        <f t="shared" si="4"/>
        <v>1568947323</v>
      </c>
      <c r="D89" s="21">
        <f t="shared" si="4"/>
        <v>1581586849.1286268</v>
      </c>
      <c r="E89" s="190"/>
      <c r="F89" s="2"/>
      <c r="G89" s="2">
        <f t="shared" si="5"/>
        <v>102645987</v>
      </c>
      <c r="H89" s="2">
        <f t="shared" si="5"/>
        <v>103498237</v>
      </c>
      <c r="I89" s="2"/>
      <c r="J89" s="2"/>
      <c r="K89" s="2">
        <f t="shared" si="6"/>
        <v>111735221</v>
      </c>
      <c r="M89" s="81">
        <f>SUM(M83:M88)</f>
        <v>111735219.67224337</v>
      </c>
      <c r="O89" s="14"/>
      <c r="AE89" s="81"/>
    </row>
    <row r="90" spans="1:31">
      <c r="A90" s="1" t="s">
        <v>351</v>
      </c>
      <c r="B90" s="191"/>
      <c r="C90" s="192">
        <f t="shared" si="4"/>
        <v>991281.43921662425</v>
      </c>
      <c r="D90" s="192">
        <f t="shared" si="4"/>
        <v>0</v>
      </c>
      <c r="E90" s="193"/>
      <c r="F90" s="193"/>
      <c r="G90" s="194">
        <f t="shared" si="5"/>
        <v>26957.425302805033</v>
      </c>
      <c r="H90" s="194">
        <f t="shared" si="5"/>
        <v>0</v>
      </c>
      <c r="I90" s="193"/>
      <c r="J90" s="193"/>
      <c r="K90" s="194">
        <f t="shared" si="6"/>
        <v>0</v>
      </c>
      <c r="AE90" s="81"/>
    </row>
    <row r="91" spans="1:31" ht="16.5" thickBot="1">
      <c r="A91" s="1" t="s">
        <v>370</v>
      </c>
      <c r="B91" s="1"/>
      <c r="C91" s="195">
        <f>C89+C90</f>
        <v>1569938604.4392166</v>
      </c>
      <c r="D91" s="195">
        <f>D84+D85+D90</f>
        <v>1581586849.1286268</v>
      </c>
      <c r="E91" s="196"/>
      <c r="F91" s="196"/>
      <c r="G91" s="196">
        <f>G89+G90</f>
        <v>102672944.4253028</v>
      </c>
      <c r="H91" s="196">
        <f>H89+H90</f>
        <v>103498237</v>
      </c>
      <c r="I91" s="196"/>
      <c r="J91" s="196"/>
      <c r="K91" s="196">
        <f>K89+K90</f>
        <v>111735221</v>
      </c>
      <c r="N91" s="3" t="s">
        <v>352</v>
      </c>
      <c r="O91" s="66" t="e">
        <f>#REF!*1000</f>
        <v>#REF!</v>
      </c>
      <c r="AE91" s="81"/>
    </row>
    <row r="92" spans="1:31" ht="16.5" thickTop="1">
      <c r="A92" s="1"/>
      <c r="B92" s="197"/>
      <c r="C92" s="21"/>
      <c r="D92" s="21"/>
      <c r="E92" s="21"/>
      <c r="F92" s="21"/>
      <c r="I92" s="1" t="s">
        <v>31</v>
      </c>
      <c r="J92" s="1"/>
      <c r="K92" s="2" t="s">
        <v>31</v>
      </c>
      <c r="N92" s="3" t="s">
        <v>256</v>
      </c>
      <c r="O92" s="66" t="e">
        <f>O91-K91</f>
        <v>#REF!</v>
      </c>
      <c r="P92" s="198" t="e">
        <f>(O91-K91)/K91</f>
        <v>#REF!</v>
      </c>
      <c r="AE92" s="81"/>
    </row>
    <row r="93" spans="1:31">
      <c r="A93" s="177" t="s">
        <v>371</v>
      </c>
      <c r="B93" s="1"/>
      <c r="C93" s="1" t="s">
        <v>31</v>
      </c>
      <c r="D93" s="1"/>
      <c r="E93" s="21"/>
      <c r="F93" s="21"/>
      <c r="G93" s="1"/>
      <c r="H93" s="1"/>
      <c r="I93" s="21"/>
      <c r="J93" s="1"/>
      <c r="K93" s="1"/>
      <c r="O93" s="199"/>
      <c r="AE93" s="81"/>
    </row>
    <row r="94" spans="1:31">
      <c r="A94" s="1" t="s">
        <v>318</v>
      </c>
      <c r="B94" s="1"/>
      <c r="C94" s="1"/>
      <c r="D94" s="21"/>
      <c r="E94" s="21"/>
      <c r="F94" s="21"/>
      <c r="G94" s="1"/>
      <c r="H94" s="1"/>
      <c r="I94" s="21"/>
      <c r="J94" s="1"/>
      <c r="K94" s="1"/>
      <c r="N94" s="128"/>
      <c r="AE94" s="81"/>
    </row>
    <row r="95" spans="1:31">
      <c r="A95" s="181"/>
      <c r="B95" s="1"/>
      <c r="C95" s="1"/>
      <c r="D95" s="1"/>
      <c r="E95" s="21"/>
      <c r="F95" s="21"/>
      <c r="G95" s="1"/>
      <c r="H95" s="1"/>
      <c r="I95" s="21"/>
      <c r="J95" s="1"/>
      <c r="K95" s="1"/>
      <c r="N95" s="200"/>
      <c r="AE95" s="81"/>
    </row>
    <row r="96" spans="1:31">
      <c r="A96" s="1" t="s">
        <v>358</v>
      </c>
      <c r="B96" s="1"/>
      <c r="C96" s="21">
        <f>1188818+6</f>
        <v>1188824</v>
      </c>
      <c r="D96" s="21">
        <v>1199595</v>
      </c>
      <c r="E96" s="182">
        <v>5.25</v>
      </c>
      <c r="F96" s="1"/>
      <c r="G96" s="2">
        <f>ROUND(E96*$C96,0)</f>
        <v>6241326</v>
      </c>
      <c r="H96" s="2">
        <f>ROUND(E96*$D96,0)</f>
        <v>6297874</v>
      </c>
      <c r="I96" s="182">
        <f>$I$83</f>
        <v>6</v>
      </c>
      <c r="J96" s="1"/>
      <c r="K96" s="2">
        <f>ROUND(I96*$D96,0)</f>
        <v>7197570</v>
      </c>
      <c r="N96" s="178"/>
      <c r="AE96" s="81"/>
    </row>
    <row r="97" spans="1:31">
      <c r="A97" s="1" t="s">
        <v>361</v>
      </c>
      <c r="B97" s="1"/>
      <c r="C97" s="21">
        <v>622442746.97882807</v>
      </c>
      <c r="D97" s="21">
        <v>626418721.88361442</v>
      </c>
      <c r="E97" s="183">
        <v>4.569</v>
      </c>
      <c r="F97" s="1" t="s">
        <v>362</v>
      </c>
      <c r="G97" s="2">
        <f>ROUND(E97*$C97/100,0)</f>
        <v>28439409</v>
      </c>
      <c r="H97" s="2">
        <f>ROUND(E97*$D97/100,0)</f>
        <v>28621071</v>
      </c>
      <c r="I97" s="183">
        <f>$I$84</f>
        <v>4.9139999999999997</v>
      </c>
      <c r="J97" s="1" t="s">
        <v>362</v>
      </c>
      <c r="K97" s="2">
        <f>ROUND(I97*$D97/100,0)</f>
        <v>30782216</v>
      </c>
      <c r="AE97" s="81"/>
    </row>
    <row r="98" spans="1:31">
      <c r="A98" s="1" t="s">
        <v>363</v>
      </c>
      <c r="B98" s="21"/>
      <c r="C98" s="21">
        <v>902512979.02117193</v>
      </c>
      <c r="D98" s="21">
        <v>908277957.36375713</v>
      </c>
      <c r="E98" s="183">
        <v>7.2080000000000002</v>
      </c>
      <c r="F98" s="1" t="s">
        <v>362</v>
      </c>
      <c r="G98" s="2">
        <f>ROUND(E98*$C98/100,0)</f>
        <v>65053136</v>
      </c>
      <c r="H98" s="2">
        <f>ROUND(E98*$D98/100,0)</f>
        <v>65468675</v>
      </c>
      <c r="I98" s="183">
        <f>$I$85</f>
        <v>7.7510000000000003</v>
      </c>
      <c r="J98" s="1" t="s">
        <v>362</v>
      </c>
      <c r="K98" s="2">
        <f>ROUND(I98*$D98/100,0)</f>
        <v>70400624</v>
      </c>
      <c r="AE98" s="81"/>
    </row>
    <row r="99" spans="1:31">
      <c r="A99" s="1" t="s">
        <v>365</v>
      </c>
      <c r="B99" s="1"/>
      <c r="C99" s="21">
        <v>0</v>
      </c>
      <c r="D99" s="21">
        <v>0</v>
      </c>
      <c r="E99" s="185">
        <v>1.55</v>
      </c>
      <c r="F99" s="1"/>
      <c r="G99" s="2">
        <f>ROUND(E99*$C99,0)</f>
        <v>0</v>
      </c>
      <c r="H99" s="2">
        <v>0</v>
      </c>
      <c r="I99" s="185">
        <f>$I$86</f>
        <v>1.55</v>
      </c>
      <c r="J99" s="1"/>
      <c r="K99" s="2">
        <f>ROUND(I99*$D99,0)</f>
        <v>0</v>
      </c>
      <c r="AE99" s="81"/>
    </row>
    <row r="100" spans="1:31">
      <c r="A100" s="187" t="s">
        <v>367</v>
      </c>
      <c r="B100" s="187"/>
      <c r="C100" s="21">
        <v>0</v>
      </c>
      <c r="D100" s="21">
        <v>0</v>
      </c>
      <c r="E100" s="185">
        <v>3</v>
      </c>
      <c r="F100" s="187"/>
      <c r="G100" s="2">
        <f>ROUND(E100*$C100,0)</f>
        <v>0</v>
      </c>
      <c r="H100" s="2">
        <v>0</v>
      </c>
      <c r="I100" s="185">
        <f>$I$87</f>
        <v>3</v>
      </c>
      <c r="J100" s="187"/>
      <c r="K100" s="2">
        <f>ROUND(I100*$D100,0)</f>
        <v>0</v>
      </c>
      <c r="AE100" s="81"/>
    </row>
    <row r="101" spans="1:31">
      <c r="A101" s="187" t="s">
        <v>368</v>
      </c>
      <c r="B101" s="187"/>
      <c r="C101" s="21">
        <v>0</v>
      </c>
      <c r="D101" s="21">
        <v>0</v>
      </c>
      <c r="E101" s="188">
        <f>-E99</f>
        <v>-1.55</v>
      </c>
      <c r="F101" s="187"/>
      <c r="G101" s="2">
        <f>ROUND(E101*$C101,0)</f>
        <v>0</v>
      </c>
      <c r="H101" s="2">
        <v>0</v>
      </c>
      <c r="I101" s="188">
        <f>$I$88</f>
        <v>-1.55</v>
      </c>
      <c r="J101" s="187"/>
      <c r="K101" s="2">
        <f>ROUND(I101*$D101,0)</f>
        <v>0</v>
      </c>
      <c r="AE101" s="81"/>
    </row>
    <row r="102" spans="1:31">
      <c r="A102" s="1" t="s">
        <v>369</v>
      </c>
      <c r="B102" s="189"/>
      <c r="C102" s="21">
        <f>SUM(C97:C98)</f>
        <v>1524955726</v>
      </c>
      <c r="D102" s="21">
        <v>1534696679.2473714</v>
      </c>
      <c r="E102" s="190"/>
      <c r="F102" s="2"/>
      <c r="G102" s="2">
        <f>SUM(G96:G101)</f>
        <v>99733871</v>
      </c>
      <c r="H102" s="2">
        <f>SUM(H96:H101)</f>
        <v>100387620</v>
      </c>
      <c r="I102" s="2"/>
      <c r="J102" s="2"/>
      <c r="K102" s="2">
        <f>SUM(K96:K101)</f>
        <v>108380410</v>
      </c>
      <c r="O102" s="2"/>
      <c r="AE102" s="81"/>
    </row>
    <row r="103" spans="1:31">
      <c r="A103" s="1" t="s">
        <v>351</v>
      </c>
      <c r="B103" s="191"/>
      <c r="C103" s="201">
        <v>964615.15824767202</v>
      </c>
      <c r="D103" s="192">
        <v>0</v>
      </c>
      <c r="E103" s="193"/>
      <c r="F103" s="193"/>
      <c r="G103" s="194">
        <v>26215.646474169334</v>
      </c>
      <c r="H103" s="192">
        <v>0</v>
      </c>
      <c r="I103" s="193"/>
      <c r="J103" s="193"/>
      <c r="K103" s="194">
        <v>0</v>
      </c>
      <c r="M103" s="173"/>
      <c r="N103" s="173"/>
      <c r="O103" s="174"/>
      <c r="AE103" s="81"/>
    </row>
    <row r="104" spans="1:31" ht="16.5" thickBot="1">
      <c r="A104" s="1" t="s">
        <v>370</v>
      </c>
      <c r="B104" s="1"/>
      <c r="C104" s="195">
        <f>C102+C103</f>
        <v>1525920341.1582477</v>
      </c>
      <c r="D104" s="195">
        <f>SUM(D102:D103)</f>
        <v>1534696679.2473714</v>
      </c>
      <c r="E104" s="196"/>
      <c r="F104" s="196"/>
      <c r="G104" s="196">
        <f>G102+G103</f>
        <v>99760086.646474168</v>
      </c>
      <c r="H104" s="202">
        <f>SUM(H102:H103)</f>
        <v>100387620</v>
      </c>
      <c r="I104" s="196"/>
      <c r="J104" s="196"/>
      <c r="K104" s="196">
        <f>K102+K103</f>
        <v>108380410</v>
      </c>
      <c r="M104" s="175"/>
      <c r="N104" s="175"/>
      <c r="O104" s="176"/>
      <c r="AE104" s="81"/>
    </row>
    <row r="105" spans="1:31" ht="16.5" thickTop="1">
      <c r="A105" s="1"/>
      <c r="B105" s="197"/>
      <c r="C105" s="21"/>
      <c r="D105" s="21"/>
      <c r="E105" s="21"/>
      <c r="F105" s="21"/>
      <c r="I105" s="1" t="s">
        <v>31</v>
      </c>
      <c r="J105" s="1"/>
      <c r="K105" s="2" t="s">
        <v>31</v>
      </c>
      <c r="AE105" s="81"/>
    </row>
    <row r="106" spans="1:31">
      <c r="A106" s="177" t="s">
        <v>372</v>
      </c>
      <c r="B106" s="1"/>
      <c r="C106" s="1"/>
      <c r="D106" s="1"/>
      <c r="E106" s="21"/>
      <c r="F106" s="21"/>
      <c r="G106" s="1"/>
      <c r="H106" s="1"/>
      <c r="I106" s="21"/>
      <c r="J106" s="1"/>
      <c r="K106" s="1"/>
      <c r="AE106" s="81"/>
    </row>
    <row r="107" spans="1:31">
      <c r="A107" s="1" t="s">
        <v>318</v>
      </c>
      <c r="B107" s="1"/>
      <c r="C107" s="1"/>
      <c r="D107" s="1"/>
      <c r="E107" s="21"/>
      <c r="F107" s="21"/>
      <c r="G107" s="1"/>
      <c r="H107" s="1"/>
      <c r="I107" s="21"/>
      <c r="J107" s="1"/>
      <c r="K107" s="1"/>
      <c r="AE107" s="81"/>
    </row>
    <row r="108" spans="1:31">
      <c r="A108" s="181"/>
      <c r="B108" s="1"/>
      <c r="C108" s="1"/>
      <c r="D108" s="1"/>
      <c r="E108" s="21"/>
      <c r="F108" s="21"/>
      <c r="G108" s="1"/>
      <c r="H108" s="1"/>
      <c r="I108" s="21"/>
      <c r="J108" s="1"/>
      <c r="K108" s="1"/>
      <c r="AE108" s="81"/>
    </row>
    <row r="109" spans="1:31">
      <c r="A109" s="1" t="s">
        <v>358</v>
      </c>
      <c r="B109" s="1"/>
      <c r="C109" s="21">
        <v>25712</v>
      </c>
      <c r="D109" s="21">
        <v>28799</v>
      </c>
      <c r="E109" s="182">
        <v>5.25</v>
      </c>
      <c r="F109" s="1"/>
      <c r="G109" s="2">
        <f>ROUND(E109*$C109,0)</f>
        <v>134988</v>
      </c>
      <c r="H109" s="2">
        <f>ROUND(E109*$D109,0)</f>
        <v>151195</v>
      </c>
      <c r="I109" s="182">
        <f>$I$83</f>
        <v>6</v>
      </c>
      <c r="J109" s="1"/>
      <c r="K109" s="2">
        <f>ROUND(I109*$D109,0)</f>
        <v>172794</v>
      </c>
      <c r="AE109" s="81"/>
    </row>
    <row r="110" spans="1:31">
      <c r="A110" s="1" t="s">
        <v>361</v>
      </c>
      <c r="B110" s="1"/>
      <c r="C110" s="21">
        <v>14933585</v>
      </c>
      <c r="D110" s="21">
        <v>15919403.902441863</v>
      </c>
      <c r="E110" s="183">
        <v>4.569</v>
      </c>
      <c r="F110" s="1" t="s">
        <v>362</v>
      </c>
      <c r="G110" s="2">
        <f>ROUND(E110*$C110/100,0)</f>
        <v>682315</v>
      </c>
      <c r="H110" s="2">
        <f>ROUND(E110*$D110/100,0)</f>
        <v>727358</v>
      </c>
      <c r="I110" s="183">
        <f>$I$84</f>
        <v>4.9139999999999997</v>
      </c>
      <c r="J110" s="1" t="s">
        <v>362</v>
      </c>
      <c r="K110" s="2">
        <f>ROUND(I110*$D110/100,0)</f>
        <v>782280</v>
      </c>
      <c r="AE110" s="81"/>
    </row>
    <row r="111" spans="1:31">
      <c r="A111" s="1" t="s">
        <v>363</v>
      </c>
      <c r="B111" s="1"/>
      <c r="C111" s="21">
        <f>40608391-C110</f>
        <v>25674806</v>
      </c>
      <c r="D111" s="21">
        <v>27369690.990531594</v>
      </c>
      <c r="E111" s="183">
        <v>7.2080000000000002</v>
      </c>
      <c r="F111" s="1" t="s">
        <v>362</v>
      </c>
      <c r="G111" s="2">
        <f>ROUND(E111*$C111/100,0)</f>
        <v>1850640</v>
      </c>
      <c r="H111" s="2">
        <f>ROUND(E111*$D111/100,0)</f>
        <v>1972807</v>
      </c>
      <c r="I111" s="183">
        <f>$I$85</f>
        <v>7.7510000000000003</v>
      </c>
      <c r="J111" s="1" t="s">
        <v>362</v>
      </c>
      <c r="K111" s="2">
        <f>ROUND(I111*$D111/100,0)</f>
        <v>2121425</v>
      </c>
      <c r="AE111" s="81"/>
    </row>
    <row r="112" spans="1:31">
      <c r="A112" s="1" t="s">
        <v>365</v>
      </c>
      <c r="B112" s="1"/>
      <c r="C112" s="21">
        <v>0</v>
      </c>
      <c r="D112" s="21">
        <v>0</v>
      </c>
      <c r="E112" s="185">
        <v>1.55</v>
      </c>
      <c r="F112" s="1"/>
      <c r="G112" s="2">
        <f>ROUND(E112*$C112,0)</f>
        <v>0</v>
      </c>
      <c r="H112" s="2">
        <v>0</v>
      </c>
      <c r="I112" s="185">
        <f>$I$86</f>
        <v>1.55</v>
      </c>
      <c r="J112" s="1"/>
      <c r="K112" s="2">
        <f>ROUND(I112*$D112,0)</f>
        <v>0</v>
      </c>
      <c r="AE112" s="81"/>
    </row>
    <row r="113" spans="1:31">
      <c r="A113" s="187" t="s">
        <v>367</v>
      </c>
      <c r="B113" s="187"/>
      <c r="C113" s="21">
        <v>0</v>
      </c>
      <c r="D113" s="21">
        <v>0</v>
      </c>
      <c r="E113" s="185">
        <v>3</v>
      </c>
      <c r="F113" s="187"/>
      <c r="G113" s="2">
        <f>ROUND(E113*$C113,0)</f>
        <v>0</v>
      </c>
      <c r="H113" s="2">
        <v>0</v>
      </c>
      <c r="I113" s="185">
        <f>$I$87</f>
        <v>3</v>
      </c>
      <c r="J113" s="187"/>
      <c r="K113" s="2">
        <f>ROUND(I113*$D113,0)</f>
        <v>0</v>
      </c>
      <c r="AE113" s="81"/>
    </row>
    <row r="114" spans="1:31">
      <c r="A114" s="187" t="s">
        <v>368</v>
      </c>
      <c r="B114" s="187"/>
      <c r="C114" s="21">
        <v>0</v>
      </c>
      <c r="D114" s="21">
        <v>0</v>
      </c>
      <c r="E114" s="188">
        <f>-E112</f>
        <v>-1.55</v>
      </c>
      <c r="F114" s="187"/>
      <c r="G114" s="2">
        <f>ROUND(E114*$C114,0)</f>
        <v>0</v>
      </c>
      <c r="H114" s="2">
        <v>0</v>
      </c>
      <c r="I114" s="188">
        <f>$I$88</f>
        <v>-1.55</v>
      </c>
      <c r="J114" s="187"/>
      <c r="K114" s="2">
        <f>ROUND(I114*$D114,0)</f>
        <v>0</v>
      </c>
      <c r="AE114" s="81"/>
    </row>
    <row r="115" spans="1:31">
      <c r="A115" s="1" t="s">
        <v>369</v>
      </c>
      <c r="B115" s="1"/>
      <c r="C115" s="21">
        <f>SUM(C110:C111)</f>
        <v>40608391</v>
      </c>
      <c r="D115" s="21">
        <v>43289094.892973453</v>
      </c>
      <c r="E115" s="190"/>
      <c r="F115" s="2"/>
      <c r="G115" s="2">
        <f>SUM(G109:G114)</f>
        <v>2667943</v>
      </c>
      <c r="H115" s="2">
        <f>SUM(H109:H114)</f>
        <v>2851360</v>
      </c>
      <c r="I115" s="2"/>
      <c r="J115" s="2"/>
      <c r="K115" s="2">
        <f>SUM(K109:K114)</f>
        <v>3076499</v>
      </c>
      <c r="AE115" s="81"/>
    </row>
    <row r="116" spans="1:31">
      <c r="A116" s="1" t="s">
        <v>351</v>
      </c>
      <c r="B116" s="1"/>
      <c r="C116" s="201">
        <v>24510.980258357216</v>
      </c>
      <c r="D116" s="192">
        <v>0</v>
      </c>
      <c r="E116" s="193"/>
      <c r="F116" s="193"/>
      <c r="G116" s="194">
        <v>676.32035447932685</v>
      </c>
      <c r="H116" s="192">
        <v>0</v>
      </c>
      <c r="I116" s="193"/>
      <c r="J116" s="193"/>
      <c r="K116" s="194">
        <v>0</v>
      </c>
      <c r="M116" s="173"/>
      <c r="N116" s="173"/>
      <c r="O116" s="174"/>
      <c r="AE116" s="81"/>
    </row>
    <row r="117" spans="1:31" ht="16.5" thickBot="1">
      <c r="A117" s="1" t="s">
        <v>370</v>
      </c>
      <c r="B117" s="1"/>
      <c r="C117" s="195">
        <f>C115+C116</f>
        <v>40632901.980258361</v>
      </c>
      <c r="D117" s="195">
        <f>SUM(D115:D116)</f>
        <v>43289094.892973453</v>
      </c>
      <c r="E117" s="196"/>
      <c r="F117" s="196"/>
      <c r="G117" s="196">
        <f>G115+G116</f>
        <v>2668619.3203544794</v>
      </c>
      <c r="H117" s="202">
        <f>SUM(H115:H116)</f>
        <v>2851360</v>
      </c>
      <c r="I117" s="196"/>
      <c r="J117" s="196"/>
      <c r="K117" s="196">
        <f>K115+K116</f>
        <v>3076499</v>
      </c>
      <c r="M117" s="175"/>
      <c r="N117" s="175"/>
      <c r="O117" s="176"/>
      <c r="AE117" s="81"/>
    </row>
    <row r="118" spans="1:31" ht="16.5" thickTop="1">
      <c r="A118" s="1"/>
      <c r="B118" s="197"/>
      <c r="C118" s="21"/>
      <c r="D118" s="21"/>
      <c r="E118" s="21"/>
      <c r="F118" s="21"/>
      <c r="I118" s="1" t="s">
        <v>31</v>
      </c>
      <c r="J118" s="1"/>
      <c r="K118" s="2" t="s">
        <v>31</v>
      </c>
      <c r="AE118" s="81"/>
    </row>
    <row r="119" spans="1:31">
      <c r="A119" s="177" t="s">
        <v>373</v>
      </c>
      <c r="B119" s="1"/>
      <c r="C119" s="1"/>
      <c r="D119" s="1"/>
      <c r="E119" s="21"/>
      <c r="F119" s="21"/>
      <c r="G119" s="1"/>
      <c r="H119" s="1"/>
      <c r="I119" s="21"/>
      <c r="J119" s="1"/>
      <c r="K119" s="1"/>
      <c r="AE119" s="81"/>
    </row>
    <row r="120" spans="1:31">
      <c r="A120" s="1" t="s">
        <v>318</v>
      </c>
      <c r="B120" s="1"/>
      <c r="C120" s="1"/>
      <c r="D120" s="1"/>
      <c r="E120" s="21"/>
      <c r="F120" s="21"/>
      <c r="G120" s="1"/>
      <c r="H120" s="1"/>
      <c r="I120" s="21"/>
      <c r="J120" s="1"/>
      <c r="K120" s="1"/>
      <c r="AE120" s="81"/>
    </row>
    <row r="121" spans="1:31">
      <c r="A121" s="181"/>
      <c r="B121" s="1"/>
      <c r="C121" s="1"/>
      <c r="D121" s="1"/>
      <c r="E121" s="21"/>
      <c r="F121" s="21"/>
      <c r="G121" s="1"/>
      <c r="H121" s="1"/>
      <c r="I121" s="21"/>
      <c r="J121" s="1"/>
      <c r="K121" s="1"/>
      <c r="AE121" s="81"/>
    </row>
    <row r="122" spans="1:31">
      <c r="A122" s="1" t="s">
        <v>358</v>
      </c>
      <c r="B122" s="1"/>
      <c r="C122" s="21">
        <v>1191</v>
      </c>
      <c r="D122" s="21">
        <v>1155</v>
      </c>
      <c r="E122" s="182">
        <v>5.25</v>
      </c>
      <c r="F122" s="1"/>
      <c r="G122" s="2">
        <f>ROUND(E122*$C122,0)</f>
        <v>6253</v>
      </c>
      <c r="H122" s="2">
        <f>ROUND(E122*$D122,0)</f>
        <v>6064</v>
      </c>
      <c r="I122" s="182">
        <f>$I$83</f>
        <v>6</v>
      </c>
      <c r="J122" s="1"/>
      <c r="K122" s="2">
        <f>ROUND(I122*$D122,0)</f>
        <v>6930</v>
      </c>
      <c r="AE122" s="81"/>
    </row>
    <row r="123" spans="1:31">
      <c r="A123" s="1" t="s">
        <v>361</v>
      </c>
      <c r="B123" s="1"/>
      <c r="C123" s="21">
        <v>577197.33041522116</v>
      </c>
      <c r="D123" s="21">
        <v>623924.69816689566</v>
      </c>
      <c r="E123" s="183">
        <v>4.569</v>
      </c>
      <c r="F123" s="1" t="s">
        <v>362</v>
      </c>
      <c r="G123" s="2">
        <f>ROUND(E123*$C123/100,0)</f>
        <v>26372</v>
      </c>
      <c r="H123" s="2">
        <f>ROUND(E123*$D123/100,0)</f>
        <v>28507</v>
      </c>
      <c r="I123" s="183">
        <f>$I$84</f>
        <v>4.9139999999999997</v>
      </c>
      <c r="J123" s="1" t="s">
        <v>362</v>
      </c>
      <c r="K123" s="2">
        <f>ROUND(I123*$D123/100,0)</f>
        <v>30660</v>
      </c>
      <c r="AE123" s="81"/>
    </row>
    <row r="124" spans="1:31">
      <c r="A124" s="1" t="s">
        <v>363</v>
      </c>
      <c r="B124" s="1"/>
      <c r="C124" s="21">
        <v>2052532.6695847788</v>
      </c>
      <c r="D124" s="21">
        <v>2218696.7244410608</v>
      </c>
      <c r="E124" s="183">
        <v>7.2080000000000002</v>
      </c>
      <c r="F124" s="1" t="s">
        <v>362</v>
      </c>
      <c r="G124" s="2">
        <f>ROUND(E124*$C124/100,0)</f>
        <v>147947</v>
      </c>
      <c r="H124" s="2">
        <f>ROUND(E124*$D124/100,0)</f>
        <v>159924</v>
      </c>
      <c r="I124" s="183">
        <f>$I$85</f>
        <v>7.7510000000000003</v>
      </c>
      <c r="J124" s="1" t="s">
        <v>362</v>
      </c>
      <c r="K124" s="2">
        <f>ROUND(I124*$D124/100,0)</f>
        <v>171971</v>
      </c>
      <c r="AE124" s="81"/>
    </row>
    <row r="125" spans="1:31">
      <c r="A125" s="1" t="s">
        <v>365</v>
      </c>
      <c r="B125" s="1"/>
      <c r="C125" s="21">
        <v>4984</v>
      </c>
      <c r="D125" s="21">
        <v>5387.4828101280564</v>
      </c>
      <c r="E125" s="185">
        <v>1.55</v>
      </c>
      <c r="F125" s="1"/>
      <c r="G125" s="2">
        <f>ROUND(E125*$C125,0)</f>
        <v>7725</v>
      </c>
      <c r="H125" s="2">
        <f>ROUND(E125*$D125,0)</f>
        <v>8351</v>
      </c>
      <c r="I125" s="185">
        <f>$I$86</f>
        <v>1.55</v>
      </c>
      <c r="J125" s="1"/>
      <c r="K125" s="2">
        <f>ROUND(I125*$D125,0)</f>
        <v>8351</v>
      </c>
      <c r="AE125" s="81"/>
    </row>
    <row r="126" spans="1:31">
      <c r="A126" s="187" t="s">
        <v>367</v>
      </c>
      <c r="B126" s="187"/>
      <c r="C126" s="21">
        <v>835</v>
      </c>
      <c r="D126" s="21">
        <v>902.59794270805128</v>
      </c>
      <c r="E126" s="185">
        <v>3</v>
      </c>
      <c r="F126" s="187"/>
      <c r="G126" s="2">
        <f>ROUND(E126*$C126,0)</f>
        <v>2505</v>
      </c>
      <c r="H126" s="2">
        <f>ROUND(E126*$D126,0)</f>
        <v>2708</v>
      </c>
      <c r="I126" s="185">
        <f>$I$87</f>
        <v>3</v>
      </c>
      <c r="J126" s="187"/>
      <c r="K126" s="2">
        <f>ROUND(I126*$D126,0)</f>
        <v>2708</v>
      </c>
      <c r="AE126" s="81"/>
    </row>
    <row r="127" spans="1:31">
      <c r="A127" s="187" t="s">
        <v>368</v>
      </c>
      <c r="B127" s="187"/>
      <c r="C127" s="21">
        <v>37</v>
      </c>
      <c r="D127" s="21">
        <v>39.995357940356762</v>
      </c>
      <c r="E127" s="188">
        <f>-E125</f>
        <v>-1.55</v>
      </c>
      <c r="F127" s="187"/>
      <c r="G127" s="2">
        <f>ROUND(E127*$C127,0)</f>
        <v>-57</v>
      </c>
      <c r="H127" s="2">
        <f>ROUND(E127*$D127,0)</f>
        <v>-62</v>
      </c>
      <c r="I127" s="188">
        <f>$I$88</f>
        <v>-1.55</v>
      </c>
      <c r="J127" s="187"/>
      <c r="K127" s="2">
        <f>ROUND(I127*$D127,0)</f>
        <v>-62</v>
      </c>
      <c r="AE127" s="81"/>
    </row>
    <row r="128" spans="1:31">
      <c r="A128" s="1" t="s">
        <v>369</v>
      </c>
      <c r="B128" s="189"/>
      <c r="C128" s="21">
        <f>SUM(C123:C124)</f>
        <v>2629730</v>
      </c>
      <c r="D128" s="21">
        <v>2842621.4226079565</v>
      </c>
      <c r="E128" s="190"/>
      <c r="F128" s="2"/>
      <c r="G128" s="2">
        <f>SUM(G122:G127)</f>
        <v>190745</v>
      </c>
      <c r="H128" s="2">
        <f>SUM(H122:H127)</f>
        <v>205492</v>
      </c>
      <c r="I128" s="2"/>
      <c r="J128" s="2"/>
      <c r="K128" s="2">
        <f>SUM(K122:K127)</f>
        <v>220558</v>
      </c>
      <c r="AE128" s="81"/>
    </row>
    <row r="129" spans="1:31">
      <c r="A129" s="1" t="s">
        <v>351</v>
      </c>
      <c r="B129" s="24"/>
      <c r="C129" s="201">
        <v>1700.3066984208108</v>
      </c>
      <c r="D129" s="192">
        <v>0</v>
      </c>
      <c r="E129" s="193"/>
      <c r="F129" s="193"/>
      <c r="G129" s="194">
        <v>51.812730126847555</v>
      </c>
      <c r="H129" s="194">
        <v>0</v>
      </c>
      <c r="I129" s="193"/>
      <c r="J129" s="193"/>
      <c r="K129" s="194">
        <v>0</v>
      </c>
      <c r="M129" s="173"/>
      <c r="N129" s="173"/>
      <c r="O129" s="174"/>
      <c r="AE129" s="81"/>
    </row>
    <row r="130" spans="1:31" ht="16.5" thickBot="1">
      <c r="A130" s="1" t="s">
        <v>370</v>
      </c>
      <c r="B130" s="1"/>
      <c r="C130" s="195">
        <f>C128+C129</f>
        <v>2631430.306698421</v>
      </c>
      <c r="D130" s="195">
        <f>SUM(D128:D129)</f>
        <v>2842621.4226079565</v>
      </c>
      <c r="E130" s="196"/>
      <c r="F130" s="196"/>
      <c r="G130" s="196">
        <f>G128+G129</f>
        <v>190796.81273012684</v>
      </c>
      <c r="H130" s="196">
        <f>H128+H129</f>
        <v>205492</v>
      </c>
      <c r="I130" s="196"/>
      <c r="J130" s="196"/>
      <c r="K130" s="196">
        <f>K128+K129</f>
        <v>220558</v>
      </c>
      <c r="M130" s="175"/>
      <c r="N130" s="175"/>
      <c r="O130" s="176"/>
      <c r="AE130" s="81"/>
    </row>
    <row r="131" spans="1:31" ht="16.5" thickTop="1">
      <c r="A131" s="1"/>
      <c r="B131" s="197"/>
      <c r="C131" s="21"/>
      <c r="D131" s="21"/>
      <c r="E131" s="21"/>
      <c r="F131" s="21"/>
      <c r="I131" s="1" t="s">
        <v>31</v>
      </c>
      <c r="J131" s="1"/>
      <c r="K131" s="2" t="s">
        <v>31</v>
      </c>
      <c r="AE131" s="81"/>
    </row>
    <row r="132" spans="1:31">
      <c r="A132" s="177" t="s">
        <v>374</v>
      </c>
      <c r="B132" s="1"/>
      <c r="C132" s="1"/>
      <c r="D132" s="1"/>
      <c r="E132" s="21"/>
      <c r="F132" s="21"/>
      <c r="G132" s="1"/>
      <c r="H132" s="1"/>
      <c r="I132" s="21"/>
      <c r="J132" s="1"/>
      <c r="K132" s="1"/>
      <c r="AE132" s="81"/>
    </row>
    <row r="133" spans="1:31">
      <c r="A133" s="1" t="s">
        <v>318</v>
      </c>
      <c r="B133" s="1"/>
      <c r="C133" s="1"/>
      <c r="D133" s="21"/>
      <c r="E133" s="21"/>
      <c r="F133" s="21"/>
      <c r="G133" s="1"/>
      <c r="H133" s="1"/>
      <c r="I133" s="21"/>
      <c r="J133" s="1"/>
      <c r="K133" s="1"/>
      <c r="AE133" s="81"/>
    </row>
    <row r="134" spans="1:31">
      <c r="A134" s="181"/>
      <c r="B134" s="1"/>
      <c r="C134" s="1"/>
      <c r="D134" s="1"/>
      <c r="E134" s="21"/>
      <c r="F134" s="21"/>
      <c r="G134" s="1"/>
      <c r="H134" s="1"/>
      <c r="I134" s="21"/>
      <c r="J134" s="1"/>
      <c r="K134" s="1"/>
      <c r="AE134" s="81"/>
    </row>
    <row r="135" spans="1:31">
      <c r="A135" s="1" t="s">
        <v>358</v>
      </c>
      <c r="B135" s="1"/>
      <c r="C135" s="21">
        <v>316</v>
      </c>
      <c r="D135" s="21">
        <v>315</v>
      </c>
      <c r="E135" s="182">
        <v>5.25</v>
      </c>
      <c r="F135" s="1"/>
      <c r="G135" s="2">
        <f>ROUND(E135*$C135,0)</f>
        <v>1659</v>
      </c>
      <c r="H135" s="2">
        <f>ROUND(E135*$D135,0)</f>
        <v>1654</v>
      </c>
      <c r="I135" s="182">
        <f>$I$83</f>
        <v>6</v>
      </c>
      <c r="J135" s="1"/>
      <c r="K135" s="2">
        <f>ROUND(I135*$D135,0)</f>
        <v>1890</v>
      </c>
      <c r="AE135" s="81"/>
    </row>
    <row r="136" spans="1:31">
      <c r="A136" s="1" t="s">
        <v>361</v>
      </c>
      <c r="B136" s="1"/>
      <c r="C136" s="21">
        <v>183484</v>
      </c>
      <c r="D136" s="21">
        <v>184696.12043933535</v>
      </c>
      <c r="E136" s="183">
        <v>4.569</v>
      </c>
      <c r="F136" s="1" t="s">
        <v>362</v>
      </c>
      <c r="G136" s="2">
        <f>ROUND(E136*$C136/100,0)</f>
        <v>8383</v>
      </c>
      <c r="H136" s="2">
        <f>ROUND(E136*$D136/100,0)</f>
        <v>8439</v>
      </c>
      <c r="I136" s="183">
        <f>$I$84</f>
        <v>4.9139999999999997</v>
      </c>
      <c r="J136" s="1" t="s">
        <v>362</v>
      </c>
      <c r="K136" s="2">
        <f>ROUND(I136*$D136/100,0)</f>
        <v>9076</v>
      </c>
      <c r="AE136" s="81"/>
    </row>
    <row r="137" spans="1:31">
      <c r="A137" s="1" t="s">
        <v>363</v>
      </c>
      <c r="B137" s="1"/>
      <c r="C137" s="21">
        <f>753476-C136</f>
        <v>569992</v>
      </c>
      <c r="D137" s="21">
        <v>573757.44523477601</v>
      </c>
      <c r="E137" s="183">
        <v>7.2080000000000002</v>
      </c>
      <c r="F137" s="1" t="s">
        <v>362</v>
      </c>
      <c r="G137" s="2">
        <f>ROUND(E137*$C137/100,0)</f>
        <v>41085</v>
      </c>
      <c r="H137" s="2">
        <f>ROUND(E137*$D137/100,0)</f>
        <v>41356</v>
      </c>
      <c r="I137" s="183">
        <f>$I$85</f>
        <v>7.7510000000000003</v>
      </c>
      <c r="J137" s="1" t="s">
        <v>362</v>
      </c>
      <c r="K137" s="2">
        <f>ROUND(I137*$D137/100,0)</f>
        <v>44472</v>
      </c>
      <c r="AE137" s="81"/>
    </row>
    <row r="138" spans="1:31">
      <c r="A138" s="1" t="s">
        <v>365</v>
      </c>
      <c r="B138" s="1"/>
      <c r="C138" s="21">
        <v>1145</v>
      </c>
      <c r="D138" s="21">
        <v>1152.5640268526899</v>
      </c>
      <c r="E138" s="185">
        <v>1.55</v>
      </c>
      <c r="F138" s="1"/>
      <c r="G138" s="2">
        <f>ROUND(E138*$C138,0)</f>
        <v>1775</v>
      </c>
      <c r="H138" s="2">
        <f>ROUND(E138*$D138,0)</f>
        <v>1786</v>
      </c>
      <c r="I138" s="185">
        <f>$I$86</f>
        <v>1.55</v>
      </c>
      <c r="J138" s="1"/>
      <c r="K138" s="2">
        <f>ROUND(I138*$D138,0)</f>
        <v>1786</v>
      </c>
      <c r="AE138" s="81"/>
    </row>
    <row r="139" spans="1:31">
      <c r="A139" s="187" t="s">
        <v>367</v>
      </c>
      <c r="B139" s="187"/>
      <c r="C139" s="21">
        <v>182</v>
      </c>
      <c r="D139" s="21">
        <v>183.20231693204332</v>
      </c>
      <c r="E139" s="185">
        <v>3</v>
      </c>
      <c r="F139" s="187"/>
      <c r="G139" s="2">
        <f>ROUND(E139*$C139,0)</f>
        <v>546</v>
      </c>
      <c r="H139" s="2">
        <f>ROUND(E139*$D139,0)</f>
        <v>550</v>
      </c>
      <c r="I139" s="185">
        <f>$I$87</f>
        <v>3</v>
      </c>
      <c r="J139" s="187"/>
      <c r="K139" s="2">
        <f>ROUND(I139*$D139,0)</f>
        <v>550</v>
      </c>
      <c r="AE139" s="81"/>
    </row>
    <row r="140" spans="1:31">
      <c r="A140" s="187" t="s">
        <v>368</v>
      </c>
      <c r="B140" s="187"/>
      <c r="C140" s="21">
        <v>13</v>
      </c>
      <c r="D140" s="21">
        <v>13.085879780860235</v>
      </c>
      <c r="E140" s="188">
        <f>-E138</f>
        <v>-1.55</v>
      </c>
      <c r="F140" s="187"/>
      <c r="G140" s="2">
        <f>ROUND(E140*$C140,0)</f>
        <v>-20</v>
      </c>
      <c r="H140" s="2">
        <f>ROUND(E140*$D140,0)</f>
        <v>-20</v>
      </c>
      <c r="I140" s="188">
        <f>$I$88</f>
        <v>-1.55</v>
      </c>
      <c r="J140" s="187"/>
      <c r="K140" s="2">
        <f>ROUND(I140*$D140,0)</f>
        <v>-20</v>
      </c>
      <c r="AE140" s="81"/>
    </row>
    <row r="141" spans="1:31">
      <c r="A141" s="1" t="s">
        <v>369</v>
      </c>
      <c r="B141" s="1"/>
      <c r="C141" s="21">
        <f>SUM(C136:C137)</f>
        <v>753476</v>
      </c>
      <c r="D141" s="21">
        <v>758453.56567411136</v>
      </c>
      <c r="E141" s="190"/>
      <c r="F141" s="2"/>
      <c r="G141" s="2">
        <f>SUM(G135:G140)</f>
        <v>53428</v>
      </c>
      <c r="H141" s="2">
        <f>SUM(H135:H140)</f>
        <v>53765</v>
      </c>
      <c r="I141" s="2"/>
      <c r="J141" s="2"/>
      <c r="K141" s="2">
        <f>SUM(K135:K140)</f>
        <v>57754</v>
      </c>
      <c r="AE141" s="81"/>
    </row>
    <row r="142" spans="1:31">
      <c r="A142" s="1" t="s">
        <v>351</v>
      </c>
      <c r="B142" s="1"/>
      <c r="C142" s="201">
        <v>454.99401217422201</v>
      </c>
      <c r="D142" s="192">
        <v>0</v>
      </c>
      <c r="E142" s="193"/>
      <c r="F142" s="193"/>
      <c r="G142" s="194">
        <v>13.645744029524508</v>
      </c>
      <c r="H142" s="194">
        <v>0</v>
      </c>
      <c r="I142" s="193"/>
      <c r="J142" s="193"/>
      <c r="K142" s="194">
        <v>0</v>
      </c>
      <c r="M142" s="173"/>
      <c r="N142" s="173"/>
      <c r="O142" s="174"/>
      <c r="AE142" s="81"/>
    </row>
    <row r="143" spans="1:31" ht="16.5" thickBot="1">
      <c r="A143" s="1" t="s">
        <v>370</v>
      </c>
      <c r="B143" s="1"/>
      <c r="C143" s="195">
        <f>C141+C142</f>
        <v>753930.9940121742</v>
      </c>
      <c r="D143" s="195">
        <f>SUM(D141:D142)</f>
        <v>758453.56567411136</v>
      </c>
      <c r="E143" s="196"/>
      <c r="F143" s="196"/>
      <c r="G143" s="196">
        <f>G141+G142</f>
        <v>53441.645744029527</v>
      </c>
      <c r="H143" s="196">
        <f>H141+H142</f>
        <v>53765</v>
      </c>
      <c r="I143" s="196"/>
      <c r="J143" s="196"/>
      <c r="K143" s="196">
        <f>K141+K142</f>
        <v>57754</v>
      </c>
      <c r="M143" s="175"/>
      <c r="N143" s="175"/>
      <c r="O143" s="176"/>
      <c r="AE143" s="81"/>
    </row>
    <row r="144" spans="1:31" ht="16.5" thickTop="1">
      <c r="A144" s="1"/>
      <c r="B144" s="197"/>
      <c r="C144" s="21"/>
      <c r="D144" s="21"/>
      <c r="E144" s="21"/>
      <c r="F144" s="21"/>
      <c r="I144" s="1" t="s">
        <v>31</v>
      </c>
      <c r="J144" s="1"/>
      <c r="K144" s="2" t="s">
        <v>31</v>
      </c>
      <c r="AE144" s="81"/>
    </row>
    <row r="145" spans="1:31">
      <c r="A145" s="177" t="s">
        <v>375</v>
      </c>
      <c r="B145" s="1"/>
      <c r="C145" s="1"/>
      <c r="D145" s="1"/>
      <c r="E145" s="2"/>
      <c r="F145" s="2"/>
      <c r="G145" s="1" t="s">
        <v>31</v>
      </c>
      <c r="H145" s="1"/>
      <c r="I145" s="2"/>
      <c r="J145" s="1"/>
      <c r="K145" s="1"/>
      <c r="AE145" s="81"/>
    </row>
    <row r="146" spans="1:31">
      <c r="A146" s="1" t="s">
        <v>376</v>
      </c>
      <c r="B146" s="1"/>
      <c r="C146" s="1"/>
      <c r="D146" s="1"/>
      <c r="E146" s="2"/>
      <c r="F146" s="2"/>
      <c r="G146" s="1"/>
      <c r="H146" s="1"/>
      <c r="I146" s="2"/>
      <c r="J146" s="1"/>
      <c r="K146" s="1"/>
      <c r="AE146" s="81"/>
    </row>
    <row r="147" spans="1:31">
      <c r="A147" s="1"/>
      <c r="B147" s="1"/>
      <c r="C147" s="1"/>
      <c r="D147" s="1"/>
      <c r="E147" s="2"/>
      <c r="F147" s="2"/>
      <c r="G147" s="1"/>
      <c r="H147" s="1"/>
      <c r="I147" s="2"/>
      <c r="J147" s="1"/>
      <c r="K147" s="1"/>
      <c r="AE147" s="81"/>
    </row>
    <row r="148" spans="1:31">
      <c r="A148" s="1" t="s">
        <v>377</v>
      </c>
      <c r="B148" s="1"/>
      <c r="C148" s="1"/>
      <c r="D148" s="1"/>
      <c r="E148" s="2"/>
      <c r="F148" s="2"/>
      <c r="G148" s="1"/>
      <c r="H148" s="1"/>
      <c r="I148" s="2"/>
      <c r="J148" s="1"/>
      <c r="K148" s="1"/>
      <c r="AE148" s="81"/>
    </row>
    <row r="149" spans="1:31">
      <c r="A149" s="1" t="s">
        <v>378</v>
      </c>
      <c r="B149" s="1"/>
      <c r="C149" s="21">
        <f>C384</f>
        <v>1</v>
      </c>
      <c r="D149" s="21">
        <f>D384</f>
        <v>1</v>
      </c>
      <c r="E149" s="182">
        <f>E153*12</f>
        <v>84</v>
      </c>
      <c r="F149" s="2"/>
      <c r="G149" s="2">
        <f t="shared" ref="G149:H151" si="8">G355</f>
        <v>84</v>
      </c>
      <c r="H149" s="2">
        <f t="shared" si="8"/>
        <v>84</v>
      </c>
      <c r="I149" s="182">
        <f>I153*12</f>
        <v>90.36</v>
      </c>
      <c r="J149" s="1"/>
      <c r="K149" s="2">
        <f>K355</f>
        <v>90</v>
      </c>
      <c r="M149" s="81">
        <f>I149*D149</f>
        <v>90.36</v>
      </c>
      <c r="O149" s="14">
        <f>(I149-E149)/E149</f>
        <v>7.5714285714285706E-2</v>
      </c>
      <c r="P149" s="14"/>
      <c r="AE149" s="81"/>
    </row>
    <row r="150" spans="1:31">
      <c r="A150" s="1" t="s">
        <v>379</v>
      </c>
      <c r="B150" s="1"/>
      <c r="C150" s="21">
        <f>C356</f>
        <v>112</v>
      </c>
      <c r="D150" s="21">
        <f>D356</f>
        <v>109</v>
      </c>
      <c r="E150" s="182">
        <v>124.8</v>
      </c>
      <c r="F150" s="2"/>
      <c r="G150" s="2">
        <f t="shared" si="8"/>
        <v>13978</v>
      </c>
      <c r="H150" s="2">
        <f t="shared" si="8"/>
        <v>13603</v>
      </c>
      <c r="I150" s="182">
        <f>I154*12</f>
        <v>134.16</v>
      </c>
      <c r="J150" s="1"/>
      <c r="K150" s="2">
        <f>K356</f>
        <v>14623</v>
      </c>
      <c r="M150" s="81">
        <f>I150*D150</f>
        <v>14623.44</v>
      </c>
      <c r="N150" s="81"/>
      <c r="O150" s="14">
        <f>(I150-E150)/E150</f>
        <v>7.4999999999999997E-2</v>
      </c>
      <c r="P150" s="14"/>
      <c r="AE150" s="81"/>
    </row>
    <row r="151" spans="1:31">
      <c r="A151" s="1" t="s">
        <v>380</v>
      </c>
      <c r="B151" s="1"/>
      <c r="C151" s="21">
        <f>C357</f>
        <v>4566</v>
      </c>
      <c r="D151" s="21">
        <f>D357</f>
        <v>3312</v>
      </c>
      <c r="E151" s="182">
        <v>8.2799999999999994</v>
      </c>
      <c r="F151" s="2"/>
      <c r="G151" s="2">
        <f t="shared" si="8"/>
        <v>37806</v>
      </c>
      <c r="H151" s="2">
        <f t="shared" si="8"/>
        <v>27423</v>
      </c>
      <c r="I151" s="182">
        <v>9.36</v>
      </c>
      <c r="J151" s="1"/>
      <c r="K151" s="2">
        <f>K357</f>
        <v>31000</v>
      </c>
      <c r="M151" s="81">
        <f>I151*D151</f>
        <v>31000.32</v>
      </c>
      <c r="O151" s="14">
        <f>(I151-E151)/E151</f>
        <v>0.13043478260869568</v>
      </c>
      <c r="P151" s="14"/>
      <c r="R151" s="3" t="s">
        <v>31</v>
      </c>
      <c r="AE151" s="81"/>
    </row>
    <row r="152" spans="1:31">
      <c r="A152" s="1" t="s">
        <v>381</v>
      </c>
      <c r="B152" s="1"/>
      <c r="C152" s="203"/>
      <c r="D152" s="203"/>
      <c r="E152" s="2"/>
      <c r="F152" s="2"/>
      <c r="G152" s="1"/>
      <c r="H152" s="1"/>
      <c r="I152" s="2"/>
      <c r="J152" s="1"/>
      <c r="K152" s="1"/>
      <c r="O152" s="204"/>
      <c r="AE152" s="81"/>
    </row>
    <row r="153" spans="1:31">
      <c r="A153" s="1" t="s">
        <v>378</v>
      </c>
      <c r="B153" s="1"/>
      <c r="C153" s="203">
        <f t="shared" ref="C153:D155" si="9">C183+C267</f>
        <v>150723</v>
      </c>
      <c r="D153" s="203">
        <f t="shared" si="9"/>
        <v>152395</v>
      </c>
      <c r="E153" s="182">
        <v>7</v>
      </c>
      <c r="F153" s="205"/>
      <c r="G153" s="206">
        <f t="shared" ref="G153:H155" si="10">G183+G267</f>
        <v>1055061</v>
      </c>
      <c r="H153" s="206">
        <f t="shared" si="10"/>
        <v>1066765</v>
      </c>
      <c r="I153" s="182">
        <v>7.53</v>
      </c>
      <c r="J153" s="207"/>
      <c r="K153" s="206">
        <f>K183+K267</f>
        <v>1147534</v>
      </c>
      <c r="M153" s="81">
        <f>I153*D153</f>
        <v>1147534.3500000001</v>
      </c>
      <c r="O153" s="14">
        <f>(I153-E153)/E153</f>
        <v>7.5714285714285748E-2</v>
      </c>
      <c r="P153" s="14">
        <v>7.2866321118088731E-2</v>
      </c>
      <c r="AE153" s="81"/>
    </row>
    <row r="154" spans="1:31">
      <c r="A154" s="1" t="s">
        <v>379</v>
      </c>
      <c r="B154" s="1"/>
      <c r="C154" s="203">
        <f t="shared" si="9"/>
        <v>58994</v>
      </c>
      <c r="D154" s="203">
        <f t="shared" si="9"/>
        <v>59583</v>
      </c>
      <c r="E154" s="182">
        <v>10.4</v>
      </c>
      <c r="F154" s="208"/>
      <c r="G154" s="206">
        <f t="shared" si="10"/>
        <v>613538</v>
      </c>
      <c r="H154" s="206">
        <f t="shared" si="10"/>
        <v>619663</v>
      </c>
      <c r="I154" s="182">
        <v>11.18</v>
      </c>
      <c r="J154" s="209"/>
      <c r="K154" s="206">
        <f>K184+K268</f>
        <v>666138</v>
      </c>
      <c r="M154" s="81">
        <f>I154*D154</f>
        <v>666137.93999999994</v>
      </c>
      <c r="O154" s="14">
        <f>(I154-E154)/E154</f>
        <v>7.4999999999999942E-2</v>
      </c>
      <c r="P154" s="14">
        <v>7.1815364563500975E-2</v>
      </c>
      <c r="Q154" s="81"/>
      <c r="AE154" s="81"/>
    </row>
    <row r="155" spans="1:31">
      <c r="A155" s="1" t="s">
        <v>380</v>
      </c>
      <c r="B155" s="1"/>
      <c r="C155" s="203">
        <f t="shared" si="9"/>
        <v>1172685</v>
      </c>
      <c r="D155" s="203">
        <f t="shared" si="9"/>
        <v>1215298</v>
      </c>
      <c r="E155" s="182">
        <v>0.69</v>
      </c>
      <c r="F155" s="208"/>
      <c r="G155" s="206">
        <f t="shared" si="10"/>
        <v>809153</v>
      </c>
      <c r="H155" s="206">
        <f t="shared" si="10"/>
        <v>838556</v>
      </c>
      <c r="I155" s="182">
        <v>0.78</v>
      </c>
      <c r="J155" s="209"/>
      <c r="K155" s="206">
        <f>K185+K269</f>
        <v>947933</v>
      </c>
      <c r="M155" s="81">
        <f>I155*D155</f>
        <v>947932.44000000006</v>
      </c>
      <c r="O155" s="14">
        <f>(I155-E155)/E155</f>
        <v>0.13043478260869579</v>
      </c>
      <c r="P155" s="14">
        <v>0.132004204924074</v>
      </c>
      <c r="R155" s="15"/>
      <c r="S155" s="15"/>
      <c r="AE155" s="81"/>
    </row>
    <row r="156" spans="1:31">
      <c r="A156" s="1" t="s">
        <v>382</v>
      </c>
      <c r="B156" s="1"/>
      <c r="C156" s="203">
        <f>SUM(C153:C154)</f>
        <v>209717</v>
      </c>
      <c r="D156" s="203">
        <f>SUM(D153:D154)</f>
        <v>211978</v>
      </c>
      <c r="E156" s="182"/>
      <c r="F156" s="205"/>
      <c r="G156" s="206"/>
      <c r="H156" s="206"/>
      <c r="I156" s="182"/>
      <c r="J156" s="207"/>
      <c r="K156" s="206"/>
      <c r="O156" s="204"/>
      <c r="AE156" s="81"/>
    </row>
    <row r="157" spans="1:31">
      <c r="A157" s="1" t="s">
        <v>350</v>
      </c>
      <c r="B157" s="1"/>
      <c r="C157" s="203">
        <f>C186+C271+C358</f>
        <v>206434</v>
      </c>
      <c r="D157" s="203">
        <f>D186+D271+D358</f>
        <v>208713.75</v>
      </c>
      <c r="E157" s="182"/>
      <c r="F157" s="205"/>
      <c r="G157" s="206"/>
      <c r="H157" s="206"/>
      <c r="I157" s="182"/>
      <c r="J157" s="207"/>
      <c r="K157" s="206"/>
      <c r="O157" s="204"/>
      <c r="AE157" s="81"/>
    </row>
    <row r="158" spans="1:31">
      <c r="A158" s="1" t="s">
        <v>383</v>
      </c>
      <c r="B158" s="1"/>
      <c r="C158" s="203">
        <f t="shared" ref="C158:D162" si="11">C187+C272+C360</f>
        <v>773776</v>
      </c>
      <c r="D158" s="203">
        <f t="shared" si="11"/>
        <v>798223</v>
      </c>
      <c r="E158" s="210">
        <v>2.81</v>
      </c>
      <c r="F158" s="207"/>
      <c r="G158" s="206">
        <f t="shared" ref="G158:H162" si="12">G187+G272+G360</f>
        <v>2174311</v>
      </c>
      <c r="H158" s="206">
        <f t="shared" si="12"/>
        <v>2243006</v>
      </c>
      <c r="I158" s="182">
        <v>2.88</v>
      </c>
      <c r="J158" s="207"/>
      <c r="K158" s="206">
        <f>K187+K272+K360</f>
        <v>2298883</v>
      </c>
      <c r="M158" s="81">
        <f>I158*D158</f>
        <v>2298882.2399999998</v>
      </c>
      <c r="O158" s="14">
        <f>(I158-E158)/E158</f>
        <v>2.4911032028469695E-2</v>
      </c>
      <c r="P158" s="14">
        <v>2.5931075130992472E-2</v>
      </c>
      <c r="Q158" s="3" t="s">
        <v>384</v>
      </c>
      <c r="AE158" s="81"/>
    </row>
    <row r="159" spans="1:31">
      <c r="A159" s="1" t="s">
        <v>385</v>
      </c>
      <c r="B159" s="1"/>
      <c r="C159" s="203">
        <f t="shared" si="11"/>
        <v>122073149.22139926</v>
      </c>
      <c r="D159" s="203">
        <f t="shared" si="11"/>
        <v>126408223</v>
      </c>
      <c r="E159" s="183">
        <v>7.5869999999999997</v>
      </c>
      <c r="F159" s="207" t="s">
        <v>362</v>
      </c>
      <c r="G159" s="206">
        <f t="shared" si="12"/>
        <v>9261689</v>
      </c>
      <c r="H159" s="206">
        <f t="shared" si="12"/>
        <v>9590592</v>
      </c>
      <c r="I159" s="211">
        <v>8.0890000000000004</v>
      </c>
      <c r="J159" s="207" t="s">
        <v>362</v>
      </c>
      <c r="K159" s="206">
        <f>K188+K273+K361</f>
        <v>10225160</v>
      </c>
      <c r="M159" s="81">
        <f>(I159/100)*D159</f>
        <v>10225161.158470001</v>
      </c>
      <c r="O159" s="14">
        <f>(I159-E159)/E159</f>
        <v>6.6165809938052017E-2</v>
      </c>
      <c r="P159" s="14">
        <v>6.6628456933799998E-2</v>
      </c>
      <c r="Q159" s="127">
        <f>H159+H160-(D159+D160)*E161/100</f>
        <v>5928502.7547500022</v>
      </c>
      <c r="R159" s="127">
        <f>K159+K160-(D159+D160)*I161/100</f>
        <v>6328709.5074999966</v>
      </c>
      <c r="AE159" s="81"/>
    </row>
    <row r="160" spans="1:31">
      <c r="A160" s="1" t="s">
        <v>386</v>
      </c>
      <c r="B160" s="1"/>
      <c r="C160" s="203">
        <f t="shared" si="11"/>
        <v>272356025.57318687</v>
      </c>
      <c r="D160" s="203">
        <f t="shared" si="11"/>
        <v>282142702</v>
      </c>
      <c r="E160" s="183">
        <v>5.2370000000000001</v>
      </c>
      <c r="F160" s="207" t="s">
        <v>362</v>
      </c>
      <c r="G160" s="206">
        <f t="shared" si="12"/>
        <v>14263286</v>
      </c>
      <c r="H160" s="206">
        <f t="shared" si="12"/>
        <v>14775814</v>
      </c>
      <c r="I160" s="212">
        <f>ROUND((E160/E159)*I159,3)</f>
        <v>5.5839999999999996</v>
      </c>
      <c r="J160" s="207" t="s">
        <v>362</v>
      </c>
      <c r="K160" s="206">
        <f>K189+K274+K362</f>
        <v>15754849</v>
      </c>
      <c r="M160" s="81">
        <f>(I160/100)*D160</f>
        <v>15754848.479679998</v>
      </c>
      <c r="N160" s="213"/>
      <c r="O160" s="14">
        <f>(I160-E160)/E160</f>
        <v>6.6259308764559766E-2</v>
      </c>
      <c r="P160" s="14">
        <v>6.6612089431516142E-2</v>
      </c>
      <c r="AE160" s="81"/>
    </row>
    <row r="161" spans="1:31">
      <c r="A161" s="1" t="s">
        <v>387</v>
      </c>
      <c r="B161" s="1"/>
      <c r="C161" s="203">
        <f t="shared" si="11"/>
        <v>116874017.20541383</v>
      </c>
      <c r="D161" s="203">
        <f t="shared" si="11"/>
        <v>121112284</v>
      </c>
      <c r="E161" s="183">
        <v>4.5129999999999999</v>
      </c>
      <c r="F161" s="207" t="s">
        <v>362</v>
      </c>
      <c r="G161" s="206">
        <f t="shared" si="12"/>
        <v>5274524</v>
      </c>
      <c r="H161" s="206">
        <f t="shared" si="12"/>
        <v>5465798</v>
      </c>
      <c r="I161" s="183">
        <f>ROUND((E161/E160)*I160,3)-0.002</f>
        <v>4.8100000000000005</v>
      </c>
      <c r="J161" s="207" t="s">
        <v>362</v>
      </c>
      <c r="K161" s="206">
        <f>K190+K275+K363</f>
        <v>5825501</v>
      </c>
      <c r="M161" s="81">
        <f>(I161/100)*D161</f>
        <v>5825500.8604000006</v>
      </c>
      <c r="N161" s="184"/>
      <c r="O161" s="14">
        <f>(I161-E161)/E161</f>
        <v>6.5809882561489161E-2</v>
      </c>
      <c r="P161" s="14">
        <v>6.6601722714849612E-2</v>
      </c>
      <c r="Q161" s="81">
        <f>K159+K160+K161-R159</f>
        <v>25476800.492500003</v>
      </c>
      <c r="AE161" s="81"/>
    </row>
    <row r="162" spans="1:31">
      <c r="A162" s="1" t="s">
        <v>388</v>
      </c>
      <c r="B162" s="1"/>
      <c r="C162" s="203">
        <f t="shared" si="11"/>
        <v>89833</v>
      </c>
      <c r="D162" s="203">
        <f t="shared" si="11"/>
        <v>92605</v>
      </c>
      <c r="E162" s="214">
        <v>45</v>
      </c>
      <c r="F162" s="205" t="s">
        <v>362</v>
      </c>
      <c r="G162" s="206">
        <f t="shared" si="12"/>
        <v>40425</v>
      </c>
      <c r="H162" s="206">
        <f t="shared" si="12"/>
        <v>41673</v>
      </c>
      <c r="I162" s="214">
        <v>45</v>
      </c>
      <c r="J162" s="207" t="s">
        <v>362</v>
      </c>
      <c r="K162" s="206">
        <f>K191+K276+K364</f>
        <v>41673</v>
      </c>
      <c r="M162" s="81">
        <f>(I162/100)*D162</f>
        <v>41672.25</v>
      </c>
      <c r="O162" s="14">
        <f>(I162-E162)/E162</f>
        <v>0</v>
      </c>
      <c r="P162" s="14"/>
      <c r="AE162" s="81"/>
    </row>
    <row r="163" spans="1:31">
      <c r="A163" s="215" t="s">
        <v>389</v>
      </c>
      <c r="B163" s="1"/>
      <c r="C163" s="203"/>
      <c r="D163" s="203"/>
      <c r="E163" s="216">
        <v>-0.01</v>
      </c>
      <c r="F163" s="205"/>
      <c r="G163" s="206"/>
      <c r="H163" s="206"/>
      <c r="I163" s="216">
        <v>-0.01</v>
      </c>
      <c r="J163" s="207"/>
      <c r="K163" s="206"/>
      <c r="O163" s="217"/>
      <c r="AE163" s="81"/>
    </row>
    <row r="164" spans="1:31">
      <c r="A164" s="1" t="s">
        <v>378</v>
      </c>
      <c r="B164" s="1"/>
      <c r="C164" s="203">
        <f t="shared" ref="C164:D175" si="13">C193+C278+C366</f>
        <v>48</v>
      </c>
      <c r="D164" s="203">
        <f t="shared" si="13"/>
        <v>49</v>
      </c>
      <c r="E164" s="218">
        <f>E153</f>
        <v>7</v>
      </c>
      <c r="F164" s="205"/>
      <c r="G164" s="206">
        <f t="shared" ref="G164:H175" si="14">G193+G278+G366</f>
        <v>-3</v>
      </c>
      <c r="H164" s="206">
        <f t="shared" si="14"/>
        <v>-3</v>
      </c>
      <c r="I164" s="218">
        <f>I153</f>
        <v>7.53</v>
      </c>
      <c r="J164" s="205"/>
      <c r="K164" s="206">
        <f t="shared" ref="K164:K175" si="15">K193+K278+K366</f>
        <v>-4</v>
      </c>
      <c r="M164" s="81">
        <f>-(I164/100)*D164</f>
        <v>-3.6897000000000002</v>
      </c>
      <c r="AE164" s="81"/>
    </row>
    <row r="165" spans="1:31">
      <c r="A165" s="1" t="s">
        <v>379</v>
      </c>
      <c r="B165" s="1"/>
      <c r="C165" s="203">
        <f t="shared" si="13"/>
        <v>88</v>
      </c>
      <c r="D165" s="203">
        <f t="shared" si="13"/>
        <v>89</v>
      </c>
      <c r="E165" s="218">
        <f>E154</f>
        <v>10.4</v>
      </c>
      <c r="F165" s="205"/>
      <c r="G165" s="206">
        <f t="shared" si="14"/>
        <v>-9</v>
      </c>
      <c r="H165" s="206">
        <f t="shared" si="14"/>
        <v>-9</v>
      </c>
      <c r="I165" s="218">
        <f>I154</f>
        <v>11.18</v>
      </c>
      <c r="J165" s="205"/>
      <c r="K165" s="206">
        <f t="shared" si="15"/>
        <v>-10</v>
      </c>
      <c r="M165" s="81">
        <f>-(I165/100)*D165</f>
        <v>-9.9501999999999988</v>
      </c>
      <c r="R165" s="3" t="s">
        <v>359</v>
      </c>
      <c r="S165" s="3" t="s">
        <v>295</v>
      </c>
      <c r="T165" s="3" t="s">
        <v>360</v>
      </c>
      <c r="U165" s="3" t="s">
        <v>304</v>
      </c>
      <c r="AE165" s="81"/>
    </row>
    <row r="166" spans="1:31">
      <c r="A166" s="1" t="s">
        <v>390</v>
      </c>
      <c r="B166" s="1"/>
      <c r="C166" s="203">
        <f t="shared" si="13"/>
        <v>1730</v>
      </c>
      <c r="D166" s="203">
        <f t="shared" si="13"/>
        <v>1792</v>
      </c>
      <c r="E166" s="218">
        <f>E155</f>
        <v>0.69</v>
      </c>
      <c r="F166" s="205"/>
      <c r="G166" s="206">
        <f t="shared" si="14"/>
        <v>-12</v>
      </c>
      <c r="H166" s="206">
        <f t="shared" si="14"/>
        <v>-12</v>
      </c>
      <c r="I166" s="218">
        <f>I155</f>
        <v>0.78</v>
      </c>
      <c r="J166" s="205"/>
      <c r="K166" s="206">
        <f t="shared" si="15"/>
        <v>-14</v>
      </c>
      <c r="M166" s="81">
        <f>-(I166/100)*D166</f>
        <v>-13.977600000000001</v>
      </c>
      <c r="Q166" s="3" t="s">
        <v>20</v>
      </c>
      <c r="R166" s="81">
        <f>H149+H150+H153+H154</f>
        <v>1700115</v>
      </c>
      <c r="S166" s="81">
        <f>K149+K150+K153+K154</f>
        <v>1828385</v>
      </c>
      <c r="T166" s="103">
        <v>1916638.7857408486</v>
      </c>
      <c r="U166" s="128">
        <f>S166/T166</f>
        <v>0.9539538767568374</v>
      </c>
      <c r="AE166" s="81"/>
    </row>
    <row r="167" spans="1:31">
      <c r="A167" s="1" t="s">
        <v>391</v>
      </c>
      <c r="B167" s="1"/>
      <c r="C167" s="203">
        <f t="shared" si="13"/>
        <v>696</v>
      </c>
      <c r="D167" s="203">
        <f t="shared" si="13"/>
        <v>721</v>
      </c>
      <c r="E167" s="218">
        <f>E158</f>
        <v>2.81</v>
      </c>
      <c r="F167" s="207"/>
      <c r="G167" s="206">
        <f t="shared" si="14"/>
        <v>-20</v>
      </c>
      <c r="H167" s="206">
        <f t="shared" si="14"/>
        <v>-20</v>
      </c>
      <c r="I167" s="218">
        <f>I158</f>
        <v>2.88</v>
      </c>
      <c r="J167" s="207"/>
      <c r="K167" s="206">
        <f t="shared" si="15"/>
        <v>-21</v>
      </c>
      <c r="M167" s="81">
        <f>-(I167/100)*D167</f>
        <v>-20.764800000000001</v>
      </c>
      <c r="Q167" s="3" t="s">
        <v>392</v>
      </c>
      <c r="R167" s="81">
        <f>H155</f>
        <v>838556</v>
      </c>
      <c r="S167" s="81">
        <f>K155</f>
        <v>947933</v>
      </c>
      <c r="T167" s="103">
        <v>5367292.197431691</v>
      </c>
      <c r="U167" s="128">
        <f>S167/T167</f>
        <v>0.17661289252215417</v>
      </c>
      <c r="AE167" s="81"/>
    </row>
    <row r="168" spans="1:31">
      <c r="A168" s="1" t="s">
        <v>393</v>
      </c>
      <c r="B168" s="1"/>
      <c r="C168" s="203">
        <f t="shared" si="13"/>
        <v>80560</v>
      </c>
      <c r="D168" s="203">
        <f t="shared" si="13"/>
        <v>83451</v>
      </c>
      <c r="E168" s="219">
        <f>E159</f>
        <v>7.5869999999999997</v>
      </c>
      <c r="F168" s="207" t="s">
        <v>362</v>
      </c>
      <c r="G168" s="206">
        <f t="shared" si="14"/>
        <v>-61</v>
      </c>
      <c r="H168" s="206">
        <f t="shared" si="14"/>
        <v>-63</v>
      </c>
      <c r="I168" s="219">
        <f>I159</f>
        <v>8.0890000000000004</v>
      </c>
      <c r="J168" s="207" t="s">
        <v>362</v>
      </c>
      <c r="K168" s="206">
        <f t="shared" si="15"/>
        <v>-68</v>
      </c>
      <c r="M168" s="81">
        <f>-((I168/100)*D168)/100</f>
        <v>-67.503513900000002</v>
      </c>
      <c r="Q168" s="3" t="s">
        <v>364</v>
      </c>
      <c r="R168" s="81">
        <f>SUM(H159:H161)-Q159</f>
        <v>23903701.245249998</v>
      </c>
      <c r="S168" s="81">
        <f>SUM(K159:K161)-R159</f>
        <v>25476800.492500003</v>
      </c>
      <c r="T168" s="103">
        <v>26743743.576655678</v>
      </c>
      <c r="U168" s="128">
        <f>S168/T168</f>
        <v>0.95262656177792637</v>
      </c>
      <c r="AE168" s="81"/>
    </row>
    <row r="169" spans="1:31">
      <c r="A169" s="1" t="s">
        <v>386</v>
      </c>
      <c r="B169" s="1"/>
      <c r="C169" s="203">
        <f t="shared" si="13"/>
        <v>247430</v>
      </c>
      <c r="D169" s="203">
        <f t="shared" si="13"/>
        <v>256310</v>
      </c>
      <c r="E169" s="219">
        <f>E160</f>
        <v>5.2370000000000001</v>
      </c>
      <c r="F169" s="207" t="s">
        <v>362</v>
      </c>
      <c r="G169" s="206">
        <f t="shared" si="14"/>
        <v>-130</v>
      </c>
      <c r="H169" s="206">
        <f t="shared" si="14"/>
        <v>-134</v>
      </c>
      <c r="I169" s="219">
        <f>I160</f>
        <v>5.5839999999999996</v>
      </c>
      <c r="J169" s="207" t="s">
        <v>362</v>
      </c>
      <c r="K169" s="206">
        <f t="shared" si="15"/>
        <v>-143</v>
      </c>
      <c r="M169" s="81">
        <f>-((I169/100)*D169)/100</f>
        <v>-143.12350399999997</v>
      </c>
      <c r="Q169" s="3" t="s">
        <v>394</v>
      </c>
      <c r="R169" s="81">
        <f>H158+Q159</f>
        <v>8171508.7547500022</v>
      </c>
      <c r="S169" s="81">
        <f>K158+R159</f>
        <v>8627592.5074999966</v>
      </c>
      <c r="T169" s="103">
        <v>4454867.4522770187</v>
      </c>
      <c r="U169" s="128">
        <f>S169/T169</f>
        <v>1.9366664889412526</v>
      </c>
      <c r="AE169" s="81"/>
    </row>
    <row r="170" spans="1:31">
      <c r="A170" s="1" t="s">
        <v>387</v>
      </c>
      <c r="B170" s="1"/>
      <c r="C170" s="203">
        <f t="shared" si="13"/>
        <v>46700</v>
      </c>
      <c r="D170" s="203">
        <f t="shared" si="13"/>
        <v>48376</v>
      </c>
      <c r="E170" s="219">
        <f>E161</f>
        <v>4.5129999999999999</v>
      </c>
      <c r="F170" s="207" t="s">
        <v>362</v>
      </c>
      <c r="G170" s="206">
        <f t="shared" si="14"/>
        <v>-21</v>
      </c>
      <c r="H170" s="206">
        <f t="shared" si="14"/>
        <v>-22</v>
      </c>
      <c r="I170" s="219">
        <f>I161</f>
        <v>4.8100000000000005</v>
      </c>
      <c r="J170" s="207" t="s">
        <v>362</v>
      </c>
      <c r="K170" s="206">
        <f t="shared" si="15"/>
        <v>-23</v>
      </c>
      <c r="M170" s="81">
        <f>-((I170/100)*D170)/100</f>
        <v>-23.268856</v>
      </c>
      <c r="AE170" s="81"/>
    </row>
    <row r="171" spans="1:31">
      <c r="A171" s="1" t="s">
        <v>388</v>
      </c>
      <c r="B171" s="1"/>
      <c r="C171" s="203">
        <f t="shared" si="13"/>
        <v>2329</v>
      </c>
      <c r="D171" s="203">
        <f t="shared" si="13"/>
        <v>2413</v>
      </c>
      <c r="E171" s="220">
        <f>E162</f>
        <v>45</v>
      </c>
      <c r="F171" s="207" t="s">
        <v>362</v>
      </c>
      <c r="G171" s="206">
        <f t="shared" si="14"/>
        <v>-10</v>
      </c>
      <c r="H171" s="206">
        <f t="shared" si="14"/>
        <v>-11</v>
      </c>
      <c r="I171" s="220">
        <f>I162</f>
        <v>45</v>
      </c>
      <c r="J171" s="207" t="s">
        <v>362</v>
      </c>
      <c r="K171" s="206">
        <f t="shared" si="15"/>
        <v>-11</v>
      </c>
      <c r="M171" s="81">
        <f>-((I171/100)*D171)/100</f>
        <v>-10.858500000000001</v>
      </c>
      <c r="AE171" s="81"/>
    </row>
    <row r="172" spans="1:31">
      <c r="A172" s="1" t="s">
        <v>395</v>
      </c>
      <c r="B172" s="1"/>
      <c r="C172" s="203">
        <f t="shared" si="13"/>
        <v>103</v>
      </c>
      <c r="D172" s="203">
        <f t="shared" si="13"/>
        <v>107</v>
      </c>
      <c r="E172" s="221">
        <v>60</v>
      </c>
      <c r="F172" s="205"/>
      <c r="G172" s="206">
        <f t="shared" si="14"/>
        <v>6180</v>
      </c>
      <c r="H172" s="206">
        <f t="shared" si="14"/>
        <v>6420</v>
      </c>
      <c r="I172" s="221">
        <v>60</v>
      </c>
      <c r="J172" s="207"/>
      <c r="K172" s="206">
        <f t="shared" si="15"/>
        <v>6420</v>
      </c>
      <c r="M172" s="81">
        <f>I172*D172</f>
        <v>6420</v>
      </c>
      <c r="O172" s="222"/>
      <c r="AE172" s="81"/>
    </row>
    <row r="173" spans="1:31">
      <c r="A173" s="1" t="s">
        <v>396</v>
      </c>
      <c r="B173" s="1"/>
      <c r="C173" s="203">
        <f t="shared" si="13"/>
        <v>2204</v>
      </c>
      <c r="D173" s="203">
        <f t="shared" si="13"/>
        <v>2283</v>
      </c>
      <c r="E173" s="223">
        <v>-30</v>
      </c>
      <c r="F173" s="205" t="s">
        <v>362</v>
      </c>
      <c r="G173" s="206">
        <f t="shared" si="14"/>
        <v>-661</v>
      </c>
      <c r="H173" s="206">
        <f t="shared" si="14"/>
        <v>-685</v>
      </c>
      <c r="I173" s="223">
        <v>-30</v>
      </c>
      <c r="J173" s="207" t="s">
        <v>362</v>
      </c>
      <c r="K173" s="206">
        <f t="shared" si="15"/>
        <v>-685</v>
      </c>
      <c r="M173" s="81">
        <f>(I173/100)*D173</f>
        <v>-684.9</v>
      </c>
      <c r="O173" s="178"/>
      <c r="Q173" s="178"/>
      <c r="AE173" s="81"/>
    </row>
    <row r="174" spans="1:31">
      <c r="A174" s="1" t="s">
        <v>369</v>
      </c>
      <c r="B174" s="148"/>
      <c r="C174" s="203">
        <f t="shared" si="13"/>
        <v>511303192</v>
      </c>
      <c r="D174" s="203">
        <f t="shared" si="13"/>
        <v>529663208.81107259</v>
      </c>
      <c r="E174" s="214"/>
      <c r="F174" s="2"/>
      <c r="G174" s="206">
        <f t="shared" si="14"/>
        <v>33549108</v>
      </c>
      <c r="H174" s="206">
        <f t="shared" si="14"/>
        <v>34688438</v>
      </c>
      <c r="I174" s="214"/>
      <c r="J174" s="207"/>
      <c r="K174" s="206">
        <f t="shared" si="15"/>
        <v>36958825</v>
      </c>
      <c r="M174" s="81">
        <f>SUM(M149:M173)</f>
        <v>36958825.801876113</v>
      </c>
      <c r="O174" s="178"/>
      <c r="AE174" s="81"/>
    </row>
    <row r="175" spans="1:31">
      <c r="A175" s="1" t="s">
        <v>351</v>
      </c>
      <c r="B175" s="24"/>
      <c r="C175" s="224">
        <f t="shared" si="13"/>
        <v>1738550.1352391352</v>
      </c>
      <c r="D175" s="224">
        <f t="shared" si="13"/>
        <v>0</v>
      </c>
      <c r="E175" s="193"/>
      <c r="F175" s="193"/>
      <c r="G175" s="225">
        <f t="shared" si="14"/>
        <v>98538.251191607749</v>
      </c>
      <c r="H175" s="225">
        <f t="shared" si="14"/>
        <v>0</v>
      </c>
      <c r="I175" s="193"/>
      <c r="J175" s="193"/>
      <c r="K175" s="225">
        <f t="shared" si="15"/>
        <v>0</v>
      </c>
      <c r="M175" s="173"/>
      <c r="AE175" s="81"/>
    </row>
    <row r="176" spans="1:31" ht="16.5" thickBot="1">
      <c r="A176" s="1" t="s">
        <v>370</v>
      </c>
      <c r="B176" s="1"/>
      <c r="C176" s="195">
        <f>SUM(C174:C175)</f>
        <v>513041742.13523912</v>
      </c>
      <c r="D176" s="195">
        <f>SUM(D174:D175)</f>
        <v>529663208.81107259</v>
      </c>
      <c r="E176" s="226"/>
      <c r="F176" s="227"/>
      <c r="G176" s="228">
        <f>G174+G175</f>
        <v>33647646.251191609</v>
      </c>
      <c r="H176" s="228">
        <f>H174+H175</f>
        <v>34688438</v>
      </c>
      <c r="I176" s="226"/>
      <c r="J176" s="229"/>
      <c r="K176" s="228">
        <f>K174+K175</f>
        <v>36958825</v>
      </c>
      <c r="M176" s="175"/>
      <c r="N176" s="3" t="s">
        <v>397</v>
      </c>
      <c r="O176" s="81" t="e">
        <f>#REF!*1000</f>
        <v>#REF!</v>
      </c>
      <c r="P176" s="14"/>
      <c r="AE176" s="81"/>
    </row>
    <row r="177" spans="1:31" ht="16.5" thickTop="1">
      <c r="A177" s="1"/>
      <c r="B177" s="1"/>
      <c r="C177" s="21"/>
      <c r="D177" s="21"/>
      <c r="E177" s="221"/>
      <c r="F177" s="2"/>
      <c r="G177" s="2"/>
      <c r="H177" s="2"/>
      <c r="I177" s="221"/>
      <c r="J177" s="1"/>
      <c r="K177" s="2" t="s">
        <v>31</v>
      </c>
      <c r="N177" s="3" t="s">
        <v>256</v>
      </c>
      <c r="O177" s="81" t="e">
        <f>O176-K176</f>
        <v>#REF!</v>
      </c>
      <c r="P177" s="160" t="e">
        <f>(O176-K176)/K176</f>
        <v>#REF!</v>
      </c>
      <c r="AE177" s="81"/>
    </row>
    <row r="178" spans="1:31">
      <c r="A178" s="1"/>
      <c r="B178" s="1"/>
      <c r="C178" s="21"/>
      <c r="D178" s="21"/>
      <c r="E178" s="221"/>
      <c r="F178" s="2"/>
      <c r="G178" s="2"/>
      <c r="H178" s="2"/>
      <c r="I178" s="221"/>
      <c r="J178" s="1"/>
      <c r="AE178" s="81"/>
    </row>
    <row r="179" spans="1:31">
      <c r="A179" s="177" t="s">
        <v>375</v>
      </c>
      <c r="B179" s="1"/>
      <c r="C179" s="1"/>
      <c r="D179" s="1"/>
      <c r="E179" s="2"/>
      <c r="F179" s="2"/>
      <c r="G179" s="1" t="s">
        <v>31</v>
      </c>
      <c r="H179" s="1"/>
      <c r="I179" s="2"/>
      <c r="J179" s="1"/>
      <c r="K179" s="1"/>
      <c r="M179" s="81">
        <f>K176-H176</f>
        <v>2270387</v>
      </c>
      <c r="O179" s="230"/>
      <c r="P179" s="14"/>
      <c r="AE179" s="81"/>
    </row>
    <row r="180" spans="1:31">
      <c r="A180" s="1" t="s">
        <v>398</v>
      </c>
      <c r="B180" s="1"/>
      <c r="C180" s="1"/>
      <c r="D180" s="1"/>
      <c r="E180" s="2"/>
      <c r="F180" s="2"/>
      <c r="G180" s="1"/>
      <c r="H180" s="1"/>
      <c r="I180" s="2"/>
      <c r="J180" s="1"/>
      <c r="K180" s="1"/>
      <c r="M180" s="81"/>
      <c r="N180" s="128">
        <v>0.91082901397610971</v>
      </c>
      <c r="AE180" s="81"/>
    </row>
    <row r="181" spans="1:31">
      <c r="A181" s="1"/>
      <c r="B181" s="1"/>
      <c r="C181" s="1"/>
      <c r="D181" s="1"/>
      <c r="E181" s="2"/>
      <c r="F181" s="2"/>
      <c r="G181" s="1"/>
      <c r="H181" s="1"/>
      <c r="I181" s="2"/>
      <c r="J181" s="1"/>
      <c r="K181" s="1"/>
      <c r="M181" s="81"/>
      <c r="N181" s="81"/>
      <c r="AE181" s="81"/>
    </row>
    <row r="182" spans="1:31">
      <c r="A182" s="1" t="s">
        <v>381</v>
      </c>
      <c r="B182" s="1"/>
      <c r="C182" s="203"/>
      <c r="D182" s="203"/>
      <c r="E182" s="2"/>
      <c r="F182" s="2"/>
      <c r="G182" s="1"/>
      <c r="H182" s="1"/>
      <c r="I182" s="2"/>
      <c r="J182" s="1"/>
      <c r="K182" s="1"/>
      <c r="AE182" s="81"/>
    </row>
    <row r="183" spans="1:31">
      <c r="A183" s="1" t="s">
        <v>378</v>
      </c>
      <c r="B183" s="1"/>
      <c r="C183" s="203">
        <f t="shared" ref="C183:D185" si="16">C211+C239</f>
        <v>145698</v>
      </c>
      <c r="D183" s="203">
        <f t="shared" si="16"/>
        <v>147404</v>
      </c>
      <c r="E183" s="182">
        <v>7</v>
      </c>
      <c r="F183" s="205"/>
      <c r="G183" s="2">
        <f t="shared" ref="G183:H185" si="17">G211+G239</f>
        <v>1019886</v>
      </c>
      <c r="H183" s="2">
        <f t="shared" si="17"/>
        <v>1031828</v>
      </c>
      <c r="I183" s="182">
        <f>$I$153</f>
        <v>7.53</v>
      </c>
      <c r="J183" s="207"/>
      <c r="K183" s="2">
        <f>K211+K239</f>
        <v>1109952</v>
      </c>
      <c r="AE183" s="81"/>
    </row>
    <row r="184" spans="1:31">
      <c r="A184" s="1" t="s">
        <v>379</v>
      </c>
      <c r="B184" s="1"/>
      <c r="C184" s="203">
        <f t="shared" si="16"/>
        <v>58994</v>
      </c>
      <c r="D184" s="203">
        <f t="shared" si="16"/>
        <v>59583</v>
      </c>
      <c r="E184" s="182">
        <v>10.4</v>
      </c>
      <c r="F184" s="208"/>
      <c r="G184" s="2">
        <f t="shared" si="17"/>
        <v>613538</v>
      </c>
      <c r="H184" s="2">
        <f t="shared" si="17"/>
        <v>619663</v>
      </c>
      <c r="I184" s="182">
        <f>$I$154</f>
        <v>11.18</v>
      </c>
      <c r="J184" s="209"/>
      <c r="K184" s="2">
        <f>K212+K240</f>
        <v>666138</v>
      </c>
      <c r="AE184" s="81"/>
    </row>
    <row r="185" spans="1:31">
      <c r="A185" s="1" t="s">
        <v>380</v>
      </c>
      <c r="B185" s="1"/>
      <c r="C185" s="203">
        <f t="shared" si="16"/>
        <v>1172685</v>
      </c>
      <c r="D185" s="203">
        <f t="shared" si="16"/>
        <v>1215298</v>
      </c>
      <c r="E185" s="182">
        <v>0.69</v>
      </c>
      <c r="F185" s="208"/>
      <c r="G185" s="2">
        <f t="shared" si="17"/>
        <v>809153</v>
      </c>
      <c r="H185" s="2">
        <f t="shared" si="17"/>
        <v>838556</v>
      </c>
      <c r="I185" s="182">
        <f>$I$155</f>
        <v>0.78</v>
      </c>
      <c r="J185" s="209"/>
      <c r="K185" s="2">
        <f>K213+K241</f>
        <v>947933</v>
      </c>
      <c r="AE185" s="81"/>
    </row>
    <row r="186" spans="1:31">
      <c r="A186" s="1" t="s">
        <v>382</v>
      </c>
      <c r="B186" s="1"/>
      <c r="C186" s="203">
        <f>SUM(C183:C184)</f>
        <v>204692</v>
      </c>
      <c r="D186" s="203">
        <f>SUM(D183:D184)</f>
        <v>206987</v>
      </c>
      <c r="E186" s="182"/>
      <c r="F186" s="205"/>
      <c r="G186" s="2"/>
      <c r="H186" s="2"/>
      <c r="I186" s="182"/>
      <c r="J186" s="207"/>
      <c r="K186" s="2"/>
      <c r="AE186" s="81"/>
    </row>
    <row r="187" spans="1:31">
      <c r="A187" s="1" t="s">
        <v>383</v>
      </c>
      <c r="B187" s="1"/>
      <c r="C187" s="203">
        <f t="shared" ref="C187:D191" si="18">C215+C243</f>
        <v>760902</v>
      </c>
      <c r="D187" s="203">
        <f t="shared" si="18"/>
        <v>788525</v>
      </c>
      <c r="E187" s="210">
        <v>2.81</v>
      </c>
      <c r="F187" s="207"/>
      <c r="G187" s="2">
        <f t="shared" ref="G187:H191" si="19">G215+G243</f>
        <v>2138135</v>
      </c>
      <c r="H187" s="2">
        <f t="shared" si="19"/>
        <v>2215755</v>
      </c>
      <c r="I187" s="210">
        <f>$I$158</f>
        <v>2.88</v>
      </c>
      <c r="J187" s="207"/>
      <c r="K187" s="2">
        <f>K215+K243</f>
        <v>2270952</v>
      </c>
      <c r="AE187" s="81"/>
    </row>
    <row r="188" spans="1:31">
      <c r="A188" s="1" t="s">
        <v>385</v>
      </c>
      <c r="B188" s="1"/>
      <c r="C188" s="203">
        <f t="shared" si="18"/>
        <v>120473825.22139926</v>
      </c>
      <c r="D188" s="203">
        <f t="shared" si="18"/>
        <v>124824731</v>
      </c>
      <c r="E188" s="183">
        <v>7.5869999999999997</v>
      </c>
      <c r="F188" s="207" t="s">
        <v>362</v>
      </c>
      <c r="G188" s="2">
        <f t="shared" si="19"/>
        <v>9140349</v>
      </c>
      <c r="H188" s="2">
        <f t="shared" si="19"/>
        <v>9470452</v>
      </c>
      <c r="I188" s="183">
        <f>$I$159</f>
        <v>8.0890000000000004</v>
      </c>
      <c r="J188" s="207" t="s">
        <v>362</v>
      </c>
      <c r="K188" s="2">
        <f>K216+K244</f>
        <v>10097072</v>
      </c>
      <c r="AE188" s="81"/>
    </row>
    <row r="189" spans="1:31">
      <c r="A189" s="1" t="s">
        <v>386</v>
      </c>
      <c r="B189" s="1"/>
      <c r="C189" s="203">
        <f t="shared" si="18"/>
        <v>272066960.57318687</v>
      </c>
      <c r="D189" s="203">
        <f t="shared" si="18"/>
        <v>281913580</v>
      </c>
      <c r="E189" s="183">
        <v>5.2370000000000001</v>
      </c>
      <c r="F189" s="207" t="s">
        <v>362</v>
      </c>
      <c r="G189" s="2">
        <f t="shared" si="19"/>
        <v>14248147</v>
      </c>
      <c r="H189" s="2">
        <f t="shared" si="19"/>
        <v>14763814</v>
      </c>
      <c r="I189" s="183">
        <f>$I$160</f>
        <v>5.5839999999999996</v>
      </c>
      <c r="J189" s="207" t="s">
        <v>362</v>
      </c>
      <c r="K189" s="2">
        <f>K217+K245</f>
        <v>15742054</v>
      </c>
      <c r="AE189" s="81"/>
    </row>
    <row r="190" spans="1:31">
      <c r="A190" s="1" t="s">
        <v>387</v>
      </c>
      <c r="B190" s="1"/>
      <c r="C190" s="203">
        <f t="shared" si="18"/>
        <v>116874017.20541383</v>
      </c>
      <c r="D190" s="203">
        <f t="shared" si="18"/>
        <v>121112284</v>
      </c>
      <c r="E190" s="183">
        <v>4.5129999999999999</v>
      </c>
      <c r="F190" s="207" t="s">
        <v>362</v>
      </c>
      <c r="G190" s="2">
        <f t="shared" si="19"/>
        <v>5274524</v>
      </c>
      <c r="H190" s="2">
        <f t="shared" si="19"/>
        <v>5465798</v>
      </c>
      <c r="I190" s="183">
        <f>$I$161</f>
        <v>4.8100000000000005</v>
      </c>
      <c r="J190" s="207" t="s">
        <v>362</v>
      </c>
      <c r="K190" s="2">
        <f>K218+K246</f>
        <v>5825501</v>
      </c>
      <c r="AE190" s="81"/>
    </row>
    <row r="191" spans="1:31">
      <c r="A191" s="1" t="s">
        <v>388</v>
      </c>
      <c r="B191" s="1"/>
      <c r="C191" s="203">
        <f t="shared" si="18"/>
        <v>88035</v>
      </c>
      <c r="D191" s="203">
        <f t="shared" si="18"/>
        <v>91301</v>
      </c>
      <c r="E191" s="214">
        <v>45</v>
      </c>
      <c r="F191" s="205" t="s">
        <v>362</v>
      </c>
      <c r="G191" s="2">
        <f t="shared" si="19"/>
        <v>39616</v>
      </c>
      <c r="H191" s="2">
        <f t="shared" si="19"/>
        <v>41086</v>
      </c>
      <c r="I191" s="214">
        <f>$I$162</f>
        <v>45</v>
      </c>
      <c r="J191" s="207" t="s">
        <v>362</v>
      </c>
      <c r="K191" s="2">
        <f>K219+K247</f>
        <v>41086</v>
      </c>
      <c r="AE191" s="81"/>
    </row>
    <row r="192" spans="1:31">
      <c r="A192" s="215" t="s">
        <v>389</v>
      </c>
      <c r="B192" s="1"/>
      <c r="C192" s="203"/>
      <c r="D192" s="203"/>
      <c r="E192" s="216">
        <v>-0.01</v>
      </c>
      <c r="F192" s="205"/>
      <c r="G192" s="2"/>
      <c r="H192" s="2"/>
      <c r="I192" s="216">
        <f>$I$163</f>
        <v>-0.01</v>
      </c>
      <c r="J192" s="207"/>
      <c r="K192" s="2"/>
      <c r="AE192" s="81"/>
    </row>
    <row r="193" spans="1:31">
      <c r="A193" s="1" t="s">
        <v>378</v>
      </c>
      <c r="B193" s="1"/>
      <c r="C193" s="203">
        <f t="shared" ref="C193:D204" si="20">C221+C249</f>
        <v>48</v>
      </c>
      <c r="D193" s="203">
        <f t="shared" si="20"/>
        <v>49</v>
      </c>
      <c r="E193" s="218">
        <f>E183</f>
        <v>7</v>
      </c>
      <c r="F193" s="205"/>
      <c r="G193" s="2">
        <f t="shared" ref="G193:H204" si="21">G221+G249</f>
        <v>-3</v>
      </c>
      <c r="H193" s="2">
        <f t="shared" si="21"/>
        <v>-3</v>
      </c>
      <c r="I193" s="218">
        <f>I183</f>
        <v>7.53</v>
      </c>
      <c r="J193" s="205"/>
      <c r="K193" s="2">
        <f t="shared" ref="K193:K204" si="22">K221+K249</f>
        <v>-4</v>
      </c>
      <c r="AE193" s="81"/>
    </row>
    <row r="194" spans="1:31">
      <c r="A194" s="1" t="s">
        <v>379</v>
      </c>
      <c r="B194" s="1"/>
      <c r="C194" s="203">
        <f t="shared" si="20"/>
        <v>88</v>
      </c>
      <c r="D194" s="203">
        <f t="shared" si="20"/>
        <v>89</v>
      </c>
      <c r="E194" s="218">
        <f>E184</f>
        <v>10.4</v>
      </c>
      <c r="F194" s="205"/>
      <c r="G194" s="2">
        <f t="shared" si="21"/>
        <v>-9</v>
      </c>
      <c r="H194" s="2">
        <f t="shared" si="21"/>
        <v>-9</v>
      </c>
      <c r="I194" s="218">
        <f>I184</f>
        <v>11.18</v>
      </c>
      <c r="J194" s="205"/>
      <c r="K194" s="2">
        <f t="shared" si="22"/>
        <v>-10</v>
      </c>
      <c r="AE194" s="81"/>
    </row>
    <row r="195" spans="1:31">
      <c r="A195" s="1" t="s">
        <v>390</v>
      </c>
      <c r="B195" s="1"/>
      <c r="C195" s="203">
        <f t="shared" si="20"/>
        <v>1730</v>
      </c>
      <c r="D195" s="203">
        <f t="shared" si="20"/>
        <v>1792</v>
      </c>
      <c r="E195" s="218">
        <f>E185</f>
        <v>0.69</v>
      </c>
      <c r="F195" s="205"/>
      <c r="G195" s="2">
        <f t="shared" si="21"/>
        <v>-12</v>
      </c>
      <c r="H195" s="2">
        <f t="shared" si="21"/>
        <v>-12</v>
      </c>
      <c r="I195" s="218">
        <f>I185</f>
        <v>0.78</v>
      </c>
      <c r="J195" s="205"/>
      <c r="K195" s="2">
        <f t="shared" si="22"/>
        <v>-14</v>
      </c>
      <c r="AE195" s="81"/>
    </row>
    <row r="196" spans="1:31">
      <c r="A196" s="1" t="s">
        <v>391</v>
      </c>
      <c r="B196" s="1"/>
      <c r="C196" s="203">
        <f t="shared" si="20"/>
        <v>696</v>
      </c>
      <c r="D196" s="203">
        <f t="shared" si="20"/>
        <v>721</v>
      </c>
      <c r="E196" s="218">
        <f>E187</f>
        <v>2.81</v>
      </c>
      <c r="F196" s="207"/>
      <c r="G196" s="2">
        <f t="shared" si="21"/>
        <v>-20</v>
      </c>
      <c r="H196" s="2">
        <f t="shared" si="21"/>
        <v>-20</v>
      </c>
      <c r="I196" s="218">
        <f>I187</f>
        <v>2.88</v>
      </c>
      <c r="J196" s="207"/>
      <c r="K196" s="2">
        <f t="shared" si="22"/>
        <v>-21</v>
      </c>
      <c r="AE196" s="81"/>
    </row>
    <row r="197" spans="1:31">
      <c r="A197" s="1" t="s">
        <v>393</v>
      </c>
      <c r="B197" s="1"/>
      <c r="C197" s="203">
        <f t="shared" si="20"/>
        <v>80560</v>
      </c>
      <c r="D197" s="203">
        <f t="shared" si="20"/>
        <v>83451</v>
      </c>
      <c r="E197" s="219">
        <f>E188</f>
        <v>7.5869999999999997</v>
      </c>
      <c r="F197" s="207" t="s">
        <v>362</v>
      </c>
      <c r="G197" s="2">
        <f t="shared" si="21"/>
        <v>-61</v>
      </c>
      <c r="H197" s="2">
        <f t="shared" si="21"/>
        <v>-63</v>
      </c>
      <c r="I197" s="219">
        <f>I188</f>
        <v>8.0890000000000004</v>
      </c>
      <c r="J197" s="207" t="s">
        <v>362</v>
      </c>
      <c r="K197" s="2">
        <f t="shared" si="22"/>
        <v>-68</v>
      </c>
      <c r="AE197" s="81"/>
    </row>
    <row r="198" spans="1:31">
      <c r="A198" s="1" t="s">
        <v>386</v>
      </c>
      <c r="B198" s="1"/>
      <c r="C198" s="203">
        <f t="shared" si="20"/>
        <v>247430</v>
      </c>
      <c r="D198" s="203">
        <f t="shared" si="20"/>
        <v>256310</v>
      </c>
      <c r="E198" s="219">
        <f>E189</f>
        <v>5.2370000000000001</v>
      </c>
      <c r="F198" s="207" t="s">
        <v>362</v>
      </c>
      <c r="G198" s="2">
        <f t="shared" si="21"/>
        <v>-130</v>
      </c>
      <c r="H198" s="2">
        <f t="shared" si="21"/>
        <v>-134</v>
      </c>
      <c r="I198" s="219">
        <f>I189</f>
        <v>5.5839999999999996</v>
      </c>
      <c r="J198" s="207" t="s">
        <v>362</v>
      </c>
      <c r="K198" s="2">
        <f t="shared" si="22"/>
        <v>-143</v>
      </c>
      <c r="AE198" s="81"/>
    </row>
    <row r="199" spans="1:31">
      <c r="A199" s="1" t="s">
        <v>387</v>
      </c>
      <c r="B199" s="1"/>
      <c r="C199" s="203">
        <f t="shared" si="20"/>
        <v>46700</v>
      </c>
      <c r="D199" s="203">
        <f t="shared" si="20"/>
        <v>48376</v>
      </c>
      <c r="E199" s="219">
        <f>E190</f>
        <v>4.5129999999999999</v>
      </c>
      <c r="F199" s="207" t="s">
        <v>362</v>
      </c>
      <c r="G199" s="2">
        <f t="shared" si="21"/>
        <v>-21</v>
      </c>
      <c r="H199" s="2">
        <f t="shared" si="21"/>
        <v>-22</v>
      </c>
      <c r="I199" s="219">
        <f>I190</f>
        <v>4.8100000000000005</v>
      </c>
      <c r="J199" s="207" t="s">
        <v>362</v>
      </c>
      <c r="K199" s="2">
        <f t="shared" si="22"/>
        <v>-23</v>
      </c>
      <c r="AE199" s="81"/>
    </row>
    <row r="200" spans="1:31">
      <c r="A200" s="1" t="s">
        <v>388</v>
      </c>
      <c r="B200" s="1"/>
      <c r="C200" s="203">
        <f t="shared" si="20"/>
        <v>2329</v>
      </c>
      <c r="D200" s="203">
        <f t="shared" si="20"/>
        <v>2413</v>
      </c>
      <c r="E200" s="220">
        <f>E191</f>
        <v>45</v>
      </c>
      <c r="F200" s="207" t="s">
        <v>362</v>
      </c>
      <c r="G200" s="2">
        <f t="shared" si="21"/>
        <v>-10</v>
      </c>
      <c r="H200" s="2">
        <f t="shared" si="21"/>
        <v>-11</v>
      </c>
      <c r="I200" s="220">
        <f>I191</f>
        <v>45</v>
      </c>
      <c r="J200" s="207" t="s">
        <v>362</v>
      </c>
      <c r="K200" s="2">
        <f t="shared" si="22"/>
        <v>-11</v>
      </c>
      <c r="AE200" s="81"/>
    </row>
    <row r="201" spans="1:31">
      <c r="A201" s="1" t="s">
        <v>395</v>
      </c>
      <c r="B201" s="1"/>
      <c r="C201" s="203">
        <f t="shared" si="20"/>
        <v>103</v>
      </c>
      <c r="D201" s="203">
        <f t="shared" si="20"/>
        <v>107</v>
      </c>
      <c r="E201" s="221">
        <v>60</v>
      </c>
      <c r="F201" s="205"/>
      <c r="G201" s="2">
        <f t="shared" si="21"/>
        <v>6180</v>
      </c>
      <c r="H201" s="2">
        <f t="shared" si="21"/>
        <v>6420</v>
      </c>
      <c r="I201" s="221">
        <f>$I$172</f>
        <v>60</v>
      </c>
      <c r="J201" s="207"/>
      <c r="K201" s="2">
        <f t="shared" si="22"/>
        <v>6420</v>
      </c>
      <c r="AE201" s="81"/>
    </row>
    <row r="202" spans="1:31">
      <c r="A202" s="1" t="s">
        <v>396</v>
      </c>
      <c r="B202" s="1"/>
      <c r="C202" s="203">
        <f t="shared" si="20"/>
        <v>2204</v>
      </c>
      <c r="D202" s="203">
        <f t="shared" si="20"/>
        <v>2283</v>
      </c>
      <c r="E202" s="223">
        <v>-30</v>
      </c>
      <c r="F202" s="205" t="s">
        <v>362</v>
      </c>
      <c r="G202" s="2">
        <f t="shared" si="21"/>
        <v>-661</v>
      </c>
      <c r="H202" s="2">
        <f t="shared" si="21"/>
        <v>-685</v>
      </c>
      <c r="I202" s="223">
        <f>$I$173</f>
        <v>-30</v>
      </c>
      <c r="J202" s="207" t="s">
        <v>362</v>
      </c>
      <c r="K202" s="2">
        <f t="shared" si="22"/>
        <v>-685</v>
      </c>
      <c r="AE202" s="81"/>
    </row>
    <row r="203" spans="1:31">
      <c r="A203" s="1" t="s">
        <v>369</v>
      </c>
      <c r="B203" s="148"/>
      <c r="C203" s="203">
        <f t="shared" si="20"/>
        <v>509414803</v>
      </c>
      <c r="D203" s="203">
        <f t="shared" si="20"/>
        <v>527850595.24192303</v>
      </c>
      <c r="E203" s="214"/>
      <c r="F203" s="2"/>
      <c r="G203" s="2">
        <f t="shared" si="21"/>
        <v>33288601</v>
      </c>
      <c r="H203" s="2">
        <f t="shared" si="21"/>
        <v>34452413</v>
      </c>
      <c r="I203" s="214"/>
      <c r="J203" s="207"/>
      <c r="K203" s="2">
        <f t="shared" si="22"/>
        <v>36706129</v>
      </c>
      <c r="AE203" s="81"/>
    </row>
    <row r="204" spans="1:31">
      <c r="A204" s="1" t="s">
        <v>351</v>
      </c>
      <c r="B204" s="231"/>
      <c r="C204" s="224">
        <f t="shared" si="20"/>
        <v>1731204.4322117302</v>
      </c>
      <c r="D204" s="224">
        <f t="shared" si="20"/>
        <v>0</v>
      </c>
      <c r="E204" s="193"/>
      <c r="F204" s="193"/>
      <c r="G204" s="225">
        <f t="shared" si="21"/>
        <v>97782.266337401146</v>
      </c>
      <c r="H204" s="225">
        <f t="shared" si="21"/>
        <v>0</v>
      </c>
      <c r="I204" s="193"/>
      <c r="J204" s="193"/>
      <c r="K204" s="225">
        <f t="shared" si="22"/>
        <v>0</v>
      </c>
      <c r="M204" s="173"/>
      <c r="N204" s="173"/>
      <c r="O204" s="174"/>
      <c r="AE204" s="81"/>
    </row>
    <row r="205" spans="1:31" ht="16.5" thickBot="1">
      <c r="A205" s="1" t="s">
        <v>370</v>
      </c>
      <c r="B205" s="1"/>
      <c r="C205" s="195">
        <f>SUM(C203:C204)</f>
        <v>511146007.43221176</v>
      </c>
      <c r="D205" s="195">
        <f>SUM(D203:D204)</f>
        <v>527850595.24192303</v>
      </c>
      <c r="E205" s="226"/>
      <c r="F205" s="227"/>
      <c r="G205" s="228">
        <f>G203+G204</f>
        <v>33386383.266337402</v>
      </c>
      <c r="H205" s="228">
        <f>H203+H204</f>
        <v>34452413</v>
      </c>
      <c r="I205" s="226"/>
      <c r="J205" s="229"/>
      <c r="K205" s="228">
        <f>K203+K204</f>
        <v>36706129</v>
      </c>
      <c r="M205" s="175"/>
      <c r="N205" s="175"/>
      <c r="O205" s="176"/>
      <c r="AE205" s="81"/>
    </row>
    <row r="206" spans="1:31" ht="16.5" thickTop="1">
      <c r="A206" s="1"/>
      <c r="B206" s="1"/>
      <c r="C206" s="21"/>
      <c r="D206" s="21"/>
      <c r="E206" s="221"/>
      <c r="F206" s="2"/>
      <c r="G206" s="2"/>
      <c r="H206" s="2"/>
      <c r="I206" s="221"/>
      <c r="J206" s="1"/>
      <c r="K206" s="2" t="s">
        <v>31</v>
      </c>
      <c r="AE206" s="81"/>
    </row>
    <row r="207" spans="1:31">
      <c r="A207" s="177" t="s">
        <v>375</v>
      </c>
      <c r="B207" s="1"/>
      <c r="C207" s="1"/>
      <c r="D207" s="1"/>
      <c r="E207" s="2"/>
      <c r="F207" s="2"/>
      <c r="G207" s="1" t="s">
        <v>31</v>
      </c>
      <c r="H207" s="1"/>
      <c r="I207" s="2"/>
      <c r="J207" s="1"/>
      <c r="K207" s="1"/>
      <c r="AE207" s="81"/>
    </row>
    <row r="208" spans="1:31">
      <c r="A208" s="1" t="s">
        <v>399</v>
      </c>
      <c r="B208" s="1"/>
      <c r="C208" s="1"/>
      <c r="D208" s="21"/>
      <c r="E208" s="2"/>
      <c r="F208" s="2"/>
      <c r="G208" s="1"/>
      <c r="H208" s="1"/>
      <c r="I208" s="2"/>
      <c r="J208" s="1"/>
      <c r="K208" s="1"/>
      <c r="AE208" s="81"/>
    </row>
    <row r="209" spans="1:31">
      <c r="A209" s="232" t="s">
        <v>400</v>
      </c>
      <c r="B209" s="1"/>
      <c r="C209" s="21"/>
      <c r="D209" s="21"/>
      <c r="E209" s="2"/>
      <c r="F209" s="2"/>
      <c r="G209" s="1"/>
      <c r="H209" s="1"/>
      <c r="I209" s="2"/>
      <c r="J209" s="1"/>
      <c r="K209" s="1"/>
      <c r="AE209" s="81"/>
    </row>
    <row r="210" spans="1:31">
      <c r="A210" s="1" t="s">
        <v>381</v>
      </c>
      <c r="B210" s="1"/>
      <c r="C210" s="203"/>
      <c r="D210" s="203"/>
      <c r="E210" s="2"/>
      <c r="F210" s="2"/>
      <c r="G210" s="1"/>
      <c r="H210" s="1"/>
      <c r="I210" s="2"/>
      <c r="J210" s="1"/>
      <c r="K210" s="1"/>
      <c r="AE210" s="81"/>
    </row>
    <row r="211" spans="1:31">
      <c r="A211" s="1" t="s">
        <v>378</v>
      </c>
      <c r="B211" s="1"/>
      <c r="C211" s="203">
        <f>31554+48+111709+1+8+12</f>
        <v>143332</v>
      </c>
      <c r="D211" s="203">
        <v>145099</v>
      </c>
      <c r="E211" s="182">
        <v>7</v>
      </c>
      <c r="F211" s="205"/>
      <c r="G211" s="2">
        <f>ROUND(E211*$C211,0)</f>
        <v>1003324</v>
      </c>
      <c r="H211" s="2">
        <f>ROUND(E211*$D211,0)</f>
        <v>1015693</v>
      </c>
      <c r="I211" s="182">
        <f>$I$153</f>
        <v>7.53</v>
      </c>
      <c r="J211" s="207"/>
      <c r="K211" s="2">
        <f>ROUND(I211*$D211,0)</f>
        <v>1092595</v>
      </c>
      <c r="AE211" s="81"/>
    </row>
    <row r="212" spans="1:31">
      <c r="A212" s="1" t="s">
        <v>379</v>
      </c>
      <c r="B212" s="1"/>
      <c r="C212" s="203">
        <f>12+7315+28+33+55+48042</f>
        <v>55485</v>
      </c>
      <c r="D212" s="203">
        <v>56165</v>
      </c>
      <c r="E212" s="182">
        <v>10.4</v>
      </c>
      <c r="F212" s="208"/>
      <c r="G212" s="2">
        <f>ROUND(E212*$C212,0)</f>
        <v>577044</v>
      </c>
      <c r="H212" s="2">
        <f>ROUND(E212*$D212,0)</f>
        <v>584116</v>
      </c>
      <c r="I212" s="182">
        <f>$I$154</f>
        <v>11.18</v>
      </c>
      <c r="J212" s="209"/>
      <c r="K212" s="2">
        <f>ROUND(I212*$D212,0)</f>
        <v>627925</v>
      </c>
      <c r="AE212" s="81"/>
    </row>
    <row r="213" spans="1:31">
      <c r="A213" s="1" t="s">
        <v>380</v>
      </c>
      <c r="B213" s="1"/>
      <c r="C213" s="203">
        <f>19153+70113+126+247835+559+301+676+759372</f>
        <v>1098135</v>
      </c>
      <c r="D213" s="203">
        <f>ROUND(($D$231/'Blocking - detail'!$C$231)*C213,0)</f>
        <v>1137546</v>
      </c>
      <c r="E213" s="182">
        <v>0.69</v>
      </c>
      <c r="F213" s="208"/>
      <c r="G213" s="2">
        <f>ROUND(E213*$C213,0)</f>
        <v>757713</v>
      </c>
      <c r="H213" s="2">
        <f>ROUND(E213*$D213,0)</f>
        <v>784907</v>
      </c>
      <c r="I213" s="182">
        <f>$I$155</f>
        <v>0.78</v>
      </c>
      <c r="J213" s="209"/>
      <c r="K213" s="2">
        <f>ROUND(I213*$D213,0)</f>
        <v>887286</v>
      </c>
      <c r="AE213" s="81"/>
    </row>
    <row r="214" spans="1:31">
      <c r="A214" s="1" t="s">
        <v>382</v>
      </c>
      <c r="B214" s="1"/>
      <c r="C214" s="203">
        <f>SUM(C211:C212)</f>
        <v>198817</v>
      </c>
      <c r="D214" s="203">
        <f>SUM(D211:D212)</f>
        <v>201264</v>
      </c>
      <c r="E214" s="182"/>
      <c r="F214" s="205"/>
      <c r="G214" s="2"/>
      <c r="H214" s="2"/>
      <c r="I214" s="182"/>
      <c r="J214" s="207"/>
      <c r="K214" s="2"/>
      <c r="AE214" s="81"/>
    </row>
    <row r="215" spans="1:31">
      <c r="A215" s="1" t="s">
        <v>383</v>
      </c>
      <c r="B215" s="1"/>
      <c r="C215" s="203">
        <f>11734+41601+80+143199+253+241+375+518943</f>
        <v>716426</v>
      </c>
      <c r="D215" s="203">
        <f>ROUND(($D$231/'Blocking - detail'!$C$231)*C215,0)</f>
        <v>742138</v>
      </c>
      <c r="E215" s="210">
        <v>2.81</v>
      </c>
      <c r="F215" s="207"/>
      <c r="G215" s="2">
        <f>ROUND(E215*$C215,0)</f>
        <v>2013157</v>
      </c>
      <c r="H215" s="2">
        <f>ROUND(E215*$D215,0)</f>
        <v>2085408</v>
      </c>
      <c r="I215" s="210">
        <f>$I$158</f>
        <v>2.88</v>
      </c>
      <c r="J215" s="207"/>
      <c r="K215" s="2">
        <f>ROUND(I215*$D215,0)</f>
        <v>2137357</v>
      </c>
      <c r="AE215" s="81"/>
    </row>
    <row r="216" spans="1:31">
      <c r="A216" s="1" t="s">
        <v>385</v>
      </c>
      <c r="B216" s="203"/>
      <c r="C216" s="203">
        <v>116624011.22139926</v>
      </c>
      <c r="D216" s="203">
        <f>ROUND(($D$231/$C$231)*C216,0)</f>
        <v>120809544</v>
      </c>
      <c r="E216" s="183">
        <v>7.5869999999999997</v>
      </c>
      <c r="F216" s="207" t="s">
        <v>362</v>
      </c>
      <c r="G216" s="2">
        <f>ROUND(E216*$C216/100,0)</f>
        <v>8848264</v>
      </c>
      <c r="H216" s="2">
        <f>ROUND(E216*$D216/100,0)</f>
        <v>9165820</v>
      </c>
      <c r="I216" s="183">
        <f>$I$159</f>
        <v>8.0890000000000004</v>
      </c>
      <c r="J216" s="207" t="s">
        <v>362</v>
      </c>
      <c r="K216" s="2">
        <f>ROUND(I216*$D216/100,0)</f>
        <v>9772284</v>
      </c>
      <c r="M216" s="102"/>
      <c r="N216" s="102"/>
      <c r="AE216" s="81"/>
    </row>
    <row r="217" spans="1:31">
      <c r="A217" s="1" t="s">
        <v>386</v>
      </c>
      <c r="B217" s="203"/>
      <c r="C217" s="203">
        <v>260410667.5731869</v>
      </c>
      <c r="D217" s="203">
        <f>ROUND(($D$231/'Blocking - detail'!$C$231)*C217,0)</f>
        <v>269756577</v>
      </c>
      <c r="E217" s="183">
        <v>5.2370000000000001</v>
      </c>
      <c r="F217" s="207" t="s">
        <v>362</v>
      </c>
      <c r="G217" s="2">
        <f>ROUND(E217*$C217/100,0)</f>
        <v>13637707</v>
      </c>
      <c r="H217" s="2">
        <f>ROUND(E217*$D217/100,0)</f>
        <v>14127152</v>
      </c>
      <c r="I217" s="183">
        <f>$I$160</f>
        <v>5.5839999999999996</v>
      </c>
      <c r="J217" s="207" t="s">
        <v>362</v>
      </c>
      <c r="K217" s="2">
        <f>ROUND(I217*$D217/100,0)</f>
        <v>15063207</v>
      </c>
      <c r="M217" s="102"/>
      <c r="N217" s="102"/>
      <c r="AE217" s="81"/>
    </row>
    <row r="218" spans="1:31">
      <c r="A218" s="1" t="s">
        <v>387</v>
      </c>
      <c r="B218" s="203"/>
      <c r="C218" s="203">
        <v>110681660.20541383</v>
      </c>
      <c r="D218" s="203">
        <f>ROUND(($D$231/'Blocking - detail'!$C$231)*C218,0)</f>
        <v>114653927</v>
      </c>
      <c r="E218" s="183">
        <v>4.5129999999999999</v>
      </c>
      <c r="F218" s="207" t="s">
        <v>362</v>
      </c>
      <c r="G218" s="2">
        <f>ROUND(E218*$C218/100,0)</f>
        <v>4995063</v>
      </c>
      <c r="H218" s="2">
        <f>ROUND(E218*$D218/100,0)</f>
        <v>5174332</v>
      </c>
      <c r="I218" s="183">
        <f>$I$161</f>
        <v>4.8100000000000005</v>
      </c>
      <c r="J218" s="207" t="s">
        <v>362</v>
      </c>
      <c r="K218" s="2">
        <f>ROUND(I218*$D218/100,0)</f>
        <v>5514854</v>
      </c>
      <c r="M218" s="102"/>
      <c r="N218" s="102"/>
      <c r="AE218" s="81"/>
    </row>
    <row r="219" spans="1:31">
      <c r="A219" s="1" t="s">
        <v>388</v>
      </c>
      <c r="B219" s="21"/>
      <c r="C219" s="203">
        <f>1+8573+480+2+1+2328+61584</f>
        <v>72969</v>
      </c>
      <c r="D219" s="203">
        <f>ROUND(($D$231/'Blocking - detail'!$C$231)*C219,0)</f>
        <v>75588</v>
      </c>
      <c r="E219" s="214">
        <v>45</v>
      </c>
      <c r="F219" s="205" t="s">
        <v>362</v>
      </c>
      <c r="G219" s="2">
        <f>ROUND(E219*$C219/100,0)</f>
        <v>32836</v>
      </c>
      <c r="H219" s="2">
        <f>ROUND(E219*$D219/100,0)</f>
        <v>34015</v>
      </c>
      <c r="I219" s="214">
        <f>$I$162</f>
        <v>45</v>
      </c>
      <c r="J219" s="207" t="s">
        <v>362</v>
      </c>
      <c r="K219" s="2">
        <f>ROUND(I219*$D219/100,0)</f>
        <v>34015</v>
      </c>
      <c r="AE219" s="81"/>
    </row>
    <row r="220" spans="1:31">
      <c r="A220" s="215" t="s">
        <v>389</v>
      </c>
      <c r="B220" s="21"/>
      <c r="C220" s="203"/>
      <c r="D220" s="203"/>
      <c r="E220" s="216">
        <v>-0.01</v>
      </c>
      <c r="F220" s="205"/>
      <c r="G220" s="2"/>
      <c r="H220" s="2"/>
      <c r="I220" s="216">
        <f>$I$163</f>
        <v>-0.01</v>
      </c>
      <c r="J220" s="207"/>
      <c r="K220" s="2"/>
      <c r="AE220" s="81"/>
    </row>
    <row r="221" spans="1:31">
      <c r="A221" s="1" t="s">
        <v>378</v>
      </c>
      <c r="B221" s="1"/>
      <c r="C221" s="203">
        <f>48</f>
        <v>48</v>
      </c>
      <c r="D221" s="203">
        <v>49</v>
      </c>
      <c r="E221" s="218">
        <f>E211</f>
        <v>7</v>
      </c>
      <c r="F221" s="205"/>
      <c r="G221" s="2">
        <f>-ROUND(E221*$C221/100,0)</f>
        <v>-3</v>
      </c>
      <c r="H221" s="2">
        <f>-ROUND(E221*$D221/100,0)</f>
        <v>-3</v>
      </c>
      <c r="I221" s="218">
        <f>I211</f>
        <v>7.53</v>
      </c>
      <c r="J221" s="205"/>
      <c r="K221" s="2">
        <f>-ROUND(I221*$D221/100,0)</f>
        <v>-4</v>
      </c>
      <c r="AE221" s="81"/>
    </row>
    <row r="222" spans="1:31">
      <c r="A222" s="1" t="s">
        <v>379</v>
      </c>
      <c r="B222" s="1"/>
      <c r="C222" s="203">
        <f>33+55</f>
        <v>88</v>
      </c>
      <c r="D222" s="203">
        <v>89</v>
      </c>
      <c r="E222" s="218">
        <f>E212</f>
        <v>10.4</v>
      </c>
      <c r="F222" s="205"/>
      <c r="G222" s="2">
        <f>-ROUND(E222*$C222/100,0)</f>
        <v>-9</v>
      </c>
      <c r="H222" s="2">
        <f>-ROUND(E222*$D222/100,0)</f>
        <v>-9</v>
      </c>
      <c r="I222" s="218">
        <f>I212</f>
        <v>11.18</v>
      </c>
      <c r="J222" s="205"/>
      <c r="K222" s="2">
        <f>-ROUND(I222*$D222/100,0)</f>
        <v>-10</v>
      </c>
      <c r="AE222" s="81"/>
    </row>
    <row r="223" spans="1:31">
      <c r="A223" s="1" t="s">
        <v>390</v>
      </c>
      <c r="B223" s="1"/>
      <c r="C223" s="203">
        <f>465+347+918</f>
        <v>1730</v>
      </c>
      <c r="D223" s="203">
        <f>ROUND(($D$231/'Blocking - detail'!$C$231)*C223,0)</f>
        <v>1792</v>
      </c>
      <c r="E223" s="218">
        <f>E213</f>
        <v>0.69</v>
      </c>
      <c r="F223" s="205"/>
      <c r="G223" s="2">
        <f>-ROUND(E223*$C223/100,0)</f>
        <v>-12</v>
      </c>
      <c r="H223" s="2">
        <f>-ROUND(E223*$D223/100,0)</f>
        <v>-12</v>
      </c>
      <c r="I223" s="218">
        <f>I213</f>
        <v>0.78</v>
      </c>
      <c r="J223" s="205"/>
      <c r="K223" s="2">
        <f>-ROUND(I223*$D223/100,0)</f>
        <v>-14</v>
      </c>
      <c r="AE223" s="81"/>
    </row>
    <row r="224" spans="1:31">
      <c r="A224" s="1" t="s">
        <v>401</v>
      </c>
      <c r="B224" s="1"/>
      <c r="C224" s="203">
        <f>80+241+375</f>
        <v>696</v>
      </c>
      <c r="D224" s="203">
        <f>ROUND(($D$231/'Blocking - detail'!$C$231)*C224,0)</f>
        <v>721</v>
      </c>
      <c r="E224" s="218">
        <f>E215</f>
        <v>2.81</v>
      </c>
      <c r="F224" s="207"/>
      <c r="G224" s="2">
        <f>-ROUND(E224*$C224/100,0)</f>
        <v>-20</v>
      </c>
      <c r="H224" s="2">
        <f>-ROUND(E224*$D224/100,0)</f>
        <v>-20</v>
      </c>
      <c r="I224" s="218">
        <f>I215</f>
        <v>2.88</v>
      </c>
      <c r="J224" s="207"/>
      <c r="K224" s="2">
        <f>-ROUND(I224*$D224/100,0)</f>
        <v>-21</v>
      </c>
      <c r="AE224" s="81"/>
    </row>
    <row r="225" spans="1:31">
      <c r="A225" s="1" t="s">
        <v>393</v>
      </c>
      <c r="B225" s="1"/>
      <c r="C225" s="203">
        <f>48100+13460+19000</f>
        <v>80560</v>
      </c>
      <c r="D225" s="203">
        <f>ROUND(($D$231/'Blocking - detail'!$C$231)*C225,0)</f>
        <v>83451</v>
      </c>
      <c r="E225" s="219">
        <f>E216</f>
        <v>7.5869999999999997</v>
      </c>
      <c r="F225" s="207" t="s">
        <v>362</v>
      </c>
      <c r="G225" s="2">
        <f>ROUND(E225*$C225/100*E220,0)</f>
        <v>-61</v>
      </c>
      <c r="H225" s="2">
        <f>ROUND(E225*$D225/100*E220,0)</f>
        <v>-63</v>
      </c>
      <c r="I225" s="219">
        <f>I216</f>
        <v>8.0890000000000004</v>
      </c>
      <c r="J225" s="207" t="s">
        <v>362</v>
      </c>
      <c r="K225" s="2">
        <f>ROUND(I225*$D225/100*I220,0)</f>
        <v>-68</v>
      </c>
      <c r="AE225" s="81"/>
    </row>
    <row r="226" spans="1:31">
      <c r="A226" s="1" t="s">
        <v>386</v>
      </c>
      <c r="B226" s="1"/>
      <c r="C226" s="203">
        <f>90010+71720+85700</f>
        <v>247430</v>
      </c>
      <c r="D226" s="203">
        <f>ROUND(($D$231/'Blocking - detail'!$C$231)*C226,0)</f>
        <v>256310</v>
      </c>
      <c r="E226" s="219">
        <f>E217</f>
        <v>5.2370000000000001</v>
      </c>
      <c r="F226" s="207" t="s">
        <v>362</v>
      </c>
      <c r="G226" s="2">
        <f>ROUND(E226*$C226/100*E220,0)</f>
        <v>-130</v>
      </c>
      <c r="H226" s="2">
        <f>ROUND(E226*$D226/100*E220,0)</f>
        <v>-134</v>
      </c>
      <c r="I226" s="219">
        <f>I217</f>
        <v>5.5839999999999996</v>
      </c>
      <c r="J226" s="207" t="s">
        <v>362</v>
      </c>
      <c r="K226" s="2">
        <f>ROUND(I226*$D226/100*I220,0)</f>
        <v>-143</v>
      </c>
      <c r="N226" s="3" t="s">
        <v>31</v>
      </c>
      <c r="AE226" s="81"/>
    </row>
    <row r="227" spans="1:31">
      <c r="A227" s="1" t="s">
        <v>387</v>
      </c>
      <c r="B227" s="1"/>
      <c r="C227" s="203">
        <f>138110+124140+112440-C225-C226</f>
        <v>46700</v>
      </c>
      <c r="D227" s="203">
        <f>ROUND(($D$231/'Blocking - detail'!$C$231)*C227,0)</f>
        <v>48376</v>
      </c>
      <c r="E227" s="219">
        <f>E218</f>
        <v>4.5129999999999999</v>
      </c>
      <c r="F227" s="207" t="s">
        <v>362</v>
      </c>
      <c r="G227" s="2">
        <f>ROUND(E227*$C227/100*E220,0)</f>
        <v>-21</v>
      </c>
      <c r="H227" s="2">
        <f>ROUND(E227*$D227/100*E220,0)</f>
        <v>-22</v>
      </c>
      <c r="I227" s="219">
        <f>I218</f>
        <v>4.8100000000000005</v>
      </c>
      <c r="J227" s="207" t="s">
        <v>362</v>
      </c>
      <c r="K227" s="2">
        <f>ROUND(I227*$D227/100*I220,0)</f>
        <v>-23</v>
      </c>
      <c r="AE227" s="81"/>
    </row>
    <row r="228" spans="1:31">
      <c r="A228" s="1" t="s">
        <v>388</v>
      </c>
      <c r="B228" s="1"/>
      <c r="C228" s="203">
        <f>1+2328</f>
        <v>2329</v>
      </c>
      <c r="D228" s="203">
        <f>ROUND(($D$231/'Blocking - detail'!$C$231)*C228,0)</f>
        <v>2413</v>
      </c>
      <c r="E228" s="220">
        <f>E219</f>
        <v>45</v>
      </c>
      <c r="F228" s="207" t="s">
        <v>362</v>
      </c>
      <c r="G228" s="2">
        <f>ROUND(E228*$C228/100*E220,0)</f>
        <v>-10</v>
      </c>
      <c r="H228" s="2">
        <f>ROUND(E228*$D228/100*E220,0)</f>
        <v>-11</v>
      </c>
      <c r="I228" s="220">
        <f>I219</f>
        <v>45</v>
      </c>
      <c r="J228" s="207" t="s">
        <v>362</v>
      </c>
      <c r="K228" s="2">
        <f>ROUND(I228*$D228/100*I220,0)</f>
        <v>-11</v>
      </c>
      <c r="AE228" s="81"/>
    </row>
    <row r="229" spans="1:31">
      <c r="A229" s="1" t="s">
        <v>395</v>
      </c>
      <c r="B229" s="1"/>
      <c r="C229" s="203">
        <f>48+55</f>
        <v>103</v>
      </c>
      <c r="D229" s="203">
        <f>ROUND(($D$231/'Blocking - detail'!$C$231)*C229,0)</f>
        <v>107</v>
      </c>
      <c r="E229" s="221">
        <v>60</v>
      </c>
      <c r="F229" s="205"/>
      <c r="G229" s="2">
        <f>ROUND(E229*$C229,0)</f>
        <v>6180</v>
      </c>
      <c r="H229" s="2">
        <f>ROUND(E229*$D229,0)</f>
        <v>6420</v>
      </c>
      <c r="I229" s="221">
        <f>$I$172</f>
        <v>60</v>
      </c>
      <c r="J229" s="207"/>
      <c r="K229" s="2">
        <f>ROUND(I229*$D229,0)</f>
        <v>6420</v>
      </c>
      <c r="AE229" s="81"/>
    </row>
    <row r="230" spans="1:31">
      <c r="A230" s="1" t="s">
        <v>396</v>
      </c>
      <c r="B230" s="1"/>
      <c r="C230" s="203">
        <f>84+465+737+918</f>
        <v>2204</v>
      </c>
      <c r="D230" s="203">
        <f>ROUND(($D$231/'Blocking - detail'!$C$231)*C230,0)</f>
        <v>2283</v>
      </c>
      <c r="E230" s="223">
        <v>-30</v>
      </c>
      <c r="F230" s="205" t="s">
        <v>362</v>
      </c>
      <c r="G230" s="2">
        <f>ROUND(E230*$C230/100,0)</f>
        <v>-661</v>
      </c>
      <c r="H230" s="2">
        <f>ROUND(E230*$D230/100,0)</f>
        <v>-685</v>
      </c>
      <c r="I230" s="223">
        <f>$I$173</f>
        <v>-30</v>
      </c>
      <c r="J230" s="207" t="s">
        <v>362</v>
      </c>
      <c r="K230" s="2">
        <f>ROUND(I230*$D230/100,0)</f>
        <v>-685</v>
      </c>
      <c r="AE230" s="81"/>
    </row>
    <row r="231" spans="1:31">
      <c r="A231" s="1" t="s">
        <v>369</v>
      </c>
      <c r="B231" s="191"/>
      <c r="C231" s="203">
        <f>SUM(C216:C218)</f>
        <v>487716339</v>
      </c>
      <c r="D231" s="203">
        <v>505220047.82638693</v>
      </c>
      <c r="E231" s="214"/>
      <c r="F231" s="2"/>
      <c r="G231" s="2">
        <f>SUM(G211:G230)</f>
        <v>31870361</v>
      </c>
      <c r="H231" s="2">
        <f>SUM(H211:H230)</f>
        <v>32976904</v>
      </c>
      <c r="I231" s="214"/>
      <c r="J231" s="207"/>
      <c r="K231" s="2">
        <f>SUM(K211:K230)</f>
        <v>35134964</v>
      </c>
      <c r="M231" s="81"/>
      <c r="N231" s="81"/>
      <c r="AE231" s="81"/>
    </row>
    <row r="232" spans="1:31">
      <c r="A232" s="1" t="s">
        <v>351</v>
      </c>
      <c r="B232" s="1"/>
      <c r="C232" s="233">
        <v>2221504.1418108731</v>
      </c>
      <c r="D232" s="224">
        <v>0</v>
      </c>
      <c r="E232" s="193"/>
      <c r="F232" s="193"/>
      <c r="G232" s="225">
        <v>124957.07854881753</v>
      </c>
      <c r="H232" s="225">
        <v>0</v>
      </c>
      <c r="I232" s="193"/>
      <c r="J232" s="193"/>
      <c r="K232" s="225">
        <v>0</v>
      </c>
      <c r="M232" s="173"/>
      <c r="N232" s="173"/>
      <c r="O232" s="174"/>
      <c r="AE232" s="81"/>
    </row>
    <row r="233" spans="1:31" ht="16.5" thickBot="1">
      <c r="A233" s="1" t="s">
        <v>370</v>
      </c>
      <c r="B233" s="1"/>
      <c r="C233" s="195">
        <f>SUM(C231:C232)</f>
        <v>489937843.14181089</v>
      </c>
      <c r="D233" s="195">
        <f>SUM(D231:D232)</f>
        <v>505220047.82638693</v>
      </c>
      <c r="E233" s="226"/>
      <c r="F233" s="227"/>
      <c r="G233" s="228">
        <f>G231+G232</f>
        <v>31995318.078548819</v>
      </c>
      <c r="H233" s="228">
        <f>H231+H232</f>
        <v>32976904</v>
      </c>
      <c r="I233" s="226"/>
      <c r="J233" s="229"/>
      <c r="K233" s="228">
        <f>K231+K232</f>
        <v>35134964</v>
      </c>
      <c r="M233" s="175"/>
      <c r="N233" s="175"/>
      <c r="O233" s="176"/>
      <c r="AE233" s="81"/>
    </row>
    <row r="234" spans="1:31" ht="16.5" thickTop="1">
      <c r="A234" s="1"/>
      <c r="B234" s="1"/>
      <c r="C234" s="21"/>
      <c r="D234" s="21"/>
      <c r="E234" s="221"/>
      <c r="F234" s="2"/>
      <c r="G234" s="2"/>
      <c r="H234" s="2"/>
      <c r="I234" s="221"/>
      <c r="J234" s="1"/>
      <c r="K234" s="2" t="s">
        <v>31</v>
      </c>
      <c r="AE234" s="81"/>
    </row>
    <row r="235" spans="1:31">
      <c r="A235" s="177" t="s">
        <v>375</v>
      </c>
      <c r="B235" s="1"/>
      <c r="C235" s="1"/>
      <c r="D235" s="1"/>
      <c r="E235" s="2"/>
      <c r="F235" s="2"/>
      <c r="G235" s="1" t="s">
        <v>31</v>
      </c>
      <c r="H235" s="1"/>
      <c r="I235" s="2"/>
      <c r="J235" s="1"/>
      <c r="K235" s="1"/>
      <c r="AE235" s="81"/>
    </row>
    <row r="236" spans="1:31">
      <c r="A236" s="1" t="s">
        <v>402</v>
      </c>
      <c r="B236" s="1"/>
      <c r="C236" s="21"/>
      <c r="D236" s="1"/>
      <c r="E236" s="2"/>
      <c r="F236" s="2"/>
      <c r="G236" s="1"/>
      <c r="H236" s="1"/>
      <c r="I236" s="2"/>
      <c r="J236" s="1"/>
      <c r="K236" s="1"/>
      <c r="AE236" s="81"/>
    </row>
    <row r="237" spans="1:31">
      <c r="A237" s="1"/>
      <c r="B237" s="1"/>
      <c r="C237" s="1"/>
      <c r="D237" s="1"/>
      <c r="E237" s="2"/>
      <c r="F237" s="2"/>
      <c r="G237" s="1"/>
      <c r="H237" s="1"/>
      <c r="I237" s="2"/>
      <c r="J237" s="1"/>
      <c r="K237" s="1"/>
      <c r="AE237" s="81"/>
    </row>
    <row r="238" spans="1:31">
      <c r="A238" s="1" t="s">
        <v>381</v>
      </c>
      <c r="B238" s="1"/>
      <c r="C238" s="203"/>
      <c r="D238" s="203"/>
      <c r="E238" s="2"/>
      <c r="F238" s="2"/>
      <c r="G238" s="1"/>
      <c r="H238" s="1"/>
      <c r="I238" s="2"/>
      <c r="J238" s="1"/>
      <c r="K238" s="1"/>
      <c r="AE238" s="81"/>
    </row>
    <row r="239" spans="1:31">
      <c r="A239" s="1" t="s">
        <v>378</v>
      </c>
      <c r="B239" s="1"/>
      <c r="C239" s="203">
        <f>596+1770</f>
        <v>2366</v>
      </c>
      <c r="D239" s="203">
        <f>ROUND(($D$242/'Blocking - detail'!$C$242)*C239,0)</f>
        <v>2305</v>
      </c>
      <c r="E239" s="182">
        <v>7</v>
      </c>
      <c r="F239" s="205"/>
      <c r="G239" s="2">
        <f>ROUND(E239*$C239,0)</f>
        <v>16562</v>
      </c>
      <c r="H239" s="2">
        <f>ROUND(E239*$D239,0)</f>
        <v>16135</v>
      </c>
      <c r="I239" s="182">
        <f>$I$153</f>
        <v>7.53</v>
      </c>
      <c r="J239" s="207"/>
      <c r="K239" s="2">
        <f>ROUND(I239*$D239,0)</f>
        <v>17357</v>
      </c>
      <c r="AE239" s="81"/>
    </row>
    <row r="240" spans="1:31">
      <c r="A240" s="1" t="s">
        <v>379</v>
      </c>
      <c r="B240" s="1"/>
      <c r="C240" s="203">
        <f>740+2769</f>
        <v>3509</v>
      </c>
      <c r="D240" s="203">
        <f>ROUND(($D$242/'Blocking - detail'!$C$242)*C240,0)</f>
        <v>3418</v>
      </c>
      <c r="E240" s="182">
        <v>10.4</v>
      </c>
      <c r="F240" s="208"/>
      <c r="G240" s="2">
        <f>ROUND(E240*$C240,0)</f>
        <v>36494</v>
      </c>
      <c r="H240" s="2">
        <f>ROUND(E240*$D240,0)</f>
        <v>35547</v>
      </c>
      <c r="I240" s="182">
        <f>$I$154</f>
        <v>11.18</v>
      </c>
      <c r="J240" s="209"/>
      <c r="K240" s="2">
        <f>ROUND(I240*$D240,0)</f>
        <v>38213</v>
      </c>
      <c r="AE240" s="81"/>
    </row>
    <row r="241" spans="1:31">
      <c r="A241" s="1" t="s">
        <v>380</v>
      </c>
      <c r="B241" s="1"/>
      <c r="C241" s="203">
        <f>920+13828+3166+56636</f>
        <v>74550</v>
      </c>
      <c r="D241" s="203">
        <f>ROUND(($D$259/$C$259)*C241,0)</f>
        <v>77752</v>
      </c>
      <c r="E241" s="182">
        <v>0.69</v>
      </c>
      <c r="F241" s="208"/>
      <c r="G241" s="2">
        <f>ROUND(E241*$C241,0)</f>
        <v>51440</v>
      </c>
      <c r="H241" s="2">
        <f>ROUND(E241*$D241,0)</f>
        <v>53649</v>
      </c>
      <c r="I241" s="182">
        <f>$I$155</f>
        <v>0.78</v>
      </c>
      <c r="J241" s="209"/>
      <c r="K241" s="2">
        <f>ROUND(I241*$D241,0)</f>
        <v>60647</v>
      </c>
      <c r="AE241" s="81"/>
    </row>
    <row r="242" spans="1:31">
      <c r="A242" s="1" t="s">
        <v>382</v>
      </c>
      <c r="B242" s="1"/>
      <c r="C242" s="203">
        <f>SUM(C239:C240)</f>
        <v>5875</v>
      </c>
      <c r="D242" s="203">
        <v>5723</v>
      </c>
      <c r="E242" s="182"/>
      <c r="F242" s="205"/>
      <c r="G242" s="2"/>
      <c r="H242" s="2"/>
      <c r="I242" s="182"/>
      <c r="J242" s="207"/>
      <c r="K242" s="2"/>
      <c r="AE242" s="81"/>
    </row>
    <row r="243" spans="1:31">
      <c r="A243" s="1" t="s">
        <v>383</v>
      </c>
      <c r="B243" s="1"/>
      <c r="C243" s="203">
        <f>556+5026+1612+37282</f>
        <v>44476</v>
      </c>
      <c r="D243" s="203">
        <f>ROUND(($D$259/$C$259)*C243,0)</f>
        <v>46387</v>
      </c>
      <c r="E243" s="210">
        <v>2.81</v>
      </c>
      <c r="F243" s="207"/>
      <c r="G243" s="2">
        <f>ROUND(E243*$C243,0)</f>
        <v>124978</v>
      </c>
      <c r="H243" s="2">
        <f>ROUND(E243*$D243,0)</f>
        <v>130347</v>
      </c>
      <c r="I243" s="210">
        <f>$I$158</f>
        <v>2.88</v>
      </c>
      <c r="J243" s="207"/>
      <c r="K243" s="2">
        <f>ROUND(I243*$D243,0)</f>
        <v>133595</v>
      </c>
      <c r="AE243" s="81"/>
    </row>
    <row r="244" spans="1:31">
      <c r="A244" s="1" t="s">
        <v>385</v>
      </c>
      <c r="B244" s="1"/>
      <c r="C244" s="203">
        <f>224214+423982+989891+2211727</f>
        <v>3849814</v>
      </c>
      <c r="D244" s="203">
        <f>ROUND(($D$259/$C$259)*C244,0)</f>
        <v>4015187</v>
      </c>
      <c r="E244" s="183">
        <v>7.5869999999999997</v>
      </c>
      <c r="F244" s="207" t="s">
        <v>362</v>
      </c>
      <c r="G244" s="2">
        <f>ROUND(E244*$C244/100,0)</f>
        <v>292085</v>
      </c>
      <c r="H244" s="2">
        <f>ROUND(E244*$D244/100,0)</f>
        <v>304632</v>
      </c>
      <c r="I244" s="183">
        <f>$I$159</f>
        <v>8.0890000000000004</v>
      </c>
      <c r="J244" s="207" t="s">
        <v>362</v>
      </c>
      <c r="K244" s="2">
        <f>ROUND(I244*$D244/100,0)</f>
        <v>324788</v>
      </c>
      <c r="AE244" s="81"/>
    </row>
    <row r="245" spans="1:31">
      <c r="A245" s="1" t="s">
        <v>386</v>
      </c>
      <c r="B245" s="1"/>
      <c r="C245" s="203">
        <f>333291+1119888+1597472+8605642</f>
        <v>11656293</v>
      </c>
      <c r="D245" s="203">
        <f>ROUND(($D$259/$C$259)*C245,0)</f>
        <v>12157003</v>
      </c>
      <c r="E245" s="183">
        <v>5.2370000000000001</v>
      </c>
      <c r="F245" s="207" t="s">
        <v>362</v>
      </c>
      <c r="G245" s="2">
        <f>ROUND(E245*$C245/100,0)</f>
        <v>610440</v>
      </c>
      <c r="H245" s="2">
        <f>ROUND(E245*$D245/100,0)</f>
        <v>636662</v>
      </c>
      <c r="I245" s="183">
        <f>$I$160</f>
        <v>5.5839999999999996</v>
      </c>
      <c r="J245" s="207" t="s">
        <v>362</v>
      </c>
      <c r="K245" s="2">
        <f>ROUND(I245*$D245/100,0)</f>
        <v>678847</v>
      </c>
      <c r="AE245" s="81"/>
    </row>
    <row r="246" spans="1:31">
      <c r="A246" s="1" t="s">
        <v>387</v>
      </c>
      <c r="B246" s="1"/>
      <c r="C246" s="203">
        <f>622235+2212640+2732130+16131459-C244-C245</f>
        <v>6192357</v>
      </c>
      <c r="D246" s="203">
        <f>ROUND(($D$259/$C$259)*C246,0)</f>
        <v>6458357</v>
      </c>
      <c r="E246" s="183">
        <v>4.5129999999999999</v>
      </c>
      <c r="F246" s="207" t="s">
        <v>362</v>
      </c>
      <c r="G246" s="2">
        <f>ROUND(E246*$C246/100,0)</f>
        <v>279461</v>
      </c>
      <c r="H246" s="2">
        <f>ROUND(E246*$D246/100,0)</f>
        <v>291466</v>
      </c>
      <c r="I246" s="183">
        <f>$I$161</f>
        <v>4.8100000000000005</v>
      </c>
      <c r="J246" s="207" t="s">
        <v>362</v>
      </c>
      <c r="K246" s="2">
        <f>ROUND(I246*$D246/100,0)</f>
        <v>310647</v>
      </c>
      <c r="AE246" s="81"/>
    </row>
    <row r="247" spans="1:31">
      <c r="A247" s="1" t="s">
        <v>388</v>
      </c>
      <c r="B247" s="1"/>
      <c r="C247" s="203">
        <f>2718+12348</f>
        <v>15066</v>
      </c>
      <c r="D247" s="203">
        <f>ROUND(($D$259/$C$259)*C247,0)</f>
        <v>15713</v>
      </c>
      <c r="E247" s="214">
        <v>45</v>
      </c>
      <c r="F247" s="205" t="s">
        <v>362</v>
      </c>
      <c r="G247" s="2">
        <f>ROUND(E247*$C247/100,0)</f>
        <v>6780</v>
      </c>
      <c r="H247" s="2">
        <f>ROUND(E247*$D247/100,0)</f>
        <v>7071</v>
      </c>
      <c r="I247" s="214">
        <f>$I$162</f>
        <v>45</v>
      </c>
      <c r="J247" s="207" t="s">
        <v>362</v>
      </c>
      <c r="K247" s="2">
        <f>ROUND(I247*$D247/100,0)</f>
        <v>7071</v>
      </c>
      <c r="AE247" s="81"/>
    </row>
    <row r="248" spans="1:31">
      <c r="A248" s="215" t="s">
        <v>389</v>
      </c>
      <c r="B248" s="1"/>
      <c r="C248" s="203"/>
      <c r="D248" s="203"/>
      <c r="E248" s="216">
        <v>-0.01</v>
      </c>
      <c r="F248" s="205"/>
      <c r="G248" s="2"/>
      <c r="H248" s="2"/>
      <c r="I248" s="216">
        <f>$I$163</f>
        <v>-0.01</v>
      </c>
      <c r="J248" s="207"/>
      <c r="K248" s="2"/>
      <c r="AE248" s="81"/>
    </row>
    <row r="249" spans="1:31">
      <c r="A249" s="1" t="s">
        <v>378</v>
      </c>
      <c r="B249" s="1"/>
      <c r="C249" s="203">
        <v>0</v>
      </c>
      <c r="D249" s="203">
        <f t="shared" ref="D249:D258" si="23">ROUND(($D$259/$C$259)*C249,0)</f>
        <v>0</v>
      </c>
      <c r="E249" s="218">
        <f>E239</f>
        <v>7</v>
      </c>
      <c r="F249" s="205"/>
      <c r="G249" s="2">
        <f>-ROUND(E249*$C249/100,0)</f>
        <v>0</v>
      </c>
      <c r="H249" s="2">
        <f>-ROUND(E249*$D249/100,0)</f>
        <v>0</v>
      </c>
      <c r="I249" s="218">
        <f>I239</f>
        <v>7.53</v>
      </c>
      <c r="J249" s="205"/>
      <c r="K249" s="2">
        <f>-ROUND(I249*$D249/100,0)</f>
        <v>0</v>
      </c>
      <c r="AE249" s="81"/>
    </row>
    <row r="250" spans="1:31">
      <c r="A250" s="1" t="s">
        <v>379</v>
      </c>
      <c r="B250" s="1"/>
      <c r="C250" s="203">
        <v>0</v>
      </c>
      <c r="D250" s="203">
        <f t="shared" si="23"/>
        <v>0</v>
      </c>
      <c r="E250" s="218">
        <f>E240</f>
        <v>10.4</v>
      </c>
      <c r="F250" s="205"/>
      <c r="G250" s="2">
        <f>-ROUND(E250*$C250/100,0)</f>
        <v>0</v>
      </c>
      <c r="H250" s="2">
        <f>-ROUND(E250*$D250/100,0)</f>
        <v>0</v>
      </c>
      <c r="I250" s="218">
        <f>I240</f>
        <v>11.18</v>
      </c>
      <c r="J250" s="205"/>
      <c r="K250" s="2">
        <f>-ROUND(I250*$D250/100,0)</f>
        <v>0</v>
      </c>
      <c r="AE250" s="81"/>
    </row>
    <row r="251" spans="1:31">
      <c r="A251" s="1" t="s">
        <v>390</v>
      </c>
      <c r="B251" s="1"/>
      <c r="C251" s="203">
        <v>0</v>
      </c>
      <c r="D251" s="203">
        <f t="shared" si="23"/>
        <v>0</v>
      </c>
      <c r="E251" s="218">
        <f>E241</f>
        <v>0.69</v>
      </c>
      <c r="F251" s="205"/>
      <c r="G251" s="2">
        <f>-ROUND(E251*$C251/100,0)</f>
        <v>0</v>
      </c>
      <c r="H251" s="2">
        <f>-ROUND(E251*$D251/100,0)</f>
        <v>0</v>
      </c>
      <c r="I251" s="218">
        <f>I241</f>
        <v>0.78</v>
      </c>
      <c r="J251" s="205"/>
      <c r="K251" s="2">
        <f>-ROUND(I251*$D251/100,0)</f>
        <v>0</v>
      </c>
      <c r="AE251" s="81"/>
    </row>
    <row r="252" spans="1:31">
      <c r="A252" s="1" t="s">
        <v>391</v>
      </c>
      <c r="B252" s="1"/>
      <c r="C252" s="203">
        <v>0</v>
      </c>
      <c r="D252" s="203">
        <f t="shared" si="23"/>
        <v>0</v>
      </c>
      <c r="E252" s="218">
        <f>E243</f>
        <v>2.81</v>
      </c>
      <c r="F252" s="207"/>
      <c r="G252" s="2">
        <f>-ROUND(E252*$C252/100,0)</f>
        <v>0</v>
      </c>
      <c r="H252" s="2">
        <f>-ROUND(E252*$D252/100,0)</f>
        <v>0</v>
      </c>
      <c r="I252" s="218">
        <f>I243</f>
        <v>2.88</v>
      </c>
      <c r="J252" s="207"/>
      <c r="K252" s="2">
        <f>-ROUND(I252*$D252/100,0)</f>
        <v>0</v>
      </c>
      <c r="AE252" s="81"/>
    </row>
    <row r="253" spans="1:31">
      <c r="A253" s="1" t="s">
        <v>393</v>
      </c>
      <c r="B253" s="1"/>
      <c r="C253" s="203">
        <v>0</v>
      </c>
      <c r="D253" s="203">
        <f t="shared" si="23"/>
        <v>0</v>
      </c>
      <c r="E253" s="219">
        <f>E244</f>
        <v>7.5869999999999997</v>
      </c>
      <c r="F253" s="207" t="s">
        <v>362</v>
      </c>
      <c r="G253" s="2">
        <f>ROUND(E253*$C253/100*E248,0)</f>
        <v>0</v>
      </c>
      <c r="H253" s="2">
        <f>ROUND(E253*$D253/100*E248,0)</f>
        <v>0</v>
      </c>
      <c r="I253" s="219">
        <f>I244</f>
        <v>8.0890000000000004</v>
      </c>
      <c r="J253" s="207" t="s">
        <v>362</v>
      </c>
      <c r="K253" s="2">
        <f>ROUND(I253*$D253/100*I248,0)</f>
        <v>0</v>
      </c>
      <c r="AE253" s="81"/>
    </row>
    <row r="254" spans="1:31">
      <c r="A254" s="1" t="s">
        <v>386</v>
      </c>
      <c r="B254" s="1"/>
      <c r="C254" s="203">
        <v>0</v>
      </c>
      <c r="D254" s="203">
        <f t="shared" si="23"/>
        <v>0</v>
      </c>
      <c r="E254" s="219">
        <f>E245</f>
        <v>5.2370000000000001</v>
      </c>
      <c r="F254" s="207" t="s">
        <v>362</v>
      </c>
      <c r="G254" s="2">
        <f>ROUND(E254*$C254/100*E248,0)</f>
        <v>0</v>
      </c>
      <c r="H254" s="2">
        <f>ROUND(E254*$D254/100*E248,0)</f>
        <v>0</v>
      </c>
      <c r="I254" s="219">
        <f>I245</f>
        <v>5.5839999999999996</v>
      </c>
      <c r="J254" s="207" t="s">
        <v>362</v>
      </c>
      <c r="K254" s="2">
        <f>ROUND(I254*$D254/100*I248,0)</f>
        <v>0</v>
      </c>
      <c r="AE254" s="81"/>
    </row>
    <row r="255" spans="1:31">
      <c r="A255" s="1" t="s">
        <v>387</v>
      </c>
      <c r="B255" s="1"/>
      <c r="C255" s="203">
        <v>0</v>
      </c>
      <c r="D255" s="203">
        <f t="shared" si="23"/>
        <v>0</v>
      </c>
      <c r="E255" s="219">
        <f>E246</f>
        <v>4.5129999999999999</v>
      </c>
      <c r="F255" s="207" t="s">
        <v>362</v>
      </c>
      <c r="G255" s="2">
        <f>ROUND(E255*$C255/100*E248,0)</f>
        <v>0</v>
      </c>
      <c r="H255" s="2">
        <f>ROUND(E255*$D255/100*E248,0)</f>
        <v>0</v>
      </c>
      <c r="I255" s="219">
        <f>I246</f>
        <v>4.8100000000000005</v>
      </c>
      <c r="J255" s="207" t="s">
        <v>362</v>
      </c>
      <c r="K255" s="2">
        <f>ROUND(I255*$D255/100*I248,0)</f>
        <v>0</v>
      </c>
      <c r="AE255" s="81"/>
    </row>
    <row r="256" spans="1:31">
      <c r="A256" s="1" t="s">
        <v>388</v>
      </c>
      <c r="B256" s="1"/>
      <c r="C256" s="203">
        <v>0</v>
      </c>
      <c r="D256" s="203">
        <f t="shared" si="23"/>
        <v>0</v>
      </c>
      <c r="E256" s="220">
        <f>E247</f>
        <v>45</v>
      </c>
      <c r="F256" s="207" t="s">
        <v>362</v>
      </c>
      <c r="G256" s="2">
        <f>ROUND(E256*$C256/100*E248,0)</f>
        <v>0</v>
      </c>
      <c r="H256" s="2">
        <f>ROUND(E256*$D256/100*E248,0)</f>
        <v>0</v>
      </c>
      <c r="I256" s="220">
        <f>I247</f>
        <v>45</v>
      </c>
      <c r="J256" s="207" t="s">
        <v>362</v>
      </c>
      <c r="K256" s="2">
        <f>ROUND(I256*$D256/100*I248,0)</f>
        <v>0</v>
      </c>
      <c r="AE256" s="81"/>
    </row>
    <row r="257" spans="1:31">
      <c r="A257" s="1" t="s">
        <v>395</v>
      </c>
      <c r="B257" s="1"/>
      <c r="C257" s="203">
        <v>0</v>
      </c>
      <c r="D257" s="203">
        <f t="shared" si="23"/>
        <v>0</v>
      </c>
      <c r="E257" s="221">
        <v>60</v>
      </c>
      <c r="F257" s="205"/>
      <c r="G257" s="2">
        <f>ROUND(E257*$C257,0)</f>
        <v>0</v>
      </c>
      <c r="H257" s="2">
        <f>ROUND(E257*$D257,0)</f>
        <v>0</v>
      </c>
      <c r="I257" s="221">
        <f>$I$172</f>
        <v>60</v>
      </c>
      <c r="J257" s="207"/>
      <c r="K257" s="2">
        <f>ROUND(I257*$D257,0)</f>
        <v>0</v>
      </c>
      <c r="AE257" s="81"/>
    </row>
    <row r="258" spans="1:31">
      <c r="A258" s="1" t="s">
        <v>396</v>
      </c>
      <c r="B258" s="1"/>
      <c r="C258" s="203">
        <v>0</v>
      </c>
      <c r="D258" s="203">
        <f t="shared" si="23"/>
        <v>0</v>
      </c>
      <c r="E258" s="223">
        <v>-30</v>
      </c>
      <c r="F258" s="205" t="s">
        <v>362</v>
      </c>
      <c r="G258" s="2">
        <f>ROUND(E258*$C258/100,0)</f>
        <v>0</v>
      </c>
      <c r="H258" s="2">
        <f>ROUND(E258*$D258/100,0)</f>
        <v>0</v>
      </c>
      <c r="I258" s="223">
        <f>$I$173</f>
        <v>-30</v>
      </c>
      <c r="J258" s="207" t="s">
        <v>362</v>
      </c>
      <c r="K258" s="2">
        <f>ROUND(I258*$D258/100,0)</f>
        <v>0</v>
      </c>
      <c r="AE258" s="81"/>
    </row>
    <row r="259" spans="1:31">
      <c r="A259" s="1" t="s">
        <v>369</v>
      </c>
      <c r="B259" s="1"/>
      <c r="C259" s="203">
        <f>SUM(C244:C246)</f>
        <v>21698464</v>
      </c>
      <c r="D259" s="203">
        <v>22630547.415536091</v>
      </c>
      <c r="E259" s="214"/>
      <c r="F259" s="2"/>
      <c r="G259" s="2">
        <f>SUM(G239:G258)</f>
        <v>1418240</v>
      </c>
      <c r="H259" s="2">
        <f>SUM(H239:H258)</f>
        <v>1475509</v>
      </c>
      <c r="I259" s="214"/>
      <c r="J259" s="207"/>
      <c r="K259" s="2">
        <f>SUM(K239:K258)</f>
        <v>1571165</v>
      </c>
      <c r="AE259" s="81"/>
    </row>
    <row r="260" spans="1:31">
      <c r="A260" s="1" t="s">
        <v>351</v>
      </c>
      <c r="B260" s="1"/>
      <c r="C260" s="233">
        <v>-490299.70959914278</v>
      </c>
      <c r="D260" s="224">
        <v>0</v>
      </c>
      <c r="E260" s="193"/>
      <c r="F260" s="193"/>
      <c r="G260" s="225">
        <v>-27174.812211416385</v>
      </c>
      <c r="H260" s="225">
        <v>0</v>
      </c>
      <c r="I260" s="193"/>
      <c r="J260" s="193"/>
      <c r="K260" s="225">
        <v>0</v>
      </c>
      <c r="M260" s="173"/>
      <c r="N260" s="173"/>
      <c r="O260" s="174"/>
      <c r="AE260" s="81"/>
    </row>
    <row r="261" spans="1:31" ht="16.5" thickBot="1">
      <c r="A261" s="1" t="s">
        <v>370</v>
      </c>
      <c r="B261" s="1"/>
      <c r="C261" s="195">
        <f>SUM(C259:C260)</f>
        <v>21208164.290400859</v>
      </c>
      <c r="D261" s="195">
        <f>SUM(D259:D260)</f>
        <v>22630547.415536091</v>
      </c>
      <c r="E261" s="226"/>
      <c r="F261" s="227"/>
      <c r="G261" s="228">
        <f>G259+G260</f>
        <v>1391065.1877885836</v>
      </c>
      <c r="H261" s="228">
        <f>H259+H260</f>
        <v>1475509</v>
      </c>
      <c r="I261" s="226"/>
      <c r="J261" s="229"/>
      <c r="K261" s="228">
        <f>K259+K260</f>
        <v>1571165</v>
      </c>
      <c r="M261" s="175"/>
      <c r="N261" s="175"/>
      <c r="O261" s="176"/>
      <c r="AE261" s="81"/>
    </row>
    <row r="262" spans="1:31" ht="16.5" thickTop="1">
      <c r="A262" s="1"/>
      <c r="B262" s="1"/>
      <c r="C262" s="234"/>
      <c r="D262" s="234"/>
      <c r="E262" s="235"/>
      <c r="F262" s="236"/>
      <c r="G262" s="206"/>
      <c r="H262" s="206"/>
      <c r="I262" s="235"/>
      <c r="J262" s="23"/>
      <c r="K262" s="206"/>
      <c r="AE262" s="81"/>
    </row>
    <row r="263" spans="1:31">
      <c r="A263" s="177" t="s">
        <v>403</v>
      </c>
      <c r="B263" s="1"/>
      <c r="C263" s="1"/>
      <c r="D263" s="1"/>
      <c r="E263" s="2"/>
      <c r="F263" s="2"/>
      <c r="G263" s="1" t="s">
        <v>31</v>
      </c>
      <c r="H263" s="1"/>
      <c r="I263" s="2"/>
      <c r="J263" s="1"/>
      <c r="K263" s="1"/>
      <c r="AE263" s="81"/>
    </row>
    <row r="264" spans="1:31">
      <c r="A264" s="1" t="s">
        <v>398</v>
      </c>
      <c r="B264" s="1"/>
      <c r="C264" s="1"/>
      <c r="D264" s="1"/>
      <c r="E264" s="2"/>
      <c r="F264" s="2"/>
      <c r="G264" s="1"/>
      <c r="H264" s="1"/>
      <c r="I264" s="2"/>
      <c r="J264" s="1"/>
      <c r="K264" s="1"/>
      <c r="AE264" s="81"/>
    </row>
    <row r="265" spans="1:31">
      <c r="A265" s="1"/>
      <c r="B265" s="1"/>
      <c r="C265" s="1"/>
      <c r="D265" s="1"/>
      <c r="E265" s="2"/>
      <c r="F265" s="2"/>
      <c r="G265" s="1"/>
      <c r="H265" s="1"/>
      <c r="I265" s="2"/>
      <c r="J265" s="1"/>
      <c r="K265" s="1"/>
      <c r="AE265" s="81"/>
    </row>
    <row r="266" spans="1:31">
      <c r="A266" s="1" t="s">
        <v>381</v>
      </c>
      <c r="B266" s="1"/>
      <c r="C266" s="203"/>
      <c r="D266" s="203"/>
      <c r="E266" s="2"/>
      <c r="F266" s="2"/>
      <c r="G266" s="1"/>
      <c r="H266" s="1"/>
      <c r="I266" s="2"/>
      <c r="J266" s="1"/>
      <c r="K266" s="1"/>
      <c r="AE266" s="81"/>
    </row>
    <row r="267" spans="1:31">
      <c r="A267" s="1" t="s">
        <v>404</v>
      </c>
      <c r="B267" s="1"/>
      <c r="C267" s="203">
        <f t="shared" ref="C267:D269" si="24">C296+C325</f>
        <v>5025</v>
      </c>
      <c r="D267" s="203">
        <f t="shared" si="24"/>
        <v>4991</v>
      </c>
      <c r="E267" s="182">
        <v>7</v>
      </c>
      <c r="F267" s="205"/>
      <c r="G267" s="2">
        <f t="shared" ref="G267:H269" si="25">G296+G325</f>
        <v>35175</v>
      </c>
      <c r="H267" s="2">
        <f t="shared" si="25"/>
        <v>34937</v>
      </c>
      <c r="I267" s="182">
        <f>$I$153</f>
        <v>7.53</v>
      </c>
      <c r="J267" s="207"/>
      <c r="K267" s="2">
        <f>K296+K325</f>
        <v>37582</v>
      </c>
      <c r="AE267" s="81"/>
    </row>
    <row r="268" spans="1:31">
      <c r="A268" s="1" t="s">
        <v>379</v>
      </c>
      <c r="B268" s="1"/>
      <c r="C268" s="203">
        <f t="shared" si="24"/>
        <v>0</v>
      </c>
      <c r="D268" s="203">
        <f t="shared" si="24"/>
        <v>0</v>
      </c>
      <c r="E268" s="182">
        <v>10.4</v>
      </c>
      <c r="F268" s="208"/>
      <c r="G268" s="2">
        <f t="shared" si="25"/>
        <v>0</v>
      </c>
      <c r="H268" s="2">
        <f t="shared" si="25"/>
        <v>0</v>
      </c>
      <c r="I268" s="182">
        <f>$I$154</f>
        <v>11.18</v>
      </c>
      <c r="J268" s="209"/>
      <c r="K268" s="2">
        <f>K297+K326</f>
        <v>0</v>
      </c>
      <c r="AE268" s="81"/>
    </row>
    <row r="269" spans="1:31">
      <c r="A269" s="1" t="s">
        <v>380</v>
      </c>
      <c r="B269" s="1"/>
      <c r="C269" s="203">
        <f t="shared" si="24"/>
        <v>0</v>
      </c>
      <c r="D269" s="203">
        <f t="shared" si="24"/>
        <v>0</v>
      </c>
      <c r="E269" s="182">
        <v>0.69</v>
      </c>
      <c r="F269" s="208"/>
      <c r="G269" s="2">
        <f t="shared" si="25"/>
        <v>0</v>
      </c>
      <c r="H269" s="2">
        <f t="shared" si="25"/>
        <v>0</v>
      </c>
      <c r="I269" s="182">
        <f>$I$155</f>
        <v>0.78</v>
      </c>
      <c r="J269" s="209"/>
      <c r="K269" s="2">
        <f>K298+K327</f>
        <v>0</v>
      </c>
      <c r="AE269" s="81"/>
    </row>
    <row r="270" spans="1:31">
      <c r="A270" s="1" t="s">
        <v>382</v>
      </c>
      <c r="B270" s="1"/>
      <c r="C270" s="203">
        <f>SUM(C267:C268)</f>
        <v>5025</v>
      </c>
      <c r="D270" s="203">
        <f>SUM(D267:D268)</f>
        <v>4991</v>
      </c>
      <c r="E270" s="182"/>
      <c r="F270" s="205"/>
      <c r="G270" s="2"/>
      <c r="H270" s="2"/>
      <c r="I270" s="182"/>
      <c r="J270" s="207"/>
      <c r="K270" s="2"/>
      <c r="AE270" s="81"/>
    </row>
    <row r="271" spans="1:31">
      <c r="A271" s="1" t="s">
        <v>350</v>
      </c>
      <c r="B271" s="1"/>
      <c r="C271" s="203">
        <f t="shared" ref="C271:D276" si="26">C300+C329</f>
        <v>1629</v>
      </c>
      <c r="D271" s="203">
        <f t="shared" si="26"/>
        <v>1617</v>
      </c>
      <c r="E271" s="182"/>
      <c r="F271" s="205"/>
      <c r="G271" s="2"/>
      <c r="H271" s="2"/>
      <c r="I271" s="182"/>
      <c r="J271" s="207"/>
      <c r="K271" s="2"/>
      <c r="AE271" s="81"/>
    </row>
    <row r="272" spans="1:31">
      <c r="A272" s="1" t="s">
        <v>383</v>
      </c>
      <c r="B272" s="1"/>
      <c r="C272" s="203">
        <f t="shared" si="26"/>
        <v>0</v>
      </c>
      <c r="D272" s="203">
        <f t="shared" si="26"/>
        <v>0</v>
      </c>
      <c r="E272" s="210">
        <v>2.81</v>
      </c>
      <c r="F272" s="207"/>
      <c r="G272" s="2">
        <f t="shared" ref="G272:H276" si="27">G301+G330</f>
        <v>0</v>
      </c>
      <c r="H272" s="2">
        <f t="shared" si="27"/>
        <v>0</v>
      </c>
      <c r="I272" s="210">
        <f>$I$158</f>
        <v>2.88</v>
      </c>
      <c r="J272" s="207"/>
      <c r="K272" s="2">
        <f>K301+K330</f>
        <v>0</v>
      </c>
      <c r="AE272" s="81"/>
    </row>
    <row r="273" spans="1:31">
      <c r="A273" s="1" t="s">
        <v>385</v>
      </c>
      <c r="B273" s="1"/>
      <c r="C273" s="203">
        <f t="shared" si="26"/>
        <v>1414918</v>
      </c>
      <c r="D273" s="203">
        <f t="shared" si="26"/>
        <v>1446455</v>
      </c>
      <c r="E273" s="183">
        <v>7.5869999999999997</v>
      </c>
      <c r="F273" s="207" t="s">
        <v>362</v>
      </c>
      <c r="G273" s="2">
        <f t="shared" si="27"/>
        <v>107349</v>
      </c>
      <c r="H273" s="2">
        <f t="shared" si="27"/>
        <v>109743</v>
      </c>
      <c r="I273" s="183">
        <f>$I$159</f>
        <v>8.0890000000000004</v>
      </c>
      <c r="J273" s="207" t="s">
        <v>362</v>
      </c>
      <c r="K273" s="2">
        <f>K302+K331</f>
        <v>117003</v>
      </c>
      <c r="AE273" s="81"/>
    </row>
    <row r="274" spans="1:31">
      <c r="A274" s="1" t="s">
        <v>386</v>
      </c>
      <c r="B274" s="1"/>
      <c r="C274" s="203">
        <f t="shared" si="26"/>
        <v>64806</v>
      </c>
      <c r="D274" s="203">
        <f t="shared" si="26"/>
        <v>66040</v>
      </c>
      <c r="E274" s="183">
        <v>5.2370000000000001</v>
      </c>
      <c r="F274" s="207" t="s">
        <v>362</v>
      </c>
      <c r="G274" s="2">
        <f t="shared" si="27"/>
        <v>3394</v>
      </c>
      <c r="H274" s="2">
        <f t="shared" si="27"/>
        <v>3459</v>
      </c>
      <c r="I274" s="183">
        <f>$I$160</f>
        <v>5.5839999999999996</v>
      </c>
      <c r="J274" s="207" t="s">
        <v>362</v>
      </c>
      <c r="K274" s="2">
        <f>K303+K332</f>
        <v>3688</v>
      </c>
      <c r="AE274" s="81"/>
    </row>
    <row r="275" spans="1:31">
      <c r="A275" s="1" t="s">
        <v>387</v>
      </c>
      <c r="B275" s="1"/>
      <c r="C275" s="203">
        <f t="shared" si="26"/>
        <v>0</v>
      </c>
      <c r="D275" s="203">
        <f t="shared" si="26"/>
        <v>0</v>
      </c>
      <c r="E275" s="183">
        <v>4.5129999999999999</v>
      </c>
      <c r="F275" s="207" t="s">
        <v>362</v>
      </c>
      <c r="G275" s="2">
        <f t="shared" si="27"/>
        <v>0</v>
      </c>
      <c r="H275" s="2">
        <f t="shared" si="27"/>
        <v>0</v>
      </c>
      <c r="I275" s="183">
        <f>$I$161</f>
        <v>4.8100000000000005</v>
      </c>
      <c r="J275" s="207" t="s">
        <v>362</v>
      </c>
      <c r="K275" s="2">
        <f>K304+K333</f>
        <v>0</v>
      </c>
      <c r="AE275" s="81"/>
    </row>
    <row r="276" spans="1:31">
      <c r="A276" s="1" t="s">
        <v>388</v>
      </c>
      <c r="B276" s="1"/>
      <c r="C276" s="203">
        <f t="shared" si="26"/>
        <v>0</v>
      </c>
      <c r="D276" s="203">
        <f t="shared" si="26"/>
        <v>0</v>
      </c>
      <c r="E276" s="214">
        <v>45</v>
      </c>
      <c r="F276" s="205" t="s">
        <v>362</v>
      </c>
      <c r="G276" s="2">
        <f t="shared" si="27"/>
        <v>0</v>
      </c>
      <c r="H276" s="2">
        <f t="shared" si="27"/>
        <v>0</v>
      </c>
      <c r="I276" s="214">
        <f>$I$162</f>
        <v>45</v>
      </c>
      <c r="J276" s="207" t="s">
        <v>362</v>
      </c>
      <c r="K276" s="2">
        <f>K305+K334</f>
        <v>0</v>
      </c>
      <c r="AE276" s="81"/>
    </row>
    <row r="277" spans="1:31">
      <c r="A277" s="215" t="s">
        <v>389</v>
      </c>
      <c r="B277" s="1"/>
      <c r="C277" s="203"/>
      <c r="D277" s="203"/>
      <c r="E277" s="216">
        <v>-0.01</v>
      </c>
      <c r="F277" s="205"/>
      <c r="G277" s="2"/>
      <c r="H277" s="2"/>
      <c r="I277" s="216">
        <f>$I$163</f>
        <v>-0.01</v>
      </c>
      <c r="J277" s="207"/>
      <c r="K277" s="2"/>
      <c r="AE277" s="81"/>
    </row>
    <row r="278" spans="1:31">
      <c r="A278" s="1" t="s">
        <v>378</v>
      </c>
      <c r="B278" s="1"/>
      <c r="C278" s="203">
        <v>0</v>
      </c>
      <c r="D278" s="203">
        <v>0</v>
      </c>
      <c r="E278" s="218">
        <f>E267</f>
        <v>7</v>
      </c>
      <c r="F278" s="205"/>
      <c r="G278" s="2">
        <f t="shared" ref="G278:H289" si="28">G307+G336</f>
        <v>0</v>
      </c>
      <c r="H278" s="2">
        <f t="shared" si="28"/>
        <v>0</v>
      </c>
      <c r="I278" s="218">
        <f>I268</f>
        <v>11.18</v>
      </c>
      <c r="J278" s="205"/>
      <c r="K278" s="2">
        <f t="shared" ref="K278:K289" si="29">K307+K336</f>
        <v>0</v>
      </c>
      <c r="AE278" s="81"/>
    </row>
    <row r="279" spans="1:31">
      <c r="A279" s="1" t="s">
        <v>379</v>
      </c>
      <c r="B279" s="1"/>
      <c r="C279" s="203">
        <v>0</v>
      </c>
      <c r="D279" s="203">
        <v>0</v>
      </c>
      <c r="E279" s="218">
        <f>E268</f>
        <v>10.4</v>
      </c>
      <c r="F279" s="205"/>
      <c r="G279" s="2">
        <f t="shared" si="28"/>
        <v>0</v>
      </c>
      <c r="H279" s="2">
        <f t="shared" si="28"/>
        <v>0</v>
      </c>
      <c r="I279" s="218">
        <f>I269</f>
        <v>0.78</v>
      </c>
      <c r="J279" s="205"/>
      <c r="K279" s="2">
        <f t="shared" si="29"/>
        <v>0</v>
      </c>
      <c r="AE279" s="81"/>
    </row>
    <row r="280" spans="1:31">
      <c r="A280" s="1" t="s">
        <v>390</v>
      </c>
      <c r="B280" s="1"/>
      <c r="C280" s="203">
        <v>0</v>
      </c>
      <c r="D280" s="203">
        <v>0</v>
      </c>
      <c r="E280" s="218">
        <f>E269</f>
        <v>0.69</v>
      </c>
      <c r="F280" s="205"/>
      <c r="G280" s="2">
        <f t="shared" si="28"/>
        <v>0</v>
      </c>
      <c r="H280" s="2">
        <f t="shared" si="28"/>
        <v>0</v>
      </c>
      <c r="I280" s="218">
        <f>I270</f>
        <v>0</v>
      </c>
      <c r="J280" s="205"/>
      <c r="K280" s="2">
        <f t="shared" si="29"/>
        <v>0</v>
      </c>
      <c r="AE280" s="81"/>
    </row>
    <row r="281" spans="1:31">
      <c r="A281" s="1" t="s">
        <v>391</v>
      </c>
      <c r="B281" s="1"/>
      <c r="C281" s="203">
        <v>0</v>
      </c>
      <c r="D281" s="203">
        <v>0</v>
      </c>
      <c r="E281" s="218">
        <f>E272</f>
        <v>2.81</v>
      </c>
      <c r="F281" s="207"/>
      <c r="G281" s="2">
        <f t="shared" si="28"/>
        <v>0</v>
      </c>
      <c r="H281" s="2">
        <f t="shared" si="28"/>
        <v>0</v>
      </c>
      <c r="I281" s="218">
        <f>I272</f>
        <v>2.88</v>
      </c>
      <c r="J281" s="207"/>
      <c r="K281" s="2">
        <f t="shared" si="29"/>
        <v>0</v>
      </c>
      <c r="AE281" s="81"/>
    </row>
    <row r="282" spans="1:31">
      <c r="A282" s="1" t="s">
        <v>393</v>
      </c>
      <c r="B282" s="1"/>
      <c r="C282" s="203">
        <v>0</v>
      </c>
      <c r="D282" s="203">
        <v>0</v>
      </c>
      <c r="E282" s="219">
        <f>E273</f>
        <v>7.5869999999999997</v>
      </c>
      <c r="F282" s="207" t="s">
        <v>362</v>
      </c>
      <c r="G282" s="2">
        <f t="shared" si="28"/>
        <v>0</v>
      </c>
      <c r="H282" s="2">
        <f t="shared" si="28"/>
        <v>0</v>
      </c>
      <c r="I282" s="219">
        <f>I273</f>
        <v>8.0890000000000004</v>
      </c>
      <c r="J282" s="207" t="s">
        <v>362</v>
      </c>
      <c r="K282" s="2">
        <f t="shared" si="29"/>
        <v>0</v>
      </c>
      <c r="AE282" s="81"/>
    </row>
    <row r="283" spans="1:31">
      <c r="A283" s="1" t="s">
        <v>386</v>
      </c>
      <c r="B283" s="1"/>
      <c r="C283" s="203">
        <v>0</v>
      </c>
      <c r="D283" s="203">
        <v>0</v>
      </c>
      <c r="E283" s="219">
        <f>E274</f>
        <v>5.2370000000000001</v>
      </c>
      <c r="F283" s="207" t="s">
        <v>362</v>
      </c>
      <c r="G283" s="2">
        <f t="shared" si="28"/>
        <v>0</v>
      </c>
      <c r="H283" s="2">
        <f t="shared" si="28"/>
        <v>0</v>
      </c>
      <c r="I283" s="219">
        <f>I274</f>
        <v>5.5839999999999996</v>
      </c>
      <c r="J283" s="207" t="s">
        <v>362</v>
      </c>
      <c r="K283" s="2">
        <f t="shared" si="29"/>
        <v>0</v>
      </c>
      <c r="AE283" s="81"/>
    </row>
    <row r="284" spans="1:31">
      <c r="A284" s="1" t="s">
        <v>387</v>
      </c>
      <c r="B284" s="1"/>
      <c r="C284" s="203">
        <v>0</v>
      </c>
      <c r="D284" s="203">
        <v>0</v>
      </c>
      <c r="E284" s="219">
        <f>E275</f>
        <v>4.5129999999999999</v>
      </c>
      <c r="F284" s="207" t="s">
        <v>362</v>
      </c>
      <c r="G284" s="2">
        <f t="shared" si="28"/>
        <v>0</v>
      </c>
      <c r="H284" s="2">
        <f t="shared" si="28"/>
        <v>0</v>
      </c>
      <c r="I284" s="219">
        <f>I275</f>
        <v>4.8100000000000005</v>
      </c>
      <c r="J284" s="207" t="s">
        <v>362</v>
      </c>
      <c r="K284" s="2">
        <f t="shared" si="29"/>
        <v>0</v>
      </c>
      <c r="AE284" s="81"/>
    </row>
    <row r="285" spans="1:31">
      <c r="A285" s="1" t="s">
        <v>388</v>
      </c>
      <c r="B285" s="1"/>
      <c r="C285" s="203">
        <v>0</v>
      </c>
      <c r="D285" s="203">
        <v>0</v>
      </c>
      <c r="E285" s="220">
        <f>E276</f>
        <v>45</v>
      </c>
      <c r="F285" s="207" t="s">
        <v>362</v>
      </c>
      <c r="G285" s="2">
        <f t="shared" si="28"/>
        <v>0</v>
      </c>
      <c r="H285" s="2">
        <f t="shared" si="28"/>
        <v>0</v>
      </c>
      <c r="I285" s="220">
        <f>I276</f>
        <v>45</v>
      </c>
      <c r="J285" s="207" t="s">
        <v>362</v>
      </c>
      <c r="K285" s="2">
        <f t="shared" si="29"/>
        <v>0</v>
      </c>
      <c r="AE285" s="81"/>
    </row>
    <row r="286" spans="1:31">
      <c r="A286" s="1" t="s">
        <v>395</v>
      </c>
      <c r="B286" s="1"/>
      <c r="C286" s="203">
        <v>0</v>
      </c>
      <c r="D286" s="203">
        <v>0</v>
      </c>
      <c r="E286" s="221">
        <v>60</v>
      </c>
      <c r="F286" s="205"/>
      <c r="G286" s="2">
        <f t="shared" si="28"/>
        <v>0</v>
      </c>
      <c r="H286" s="2">
        <f t="shared" si="28"/>
        <v>0</v>
      </c>
      <c r="I286" s="221">
        <f>$I$172</f>
        <v>60</v>
      </c>
      <c r="J286" s="207"/>
      <c r="K286" s="2">
        <f t="shared" si="29"/>
        <v>0</v>
      </c>
      <c r="AE286" s="81"/>
    </row>
    <row r="287" spans="1:31">
      <c r="A287" s="1" t="s">
        <v>396</v>
      </c>
      <c r="B287" s="1"/>
      <c r="C287" s="203">
        <v>0</v>
      </c>
      <c r="D287" s="203">
        <v>0</v>
      </c>
      <c r="E287" s="223">
        <v>-30</v>
      </c>
      <c r="F287" s="205" t="s">
        <v>362</v>
      </c>
      <c r="G287" s="2">
        <f t="shared" si="28"/>
        <v>0</v>
      </c>
      <c r="H287" s="2">
        <f t="shared" si="28"/>
        <v>0</v>
      </c>
      <c r="I287" s="223">
        <f>$I$173</f>
        <v>-30</v>
      </c>
      <c r="J287" s="207" t="s">
        <v>362</v>
      </c>
      <c r="K287" s="2">
        <f t="shared" si="29"/>
        <v>0</v>
      </c>
      <c r="AE287" s="81"/>
    </row>
    <row r="288" spans="1:31">
      <c r="A288" s="1" t="s">
        <v>369</v>
      </c>
      <c r="B288" s="1"/>
      <c r="C288" s="203">
        <f>C317+C346</f>
        <v>1479724</v>
      </c>
      <c r="D288" s="203">
        <f>D317+D346</f>
        <v>1512494.9193898283</v>
      </c>
      <c r="E288" s="214"/>
      <c r="F288" s="2"/>
      <c r="G288" s="2">
        <f t="shared" si="28"/>
        <v>145918</v>
      </c>
      <c r="H288" s="2">
        <f t="shared" si="28"/>
        <v>148139</v>
      </c>
      <c r="I288" s="214"/>
      <c r="J288" s="207"/>
      <c r="K288" s="2">
        <f t="shared" si="29"/>
        <v>158273</v>
      </c>
      <c r="AE288" s="81"/>
    </row>
    <row r="289" spans="1:31">
      <c r="A289" s="1" t="s">
        <v>351</v>
      </c>
      <c r="B289" s="1"/>
      <c r="C289" s="224">
        <f>C318+C347</f>
        <v>5637.1439953097415</v>
      </c>
      <c r="D289" s="224">
        <f>D318+D347</f>
        <v>0</v>
      </c>
      <c r="E289" s="193"/>
      <c r="F289" s="193"/>
      <c r="G289" s="225">
        <f t="shared" si="28"/>
        <v>415.97676418055232</v>
      </c>
      <c r="H289" s="225">
        <f t="shared" si="28"/>
        <v>0</v>
      </c>
      <c r="I289" s="193"/>
      <c r="J289" s="193"/>
      <c r="K289" s="225">
        <f t="shared" si="29"/>
        <v>0</v>
      </c>
      <c r="M289" s="173"/>
      <c r="N289" s="173"/>
      <c r="O289" s="174"/>
      <c r="AE289" s="81"/>
    </row>
    <row r="290" spans="1:31" ht="16.5" thickBot="1">
      <c r="A290" s="1" t="s">
        <v>370</v>
      </c>
      <c r="B290" s="1"/>
      <c r="C290" s="195">
        <f>SUM(C288:C289)</f>
        <v>1485361.1439953097</v>
      </c>
      <c r="D290" s="195">
        <f>SUM(D288:D289)</f>
        <v>1512494.9193898283</v>
      </c>
      <c r="E290" s="226"/>
      <c r="F290" s="227"/>
      <c r="G290" s="228">
        <f>G288+G289</f>
        <v>146333.97676418055</v>
      </c>
      <c r="H290" s="228">
        <f>H288+H289</f>
        <v>148139</v>
      </c>
      <c r="I290" s="226"/>
      <c r="J290" s="229"/>
      <c r="K290" s="228">
        <f>K288+K289</f>
        <v>158273</v>
      </c>
      <c r="M290" s="175"/>
      <c r="N290" s="175"/>
      <c r="O290" s="176"/>
      <c r="AE290" s="81"/>
    </row>
    <row r="291" spans="1:31" ht="16.5" thickTop="1">
      <c r="A291" s="1"/>
      <c r="B291" s="1"/>
      <c r="C291" s="21"/>
      <c r="D291" s="21"/>
      <c r="E291" s="221"/>
      <c r="F291" s="2"/>
      <c r="G291" s="2"/>
      <c r="H291" s="2"/>
      <c r="I291" s="221"/>
      <c r="J291" s="1"/>
      <c r="K291" s="2" t="s">
        <v>31</v>
      </c>
      <c r="AE291" s="81"/>
    </row>
    <row r="292" spans="1:31">
      <c r="A292" s="177" t="s">
        <v>403</v>
      </c>
      <c r="B292" s="1"/>
      <c r="C292" s="1"/>
      <c r="D292" s="1"/>
      <c r="E292" s="2"/>
      <c r="F292" s="2"/>
      <c r="G292" s="1" t="s">
        <v>31</v>
      </c>
      <c r="H292" s="1"/>
      <c r="I292" s="2"/>
      <c r="J292" s="1"/>
      <c r="K292" s="1"/>
      <c r="AE292" s="81"/>
    </row>
    <row r="293" spans="1:31">
      <c r="A293" s="1" t="s">
        <v>399</v>
      </c>
      <c r="B293" s="1"/>
      <c r="C293" s="1"/>
      <c r="D293" s="1"/>
      <c r="E293" s="2"/>
      <c r="F293" s="2"/>
      <c r="G293" s="1"/>
      <c r="H293" s="1"/>
      <c r="I293" s="2"/>
      <c r="J293" s="1"/>
      <c r="K293" s="1"/>
      <c r="AE293" s="81"/>
    </row>
    <row r="294" spans="1:31">
      <c r="A294" s="1"/>
      <c r="B294" s="1"/>
      <c r="C294" s="1"/>
      <c r="D294" s="1"/>
      <c r="E294" s="2"/>
      <c r="F294" s="2"/>
      <c r="G294" s="1"/>
      <c r="H294" s="1"/>
      <c r="I294" s="2"/>
      <c r="J294" s="1"/>
      <c r="K294" s="1"/>
      <c r="AE294" s="81"/>
    </row>
    <row r="295" spans="1:31">
      <c r="A295" s="1" t="s">
        <v>381</v>
      </c>
      <c r="B295" s="1"/>
      <c r="C295" s="203"/>
      <c r="D295" s="203"/>
      <c r="E295" s="2"/>
      <c r="F295" s="2"/>
      <c r="G295" s="1"/>
      <c r="H295" s="1"/>
      <c r="I295" s="2"/>
      <c r="J295" s="1"/>
      <c r="K295" s="1"/>
      <c r="AE295" s="81"/>
    </row>
    <row r="296" spans="1:31">
      <c r="A296" s="1" t="s">
        <v>404</v>
      </c>
      <c r="B296" s="1"/>
      <c r="C296" s="203">
        <f>3955+554</f>
        <v>4509</v>
      </c>
      <c r="D296" s="203">
        <f>ROUND((D300/C300)*C296,0)</f>
        <v>4475</v>
      </c>
      <c r="E296" s="182">
        <v>7</v>
      </c>
      <c r="F296" s="205"/>
      <c r="G296" s="2">
        <f>ROUND(E296*$C296,0)</f>
        <v>31563</v>
      </c>
      <c r="H296" s="2">
        <f>ROUND(E296*$D296,0)</f>
        <v>31325</v>
      </c>
      <c r="I296" s="182">
        <f>$I$153</f>
        <v>7.53</v>
      </c>
      <c r="J296" s="207"/>
      <c r="K296" s="2">
        <f>ROUND(I296*$D296,0)</f>
        <v>33697</v>
      </c>
      <c r="AE296" s="81"/>
    </row>
    <row r="297" spans="1:31">
      <c r="A297" s="1" t="s">
        <v>379</v>
      </c>
      <c r="B297" s="1"/>
      <c r="C297" s="203">
        <v>0</v>
      </c>
      <c r="D297" s="203">
        <v>0</v>
      </c>
      <c r="E297" s="182">
        <v>10.4</v>
      </c>
      <c r="F297" s="208"/>
      <c r="G297" s="2">
        <f>ROUND(E297*$C297,0)</f>
        <v>0</v>
      </c>
      <c r="H297" s="2">
        <f>ROUND(E297*$D297,0)</f>
        <v>0</v>
      </c>
      <c r="I297" s="182">
        <f>$I$154</f>
        <v>11.18</v>
      </c>
      <c r="J297" s="209"/>
      <c r="K297" s="2">
        <f>ROUND(I297*$D297,0)</f>
        <v>0</v>
      </c>
      <c r="AE297" s="81"/>
    </row>
    <row r="298" spans="1:31">
      <c r="A298" s="1" t="s">
        <v>380</v>
      </c>
      <c r="B298" s="1"/>
      <c r="C298" s="203">
        <v>0</v>
      </c>
      <c r="D298" s="203">
        <v>0</v>
      </c>
      <c r="E298" s="182">
        <v>0.69</v>
      </c>
      <c r="F298" s="208"/>
      <c r="G298" s="2">
        <f>ROUND(E298*$C298,0)</f>
        <v>0</v>
      </c>
      <c r="H298" s="2">
        <f>ROUND(E298*$D298,0)</f>
        <v>0</v>
      </c>
      <c r="I298" s="182">
        <f>$I$155</f>
        <v>0.78</v>
      </c>
      <c r="J298" s="209"/>
      <c r="K298" s="2">
        <f>ROUND(I298*$D298,0)</f>
        <v>0</v>
      </c>
      <c r="AE298" s="81"/>
    </row>
    <row r="299" spans="1:31">
      <c r="A299" s="1" t="s">
        <v>382</v>
      </c>
      <c r="B299" s="1"/>
      <c r="C299" s="203">
        <f>SUM(C296:C297)</f>
        <v>4509</v>
      </c>
      <c r="D299" s="203">
        <f>ROUND((D300/C300)*C299,0)</f>
        <v>4475</v>
      </c>
      <c r="E299" s="182"/>
      <c r="F299" s="205"/>
      <c r="G299" s="2"/>
      <c r="H299" s="2"/>
      <c r="I299" s="182"/>
      <c r="J299" s="207"/>
      <c r="K299" s="2"/>
      <c r="AE299" s="81"/>
    </row>
    <row r="300" spans="1:31">
      <c r="A300" s="1" t="s">
        <v>350</v>
      </c>
      <c r="B300" s="1"/>
      <c r="C300" s="203">
        <f>118+1463</f>
        <v>1581</v>
      </c>
      <c r="D300" s="203">
        <v>1569</v>
      </c>
      <c r="E300" s="182"/>
      <c r="F300" s="205"/>
      <c r="G300" s="2"/>
      <c r="H300" s="2"/>
      <c r="I300" s="182"/>
      <c r="J300" s="207"/>
      <c r="K300" s="2"/>
      <c r="AE300" s="81"/>
    </row>
    <row r="301" spans="1:31">
      <c r="A301" s="1" t="s">
        <v>383</v>
      </c>
      <c r="B301" s="1"/>
      <c r="C301" s="203">
        <v>0</v>
      </c>
      <c r="D301" s="203">
        <v>0</v>
      </c>
      <c r="E301" s="210">
        <v>2.81</v>
      </c>
      <c r="F301" s="207"/>
      <c r="G301" s="2">
        <f>ROUND(E301*$C301,0)</f>
        <v>0</v>
      </c>
      <c r="H301" s="2">
        <f>ROUND(E301*$D301,0)</f>
        <v>0</v>
      </c>
      <c r="I301" s="210">
        <f>$I$158</f>
        <v>2.88</v>
      </c>
      <c r="J301" s="207"/>
      <c r="K301" s="2">
        <f>ROUND(I301*$D301,0)</f>
        <v>0</v>
      </c>
      <c r="AE301" s="81"/>
    </row>
    <row r="302" spans="1:31">
      <c r="A302" s="1" t="s">
        <v>385</v>
      </c>
      <c r="B302" s="1"/>
      <c r="C302" s="203">
        <f>36756+1134799+210050</f>
        <v>1381605</v>
      </c>
      <c r="D302" s="203">
        <f>ROUND(($D$317/'Blocking - detail'!$C$317)*C302,0)</f>
        <v>1407918</v>
      </c>
      <c r="E302" s="183">
        <v>7.5869999999999997</v>
      </c>
      <c r="F302" s="207" t="s">
        <v>362</v>
      </c>
      <c r="G302" s="2">
        <f>ROUND(E302*$C302/100,0)</f>
        <v>104822</v>
      </c>
      <c r="H302" s="2">
        <f>ROUND(E302*$D302/100,0)</f>
        <v>106819</v>
      </c>
      <c r="I302" s="183">
        <f>$I$159</f>
        <v>8.0890000000000004</v>
      </c>
      <c r="J302" s="207" t="s">
        <v>362</v>
      </c>
      <c r="K302" s="2">
        <f>ROUND(I302*$D302/100,0)</f>
        <v>113886</v>
      </c>
      <c r="AE302" s="81"/>
    </row>
    <row r="303" spans="1:31">
      <c r="A303" s="1" t="s">
        <v>386</v>
      </c>
      <c r="B303" s="21"/>
      <c r="C303" s="203">
        <f>64806</f>
        <v>64806</v>
      </c>
      <c r="D303" s="203">
        <f>ROUND(($D$317/'Blocking - detail'!$C$317)*C303,0)</f>
        <v>66040</v>
      </c>
      <c r="E303" s="183">
        <v>5.2370000000000001</v>
      </c>
      <c r="F303" s="207" t="s">
        <v>362</v>
      </c>
      <c r="G303" s="2">
        <f>ROUND(E303*$C303/100,0)</f>
        <v>3394</v>
      </c>
      <c r="H303" s="2">
        <f>ROUND(E303*$D303/100,0)</f>
        <v>3459</v>
      </c>
      <c r="I303" s="183">
        <f>$I$160</f>
        <v>5.5839999999999996</v>
      </c>
      <c r="J303" s="207" t="s">
        <v>362</v>
      </c>
      <c r="K303" s="2">
        <f>ROUND(I303*$D303/100,0)</f>
        <v>3688</v>
      </c>
      <c r="AE303" s="81"/>
    </row>
    <row r="304" spans="1:31">
      <c r="A304" s="1" t="s">
        <v>387</v>
      </c>
      <c r="B304" s="1"/>
      <c r="C304" s="203">
        <f>36756+1199605+210050-C302-C303</f>
        <v>0</v>
      </c>
      <c r="D304" s="203">
        <f>ROUND(($D$317/'Blocking - detail'!$C$317)*C304,0)</f>
        <v>0</v>
      </c>
      <c r="E304" s="183">
        <v>4.5129999999999999</v>
      </c>
      <c r="F304" s="207" t="s">
        <v>362</v>
      </c>
      <c r="G304" s="2">
        <f>ROUND(E304*$C304/100,0)</f>
        <v>0</v>
      </c>
      <c r="H304" s="2">
        <f>ROUND(E304*$D304/100,0)</f>
        <v>0</v>
      </c>
      <c r="I304" s="183">
        <f>$I$161</f>
        <v>4.8100000000000005</v>
      </c>
      <c r="J304" s="207" t="s">
        <v>362</v>
      </c>
      <c r="K304" s="2">
        <f>ROUND(I304*$D304/100,0)</f>
        <v>0</v>
      </c>
      <c r="AE304" s="81"/>
    </row>
    <row r="305" spans="1:31">
      <c r="A305" s="1" t="s">
        <v>388</v>
      </c>
      <c r="B305" s="1"/>
      <c r="C305" s="203">
        <v>0</v>
      </c>
      <c r="D305" s="203">
        <f>ROUND(($D$317/'Blocking - detail'!$C$317)*C305,0)</f>
        <v>0</v>
      </c>
      <c r="E305" s="214">
        <v>45</v>
      </c>
      <c r="F305" s="205" t="s">
        <v>362</v>
      </c>
      <c r="G305" s="2">
        <f>ROUND(E305*$C305/100,0)</f>
        <v>0</v>
      </c>
      <c r="H305" s="2">
        <f>ROUND(E305*$D305/100,0)</f>
        <v>0</v>
      </c>
      <c r="I305" s="214">
        <f>$I$162</f>
        <v>45</v>
      </c>
      <c r="J305" s="207" t="s">
        <v>362</v>
      </c>
      <c r="K305" s="2">
        <f>ROUND(I305*$D305/100,0)</f>
        <v>0</v>
      </c>
      <c r="AE305" s="81"/>
    </row>
    <row r="306" spans="1:31">
      <c r="A306" s="215" t="s">
        <v>389</v>
      </c>
      <c r="B306" s="1"/>
      <c r="C306" s="203"/>
      <c r="D306" s="203"/>
      <c r="E306" s="216">
        <v>-0.01</v>
      </c>
      <c r="F306" s="205"/>
      <c r="G306" s="2"/>
      <c r="H306" s="2"/>
      <c r="I306" s="216">
        <f>$I$163</f>
        <v>-0.01</v>
      </c>
      <c r="J306" s="207"/>
      <c r="K306" s="2"/>
      <c r="AE306" s="81"/>
    </row>
    <row r="307" spans="1:31">
      <c r="A307" s="1" t="s">
        <v>378</v>
      </c>
      <c r="B307" s="1"/>
      <c r="C307" s="203">
        <v>0</v>
      </c>
      <c r="D307" s="203">
        <v>0</v>
      </c>
      <c r="E307" s="218">
        <f>E296</f>
        <v>7</v>
      </c>
      <c r="F307" s="205"/>
      <c r="G307" s="2">
        <f>-ROUND(E307*$C307/100,0)</f>
        <v>0</v>
      </c>
      <c r="H307" s="2">
        <f t="shared" ref="H307:H316" si="30">-ROUND(E307*$D307/100,0)</f>
        <v>0</v>
      </c>
      <c r="I307" s="218">
        <f>I297</f>
        <v>11.18</v>
      </c>
      <c r="J307" s="205"/>
      <c r="K307" s="2">
        <f>-ROUND(I307*$D307/100,0)</f>
        <v>0</v>
      </c>
      <c r="AE307" s="81"/>
    </row>
    <row r="308" spans="1:31">
      <c r="A308" s="1" t="s">
        <v>379</v>
      </c>
      <c r="B308" s="1"/>
      <c r="C308" s="203">
        <v>0</v>
      </c>
      <c r="D308" s="203">
        <v>0</v>
      </c>
      <c r="E308" s="218">
        <f>E297</f>
        <v>10.4</v>
      </c>
      <c r="F308" s="205"/>
      <c r="G308" s="2">
        <f>-ROUND(E308*$C308/100,0)</f>
        <v>0</v>
      </c>
      <c r="H308" s="2">
        <f t="shared" si="30"/>
        <v>0</v>
      </c>
      <c r="I308" s="218">
        <f>I298</f>
        <v>0.78</v>
      </c>
      <c r="J308" s="205"/>
      <c r="K308" s="2">
        <f>-ROUND(I308*$D308/100,0)</f>
        <v>0</v>
      </c>
      <c r="AE308" s="81"/>
    </row>
    <row r="309" spans="1:31">
      <c r="A309" s="1" t="s">
        <v>390</v>
      </c>
      <c r="B309" s="1"/>
      <c r="C309" s="203">
        <v>0</v>
      </c>
      <c r="D309" s="203">
        <f>ROUND(($D$317/'Blocking - detail'!$C$317)*C309,0)</f>
        <v>0</v>
      </c>
      <c r="E309" s="218">
        <f>E298</f>
        <v>0.69</v>
      </c>
      <c r="F309" s="205"/>
      <c r="G309" s="2">
        <f>-ROUND(E309*$C309/100,0)</f>
        <v>0</v>
      </c>
      <c r="H309" s="2">
        <f t="shared" si="30"/>
        <v>0</v>
      </c>
      <c r="I309" s="218">
        <f>I299</f>
        <v>0</v>
      </c>
      <c r="J309" s="205"/>
      <c r="K309" s="2">
        <f>-ROUND(I309*$D309/100,0)</f>
        <v>0</v>
      </c>
      <c r="AE309" s="81"/>
    </row>
    <row r="310" spans="1:31">
      <c r="A310" s="1" t="s">
        <v>391</v>
      </c>
      <c r="B310" s="1"/>
      <c r="C310" s="203">
        <v>0</v>
      </c>
      <c r="D310" s="203">
        <f>ROUND(($D$317/'Blocking - detail'!$C$317)*C310,0)</f>
        <v>0</v>
      </c>
      <c r="E310" s="218">
        <f>E301</f>
        <v>2.81</v>
      </c>
      <c r="F310" s="207"/>
      <c r="G310" s="2">
        <f>-ROUND(E310*$C310/100,0)</f>
        <v>0</v>
      </c>
      <c r="H310" s="2">
        <f t="shared" si="30"/>
        <v>0</v>
      </c>
      <c r="I310" s="218">
        <f>I301</f>
        <v>2.88</v>
      </c>
      <c r="J310" s="207"/>
      <c r="K310" s="2">
        <f>-ROUND(I310*$D310/100,0)</f>
        <v>0</v>
      </c>
      <c r="AE310" s="81"/>
    </row>
    <row r="311" spans="1:31">
      <c r="A311" s="1" t="s">
        <v>393</v>
      </c>
      <c r="B311" s="1"/>
      <c r="C311" s="203">
        <v>0</v>
      </c>
      <c r="D311" s="203">
        <f>ROUND(($D$317/'Blocking - detail'!$C$317)*C311,0)</f>
        <v>0</v>
      </c>
      <c r="E311" s="219">
        <f>E302</f>
        <v>7.5869999999999997</v>
      </c>
      <c r="F311" s="207" t="s">
        <v>362</v>
      </c>
      <c r="G311" s="2">
        <f>ROUND(E311*$C311/100*E306,0)</f>
        <v>0</v>
      </c>
      <c r="H311" s="2">
        <f t="shared" si="30"/>
        <v>0</v>
      </c>
      <c r="I311" s="219">
        <f>I302</f>
        <v>8.0890000000000004</v>
      </c>
      <c r="J311" s="207" t="s">
        <v>362</v>
      </c>
      <c r="K311" s="2">
        <f>ROUND(I311*$D311/100*I306,0)</f>
        <v>0</v>
      </c>
      <c r="AE311" s="81"/>
    </row>
    <row r="312" spans="1:31">
      <c r="A312" s="1" t="s">
        <v>386</v>
      </c>
      <c r="B312" s="1"/>
      <c r="C312" s="203">
        <v>0</v>
      </c>
      <c r="D312" s="203">
        <f>ROUND(($D$317/'Blocking - detail'!$C$317)*C312,0)</f>
        <v>0</v>
      </c>
      <c r="E312" s="219">
        <f>E303</f>
        <v>5.2370000000000001</v>
      </c>
      <c r="F312" s="207" t="s">
        <v>362</v>
      </c>
      <c r="G312" s="2">
        <f>ROUND(E312*$C312/100*E306,0)</f>
        <v>0</v>
      </c>
      <c r="H312" s="2">
        <f t="shared" si="30"/>
        <v>0</v>
      </c>
      <c r="I312" s="219">
        <f>I303</f>
        <v>5.5839999999999996</v>
      </c>
      <c r="J312" s="207" t="s">
        <v>362</v>
      </c>
      <c r="K312" s="2">
        <f>ROUND(I312*$D312/100*I306,0)</f>
        <v>0</v>
      </c>
      <c r="AE312" s="81"/>
    </row>
    <row r="313" spans="1:31">
      <c r="A313" s="1" t="s">
        <v>387</v>
      </c>
      <c r="B313" s="1"/>
      <c r="C313" s="203">
        <v>0</v>
      </c>
      <c r="D313" s="203">
        <f>ROUND(($D$317/'Blocking - detail'!$C$317)*C313,0)</f>
        <v>0</v>
      </c>
      <c r="E313" s="219">
        <f>E304</f>
        <v>4.5129999999999999</v>
      </c>
      <c r="F313" s="207" t="s">
        <v>362</v>
      </c>
      <c r="G313" s="2">
        <f>ROUND(E313*$C313/100*E306,0)</f>
        <v>0</v>
      </c>
      <c r="H313" s="2">
        <f t="shared" si="30"/>
        <v>0</v>
      </c>
      <c r="I313" s="219">
        <f>I304</f>
        <v>4.8100000000000005</v>
      </c>
      <c r="J313" s="207" t="s">
        <v>362</v>
      </c>
      <c r="K313" s="2">
        <f>ROUND(I313*$D313/100*I306,0)</f>
        <v>0</v>
      </c>
      <c r="AE313" s="81"/>
    </row>
    <row r="314" spans="1:31">
      <c r="A314" s="1" t="s">
        <v>388</v>
      </c>
      <c r="B314" s="1"/>
      <c r="C314" s="203">
        <v>0</v>
      </c>
      <c r="D314" s="203">
        <f>ROUND(($D$317/'Blocking - detail'!$C$317)*C314,0)</f>
        <v>0</v>
      </c>
      <c r="E314" s="220">
        <f>E305</f>
        <v>45</v>
      </c>
      <c r="F314" s="207" t="s">
        <v>362</v>
      </c>
      <c r="G314" s="2">
        <f>ROUND(E314*$C314/100*E306,0)</f>
        <v>0</v>
      </c>
      <c r="H314" s="2">
        <f t="shared" si="30"/>
        <v>0</v>
      </c>
      <c r="I314" s="220">
        <f>I305</f>
        <v>45</v>
      </c>
      <c r="J314" s="207" t="s">
        <v>362</v>
      </c>
      <c r="K314" s="2">
        <f>ROUND(I314*$D314/100*I306,0)</f>
        <v>0</v>
      </c>
      <c r="AE314" s="81"/>
    </row>
    <row r="315" spans="1:31">
      <c r="A315" s="1" t="s">
        <v>395</v>
      </c>
      <c r="B315" s="1"/>
      <c r="C315" s="203">
        <v>0</v>
      </c>
      <c r="D315" s="203">
        <f>ROUND(($D$317/'Blocking - detail'!$C$317)*C315,0)</f>
        <v>0</v>
      </c>
      <c r="E315" s="221">
        <v>60</v>
      </c>
      <c r="F315" s="205"/>
      <c r="G315" s="2">
        <f>ROUND(E315*$C315,0)</f>
        <v>0</v>
      </c>
      <c r="H315" s="2">
        <f t="shared" si="30"/>
        <v>0</v>
      </c>
      <c r="I315" s="221">
        <f>$I$172</f>
        <v>60</v>
      </c>
      <c r="J315" s="207"/>
      <c r="K315" s="2">
        <f>ROUND(I315*$D315,0)</f>
        <v>0</v>
      </c>
      <c r="AE315" s="81"/>
    </row>
    <row r="316" spans="1:31">
      <c r="A316" s="1" t="s">
        <v>396</v>
      </c>
      <c r="B316" s="1"/>
      <c r="C316" s="203">
        <v>0</v>
      </c>
      <c r="D316" s="203">
        <f>ROUND(($D$317/'Blocking - detail'!$C$317)*C316,0)</f>
        <v>0</v>
      </c>
      <c r="E316" s="223">
        <v>-30</v>
      </c>
      <c r="F316" s="205" t="s">
        <v>362</v>
      </c>
      <c r="G316" s="2">
        <f>ROUND(E316*$C316/100,0)</f>
        <v>0</v>
      </c>
      <c r="H316" s="2">
        <f t="shared" si="30"/>
        <v>0</v>
      </c>
      <c r="I316" s="223">
        <f>$I$173</f>
        <v>-30</v>
      </c>
      <c r="J316" s="207" t="s">
        <v>362</v>
      </c>
      <c r="K316" s="2">
        <f>ROUND(I316*$D316/100,0)</f>
        <v>0</v>
      </c>
      <c r="AE316" s="81"/>
    </row>
    <row r="317" spans="1:31">
      <c r="A317" s="1" t="s">
        <v>369</v>
      </c>
      <c r="B317" s="1"/>
      <c r="C317" s="203">
        <f>SUM(C302:C304)</f>
        <v>1446411</v>
      </c>
      <c r="D317" s="203">
        <v>1473957.9193898283</v>
      </c>
      <c r="E317" s="214"/>
      <c r="F317" s="2"/>
      <c r="G317" s="2">
        <f>SUM(G296:G316)</f>
        <v>139779</v>
      </c>
      <c r="H317" s="2">
        <f>SUM(H296:H316)</f>
        <v>141603</v>
      </c>
      <c r="I317" s="214"/>
      <c r="J317" s="207"/>
      <c r="K317" s="2">
        <f>SUM(K296:K316)</f>
        <v>151271</v>
      </c>
      <c r="AE317" s="81"/>
    </row>
    <row r="318" spans="1:31">
      <c r="A318" s="1" t="s">
        <v>351</v>
      </c>
      <c r="B318" s="1"/>
      <c r="C318" s="233">
        <v>6388.0237176284736</v>
      </c>
      <c r="D318" s="224">
        <v>0</v>
      </c>
      <c r="E318" s="193"/>
      <c r="F318" s="193"/>
      <c r="G318" s="225">
        <v>524.67537963993209</v>
      </c>
      <c r="H318" s="225">
        <v>0</v>
      </c>
      <c r="I318" s="193"/>
      <c r="J318" s="193"/>
      <c r="K318" s="225">
        <v>0</v>
      </c>
      <c r="M318" s="173"/>
      <c r="N318" s="173"/>
      <c r="O318" s="174"/>
      <c r="AE318" s="81"/>
    </row>
    <row r="319" spans="1:31" ht="16.5" thickBot="1">
      <c r="A319" s="1" t="s">
        <v>370</v>
      </c>
      <c r="B319" s="1"/>
      <c r="C319" s="195">
        <f>SUM(C317:C318)</f>
        <v>1452799.0237176286</v>
      </c>
      <c r="D319" s="195">
        <f>SUM(D317:D318)</f>
        <v>1473957.9193898283</v>
      </c>
      <c r="E319" s="226"/>
      <c r="F319" s="227"/>
      <c r="G319" s="228">
        <f>G317+G318</f>
        <v>140303.67537963993</v>
      </c>
      <c r="H319" s="228">
        <f>H317+H318</f>
        <v>141603</v>
      </c>
      <c r="I319" s="226"/>
      <c r="J319" s="229"/>
      <c r="K319" s="228">
        <f>K317+K318</f>
        <v>151271</v>
      </c>
      <c r="M319" s="175"/>
      <c r="N319" s="175"/>
      <c r="O319" s="176"/>
      <c r="AE319" s="81"/>
    </row>
    <row r="320" spans="1:31" ht="16.5" thickTop="1">
      <c r="A320" s="1"/>
      <c r="B320" s="1"/>
      <c r="C320" s="21"/>
      <c r="D320" s="21"/>
      <c r="E320" s="221"/>
      <c r="F320" s="2"/>
      <c r="G320" s="2"/>
      <c r="H320" s="2"/>
      <c r="I320" s="221"/>
      <c r="J320" s="1"/>
      <c r="K320" s="2" t="s">
        <v>31</v>
      </c>
      <c r="AE320" s="81"/>
    </row>
    <row r="321" spans="1:31">
      <c r="A321" s="177" t="s">
        <v>403</v>
      </c>
      <c r="B321" s="1"/>
      <c r="C321" s="1"/>
      <c r="D321" s="1"/>
      <c r="E321" s="2"/>
      <c r="F321" s="2"/>
      <c r="G321" s="1" t="s">
        <v>31</v>
      </c>
      <c r="H321" s="1"/>
      <c r="I321" s="2"/>
      <c r="J321" s="1"/>
      <c r="K321" s="1"/>
      <c r="AE321" s="81"/>
    </row>
    <row r="322" spans="1:31">
      <c r="A322" s="1" t="s">
        <v>402</v>
      </c>
      <c r="B322" s="1"/>
      <c r="C322" s="1"/>
      <c r="D322" s="1"/>
      <c r="E322" s="2"/>
      <c r="F322" s="2"/>
      <c r="G322" s="1"/>
      <c r="H322" s="1"/>
      <c r="I322" s="2"/>
      <c r="J322" s="1"/>
      <c r="K322" s="1"/>
      <c r="AE322" s="81"/>
    </row>
    <row r="323" spans="1:31">
      <c r="A323" s="1"/>
      <c r="B323" s="1"/>
      <c r="C323" s="1"/>
      <c r="D323" s="1"/>
      <c r="E323" s="2"/>
      <c r="F323" s="2"/>
      <c r="G323" s="1"/>
      <c r="H323" s="1"/>
      <c r="I323" s="2"/>
      <c r="J323" s="1"/>
      <c r="K323" s="1"/>
      <c r="AE323" s="81"/>
    </row>
    <row r="324" spans="1:31">
      <c r="A324" s="1" t="s">
        <v>381</v>
      </c>
      <c r="B324" s="1"/>
      <c r="C324" s="203"/>
      <c r="D324" s="203"/>
      <c r="E324" s="2"/>
      <c r="F324" s="2"/>
      <c r="G324" s="1"/>
      <c r="H324" s="1"/>
      <c r="I324" s="2"/>
      <c r="J324" s="1"/>
      <c r="K324" s="1"/>
      <c r="AE324" s="81"/>
    </row>
    <row r="325" spans="1:31">
      <c r="A325" s="1" t="s">
        <v>404</v>
      </c>
      <c r="B325" s="1"/>
      <c r="C325" s="203">
        <v>516</v>
      </c>
      <c r="D325" s="203">
        <f>ROUND((D329/C329)*C325,0)</f>
        <v>516</v>
      </c>
      <c r="E325" s="182">
        <v>7</v>
      </c>
      <c r="F325" s="205"/>
      <c r="G325" s="2">
        <f>ROUND(E325*$C325,0)</f>
        <v>3612</v>
      </c>
      <c r="H325" s="2">
        <f>ROUND(E325*$D325,0)</f>
        <v>3612</v>
      </c>
      <c r="I325" s="182">
        <f>$I$153</f>
        <v>7.53</v>
      </c>
      <c r="J325" s="207"/>
      <c r="K325" s="2">
        <f>ROUND(I325*$D325,0)</f>
        <v>3885</v>
      </c>
      <c r="AE325" s="81"/>
    </row>
    <row r="326" spans="1:31">
      <c r="A326" s="1" t="s">
        <v>379</v>
      </c>
      <c r="B326" s="1"/>
      <c r="C326" s="203">
        <v>0</v>
      </c>
      <c r="D326" s="203">
        <v>0</v>
      </c>
      <c r="E326" s="182">
        <v>10.4</v>
      </c>
      <c r="F326" s="208"/>
      <c r="G326" s="2">
        <f>ROUND(E326*$C326,0)</f>
        <v>0</v>
      </c>
      <c r="H326" s="2">
        <f>ROUND(E326*$D326,0)</f>
        <v>0</v>
      </c>
      <c r="I326" s="182">
        <f>$I$154</f>
        <v>11.18</v>
      </c>
      <c r="J326" s="209"/>
      <c r="K326" s="2">
        <f>ROUND(I326*$D326,0)</f>
        <v>0</v>
      </c>
      <c r="AE326" s="81"/>
    </row>
    <row r="327" spans="1:31">
      <c r="A327" s="1" t="s">
        <v>380</v>
      </c>
      <c r="B327" s="1"/>
      <c r="C327" s="203">
        <v>0</v>
      </c>
      <c r="D327" s="203">
        <v>0</v>
      </c>
      <c r="E327" s="182">
        <v>0.69</v>
      </c>
      <c r="F327" s="208"/>
      <c r="G327" s="2">
        <f>ROUND(E327*$C327,0)</f>
        <v>0</v>
      </c>
      <c r="H327" s="2">
        <f>ROUND(E327*$D327,0)</f>
        <v>0</v>
      </c>
      <c r="I327" s="182">
        <f>$I$155</f>
        <v>0.78</v>
      </c>
      <c r="J327" s="209"/>
      <c r="K327" s="2">
        <f>ROUND(I327*$D327,0)</f>
        <v>0</v>
      </c>
      <c r="AE327" s="81"/>
    </row>
    <row r="328" spans="1:31">
      <c r="A328" s="1" t="s">
        <v>382</v>
      </c>
      <c r="B328" s="1"/>
      <c r="C328" s="203">
        <f>SUM(C325:C326)</f>
        <v>516</v>
      </c>
      <c r="D328" s="203">
        <f>ROUND((D329/C329)*C328,0)</f>
        <v>516</v>
      </c>
      <c r="E328" s="182"/>
      <c r="F328" s="205"/>
      <c r="G328" s="2"/>
      <c r="H328" s="2"/>
      <c r="I328" s="182"/>
      <c r="J328" s="207"/>
      <c r="K328" s="2"/>
      <c r="AE328" s="81"/>
    </row>
    <row r="329" spans="1:31">
      <c r="A329" s="1" t="s">
        <v>350</v>
      </c>
      <c r="B329" s="1"/>
      <c r="C329" s="203">
        <v>48</v>
      </c>
      <c r="D329" s="203">
        <v>48</v>
      </c>
      <c r="E329" s="182"/>
      <c r="F329" s="205"/>
      <c r="G329" s="2"/>
      <c r="H329" s="2"/>
      <c r="I329" s="182"/>
      <c r="J329" s="207"/>
      <c r="K329" s="2"/>
      <c r="AE329" s="81"/>
    </row>
    <row r="330" spans="1:31">
      <c r="A330" s="1" t="s">
        <v>383</v>
      </c>
      <c r="B330" s="1"/>
      <c r="C330" s="203">
        <v>0</v>
      </c>
      <c r="D330" s="203">
        <v>0</v>
      </c>
      <c r="E330" s="210">
        <v>2.81</v>
      </c>
      <c r="F330" s="207"/>
      <c r="G330" s="2">
        <f>ROUND(E330*$C330,0)</f>
        <v>0</v>
      </c>
      <c r="H330" s="2">
        <f>ROUND(E330*$D330,0)</f>
        <v>0</v>
      </c>
      <c r="I330" s="210">
        <f>$I$158</f>
        <v>2.88</v>
      </c>
      <c r="J330" s="207"/>
      <c r="K330" s="2">
        <f>ROUND(I330*$D330,0)</f>
        <v>0</v>
      </c>
      <c r="AE330" s="81"/>
    </row>
    <row r="331" spans="1:31">
      <c r="A331" s="1" t="s">
        <v>385</v>
      </c>
      <c r="B331" s="1"/>
      <c r="C331" s="203">
        <f>33313</f>
        <v>33313</v>
      </c>
      <c r="D331" s="203">
        <f>ROUND(($D$346/'Blocking - detail'!$C$346)*C331,0)</f>
        <v>38537</v>
      </c>
      <c r="E331" s="183">
        <v>7.5869999999999997</v>
      </c>
      <c r="F331" s="207" t="s">
        <v>362</v>
      </c>
      <c r="G331" s="2">
        <f>ROUND(E331*$C331/100,0)</f>
        <v>2527</v>
      </c>
      <c r="H331" s="2">
        <f>ROUND(E331*$D331/100,0)</f>
        <v>2924</v>
      </c>
      <c r="I331" s="183">
        <f>$I$159</f>
        <v>8.0890000000000004</v>
      </c>
      <c r="J331" s="207" t="s">
        <v>362</v>
      </c>
      <c r="K331" s="2">
        <f>ROUND(I331*$D331/100,0)</f>
        <v>3117</v>
      </c>
      <c r="AE331" s="81"/>
    </row>
    <row r="332" spans="1:31">
      <c r="A332" s="1" t="s">
        <v>386</v>
      </c>
      <c r="B332" s="1"/>
      <c r="C332" s="203">
        <v>0</v>
      </c>
      <c r="D332" s="203">
        <v>0</v>
      </c>
      <c r="E332" s="183">
        <v>5.2370000000000001</v>
      </c>
      <c r="F332" s="207" t="s">
        <v>362</v>
      </c>
      <c r="G332" s="2">
        <f>ROUND(E332*$C332/100,0)</f>
        <v>0</v>
      </c>
      <c r="H332" s="2">
        <f>ROUND(E332*$D332/100,0)</f>
        <v>0</v>
      </c>
      <c r="I332" s="183">
        <f>$I$160</f>
        <v>5.5839999999999996</v>
      </c>
      <c r="J332" s="207" t="s">
        <v>362</v>
      </c>
      <c r="K332" s="2">
        <f>ROUND(I332*$D332/100,0)</f>
        <v>0</v>
      </c>
      <c r="AE332" s="81"/>
    </row>
    <row r="333" spans="1:31">
      <c r="A333" s="1" t="s">
        <v>387</v>
      </c>
      <c r="B333" s="1"/>
      <c r="C333" s="203">
        <f>33313-C331</f>
        <v>0</v>
      </c>
      <c r="D333" s="203">
        <v>0</v>
      </c>
      <c r="E333" s="183">
        <v>4.5129999999999999</v>
      </c>
      <c r="F333" s="207" t="s">
        <v>362</v>
      </c>
      <c r="G333" s="2">
        <f>ROUND(E333*$C333/100,0)</f>
        <v>0</v>
      </c>
      <c r="H333" s="2">
        <f>ROUND(E333*$D333/100,0)</f>
        <v>0</v>
      </c>
      <c r="I333" s="183">
        <f>$I$161</f>
        <v>4.8100000000000005</v>
      </c>
      <c r="J333" s="207" t="s">
        <v>362</v>
      </c>
      <c r="K333" s="2">
        <f>ROUND(I333*$D333/100,0)</f>
        <v>0</v>
      </c>
      <c r="AE333" s="81"/>
    </row>
    <row r="334" spans="1:31">
      <c r="A334" s="1" t="s">
        <v>388</v>
      </c>
      <c r="B334" s="1"/>
      <c r="C334" s="203">
        <v>0</v>
      </c>
      <c r="D334" s="203">
        <v>0</v>
      </c>
      <c r="E334" s="214">
        <v>45</v>
      </c>
      <c r="F334" s="205" t="s">
        <v>362</v>
      </c>
      <c r="G334" s="2">
        <f>ROUND(E334*$C334/100,0)</f>
        <v>0</v>
      </c>
      <c r="H334" s="2">
        <f>ROUND(E334*$D334/100,0)</f>
        <v>0</v>
      </c>
      <c r="I334" s="214">
        <f>$I$162</f>
        <v>45</v>
      </c>
      <c r="J334" s="207" t="s">
        <v>362</v>
      </c>
      <c r="K334" s="2">
        <f>ROUND(I334*$D334/100,0)</f>
        <v>0</v>
      </c>
      <c r="AE334" s="81"/>
    </row>
    <row r="335" spans="1:31">
      <c r="A335" s="215" t="s">
        <v>389</v>
      </c>
      <c r="B335" s="1"/>
      <c r="C335" s="203"/>
      <c r="D335" s="203"/>
      <c r="E335" s="216">
        <v>-0.01</v>
      </c>
      <c r="F335" s="205"/>
      <c r="G335" s="2"/>
      <c r="H335" s="2"/>
      <c r="I335" s="216">
        <f>$I$163</f>
        <v>-0.01</v>
      </c>
      <c r="J335" s="207"/>
      <c r="K335" s="2"/>
      <c r="AE335" s="81"/>
    </row>
    <row r="336" spans="1:31">
      <c r="A336" s="1" t="s">
        <v>378</v>
      </c>
      <c r="B336" s="1"/>
      <c r="C336" s="203">
        <v>0</v>
      </c>
      <c r="D336" s="203">
        <v>0</v>
      </c>
      <c r="E336" s="218">
        <f>E325</f>
        <v>7</v>
      </c>
      <c r="F336" s="205"/>
      <c r="G336" s="2">
        <f>-ROUND(E336*$C336/100,0)</f>
        <v>0</v>
      </c>
      <c r="H336" s="2">
        <f t="shared" ref="H336:H345" si="31">-ROUND(E336*$D336/100,0)</f>
        <v>0</v>
      </c>
      <c r="I336" s="218">
        <f>I326</f>
        <v>11.18</v>
      </c>
      <c r="J336" s="205"/>
      <c r="K336" s="2">
        <f>-ROUND(I336*$D336/100,0)</f>
        <v>0</v>
      </c>
      <c r="AE336" s="81"/>
    </row>
    <row r="337" spans="1:31">
      <c r="A337" s="1" t="s">
        <v>379</v>
      </c>
      <c r="B337" s="1"/>
      <c r="C337" s="203">
        <v>0</v>
      </c>
      <c r="D337" s="203">
        <v>0</v>
      </c>
      <c r="E337" s="218">
        <f>E326</f>
        <v>10.4</v>
      </c>
      <c r="F337" s="205"/>
      <c r="G337" s="2">
        <f>-ROUND(E337*$C337/100,0)</f>
        <v>0</v>
      </c>
      <c r="H337" s="2">
        <f t="shared" si="31"/>
        <v>0</v>
      </c>
      <c r="I337" s="218">
        <f>I327</f>
        <v>0.78</v>
      </c>
      <c r="J337" s="205"/>
      <c r="K337" s="2">
        <f>-ROUND(I337*$D337/100,0)</f>
        <v>0</v>
      </c>
      <c r="AE337" s="81"/>
    </row>
    <row r="338" spans="1:31">
      <c r="A338" s="1" t="s">
        <v>390</v>
      </c>
      <c r="B338" s="1"/>
      <c r="C338" s="203">
        <v>0</v>
      </c>
      <c r="D338" s="203">
        <v>0</v>
      </c>
      <c r="E338" s="218">
        <f>E327</f>
        <v>0.69</v>
      </c>
      <c r="F338" s="205"/>
      <c r="G338" s="2">
        <f>-ROUND(E338*$C338/100,0)</f>
        <v>0</v>
      </c>
      <c r="H338" s="2">
        <f t="shared" si="31"/>
        <v>0</v>
      </c>
      <c r="I338" s="218">
        <f>I328</f>
        <v>0</v>
      </c>
      <c r="J338" s="205"/>
      <c r="K338" s="2">
        <f>-ROUND(I338*$D338/100,0)</f>
        <v>0</v>
      </c>
      <c r="AE338" s="81"/>
    </row>
    <row r="339" spans="1:31">
      <c r="A339" s="1" t="s">
        <v>391</v>
      </c>
      <c r="B339" s="1"/>
      <c r="C339" s="203">
        <v>0</v>
      </c>
      <c r="D339" s="203">
        <v>0</v>
      </c>
      <c r="E339" s="218">
        <f>E330</f>
        <v>2.81</v>
      </c>
      <c r="F339" s="207"/>
      <c r="G339" s="2">
        <f>-ROUND(E339*$C339/100,0)</f>
        <v>0</v>
      </c>
      <c r="H339" s="2">
        <f t="shared" si="31"/>
        <v>0</v>
      </c>
      <c r="I339" s="218">
        <f>I330</f>
        <v>2.88</v>
      </c>
      <c r="J339" s="207"/>
      <c r="K339" s="2">
        <f>-ROUND(I339*$D339/100,0)</f>
        <v>0</v>
      </c>
      <c r="AE339" s="81"/>
    </row>
    <row r="340" spans="1:31">
      <c r="A340" s="1" t="s">
        <v>393</v>
      </c>
      <c r="B340" s="1"/>
      <c r="C340" s="203">
        <v>0</v>
      </c>
      <c r="D340" s="203">
        <v>0</v>
      </c>
      <c r="E340" s="219">
        <f>E331</f>
        <v>7.5869999999999997</v>
      </c>
      <c r="F340" s="207" t="s">
        <v>362</v>
      </c>
      <c r="G340" s="2">
        <f>ROUND(E340*$C340/100*E335,0)</f>
        <v>0</v>
      </c>
      <c r="H340" s="2">
        <f t="shared" si="31"/>
        <v>0</v>
      </c>
      <c r="I340" s="219">
        <f>I331</f>
        <v>8.0890000000000004</v>
      </c>
      <c r="J340" s="207" t="s">
        <v>362</v>
      </c>
      <c r="K340" s="2">
        <f>ROUND(I340*$D340/100*I335,0)</f>
        <v>0</v>
      </c>
      <c r="AE340" s="81"/>
    </row>
    <row r="341" spans="1:31">
      <c r="A341" s="1" t="s">
        <v>386</v>
      </c>
      <c r="B341" s="1"/>
      <c r="C341" s="203">
        <v>0</v>
      </c>
      <c r="D341" s="203">
        <v>0</v>
      </c>
      <c r="E341" s="219">
        <f>E332</f>
        <v>5.2370000000000001</v>
      </c>
      <c r="F341" s="207" t="s">
        <v>362</v>
      </c>
      <c r="G341" s="2">
        <f>ROUND(E341*$C341/100*E335,0)</f>
        <v>0</v>
      </c>
      <c r="H341" s="2">
        <f t="shared" si="31"/>
        <v>0</v>
      </c>
      <c r="I341" s="219">
        <f>I332</f>
        <v>5.5839999999999996</v>
      </c>
      <c r="J341" s="207" t="s">
        <v>362</v>
      </c>
      <c r="K341" s="2">
        <f>ROUND(I341*$D341/100*I335,0)</f>
        <v>0</v>
      </c>
      <c r="AE341" s="81"/>
    </row>
    <row r="342" spans="1:31">
      <c r="A342" s="1" t="s">
        <v>387</v>
      </c>
      <c r="B342" s="1"/>
      <c r="C342" s="203">
        <v>0</v>
      </c>
      <c r="D342" s="203">
        <v>0</v>
      </c>
      <c r="E342" s="219">
        <f>E333</f>
        <v>4.5129999999999999</v>
      </c>
      <c r="F342" s="207" t="s">
        <v>362</v>
      </c>
      <c r="G342" s="2">
        <f>ROUND(E342*$C342/100*E335,0)</f>
        <v>0</v>
      </c>
      <c r="H342" s="2">
        <f t="shared" si="31"/>
        <v>0</v>
      </c>
      <c r="I342" s="219">
        <f>I333</f>
        <v>4.8100000000000005</v>
      </c>
      <c r="J342" s="207" t="s">
        <v>362</v>
      </c>
      <c r="K342" s="2">
        <f>ROUND(I342*$D342/100*I335,0)</f>
        <v>0</v>
      </c>
      <c r="AE342" s="81"/>
    </row>
    <row r="343" spans="1:31">
      <c r="A343" s="1" t="s">
        <v>388</v>
      </c>
      <c r="B343" s="1"/>
      <c r="C343" s="203">
        <v>0</v>
      </c>
      <c r="D343" s="203">
        <v>0</v>
      </c>
      <c r="E343" s="220">
        <f>E334</f>
        <v>45</v>
      </c>
      <c r="F343" s="207" t="s">
        <v>362</v>
      </c>
      <c r="G343" s="2">
        <f>ROUND(E343*$C343/100*E335,0)</f>
        <v>0</v>
      </c>
      <c r="H343" s="2">
        <f t="shared" si="31"/>
        <v>0</v>
      </c>
      <c r="I343" s="220">
        <f>I334</f>
        <v>45</v>
      </c>
      <c r="J343" s="207" t="s">
        <v>362</v>
      </c>
      <c r="K343" s="2">
        <f>ROUND(I343*$D343/100*I335,0)</f>
        <v>0</v>
      </c>
      <c r="AE343" s="81"/>
    </row>
    <row r="344" spans="1:31">
      <c r="A344" s="1" t="s">
        <v>395</v>
      </c>
      <c r="B344" s="1"/>
      <c r="C344" s="203">
        <v>0</v>
      </c>
      <c r="D344" s="203">
        <v>0</v>
      </c>
      <c r="E344" s="221">
        <v>60</v>
      </c>
      <c r="F344" s="205"/>
      <c r="G344" s="2">
        <f>ROUND(E344*$C344,0)</f>
        <v>0</v>
      </c>
      <c r="H344" s="2">
        <f t="shared" si="31"/>
        <v>0</v>
      </c>
      <c r="I344" s="221">
        <f>$I$172</f>
        <v>60</v>
      </c>
      <c r="J344" s="207"/>
      <c r="K344" s="2">
        <f>ROUND(I344*$D344,0)</f>
        <v>0</v>
      </c>
      <c r="AE344" s="81"/>
    </row>
    <row r="345" spans="1:31">
      <c r="A345" s="1" t="s">
        <v>396</v>
      </c>
      <c r="B345" s="1"/>
      <c r="C345" s="203">
        <v>0</v>
      </c>
      <c r="D345" s="203">
        <v>0</v>
      </c>
      <c r="E345" s="223">
        <v>-30</v>
      </c>
      <c r="F345" s="205" t="s">
        <v>362</v>
      </c>
      <c r="G345" s="2">
        <f>ROUND(E345*$C345/100,0)</f>
        <v>0</v>
      </c>
      <c r="H345" s="2">
        <f t="shared" si="31"/>
        <v>0</v>
      </c>
      <c r="I345" s="223">
        <f>$I$173</f>
        <v>-30</v>
      </c>
      <c r="J345" s="207" t="s">
        <v>362</v>
      </c>
      <c r="K345" s="2">
        <f>ROUND(I345*$D345/100,0)</f>
        <v>0</v>
      </c>
      <c r="AE345" s="81"/>
    </row>
    <row r="346" spans="1:31">
      <c r="A346" s="1" t="s">
        <v>369</v>
      </c>
      <c r="B346" s="1"/>
      <c r="C346" s="203">
        <f>SUM(C331:C333)</f>
        <v>33313</v>
      </c>
      <c r="D346" s="203">
        <v>38537</v>
      </c>
      <c r="E346" s="214"/>
      <c r="F346" s="2"/>
      <c r="G346" s="2">
        <f>SUM(G325:G345)</f>
        <v>6139</v>
      </c>
      <c r="H346" s="2">
        <f>SUM(H325:H345)</f>
        <v>6536</v>
      </c>
      <c r="I346" s="214"/>
      <c r="J346" s="207"/>
      <c r="K346" s="2">
        <f>SUM(K325:K345)</f>
        <v>7002</v>
      </c>
      <c r="AE346" s="81"/>
    </row>
    <row r="347" spans="1:31">
      <c r="A347" s="1" t="s">
        <v>351</v>
      </c>
      <c r="B347" s="1"/>
      <c r="C347" s="233">
        <v>-750.87972231873164</v>
      </c>
      <c r="D347" s="224">
        <v>0</v>
      </c>
      <c r="E347" s="193"/>
      <c r="F347" s="193"/>
      <c r="G347" s="225">
        <v>-108.69861545937974</v>
      </c>
      <c r="H347" s="225">
        <v>0</v>
      </c>
      <c r="I347" s="193"/>
      <c r="J347" s="193"/>
      <c r="K347" s="225">
        <v>0</v>
      </c>
      <c r="M347" s="173"/>
      <c r="N347" s="173"/>
      <c r="O347" s="174"/>
      <c r="AE347" s="81"/>
    </row>
    <row r="348" spans="1:31" ht="16.5" thickBot="1">
      <c r="A348" s="1" t="s">
        <v>370</v>
      </c>
      <c r="B348" s="1"/>
      <c r="C348" s="195">
        <f>SUM(C346:C347)</f>
        <v>32562.120277681268</v>
      </c>
      <c r="D348" s="195">
        <f>SUM(D346:D347)</f>
        <v>38537</v>
      </c>
      <c r="E348" s="226"/>
      <c r="F348" s="227"/>
      <c r="G348" s="228">
        <f>G346+G347</f>
        <v>6030.3013845406203</v>
      </c>
      <c r="H348" s="228">
        <f>H346+H347</f>
        <v>6536</v>
      </c>
      <c r="I348" s="226"/>
      <c r="J348" s="229"/>
      <c r="K348" s="228">
        <f>K346+K347</f>
        <v>7002</v>
      </c>
      <c r="M348" s="175"/>
      <c r="N348" s="175"/>
      <c r="O348" s="176"/>
      <c r="AE348" s="81"/>
    </row>
    <row r="349" spans="1:31" ht="16.5" thickTop="1">
      <c r="A349" s="1"/>
      <c r="B349" s="1"/>
      <c r="C349" s="21"/>
      <c r="D349" s="21"/>
      <c r="E349" s="221"/>
      <c r="F349" s="2"/>
      <c r="G349" s="2"/>
      <c r="H349" s="2"/>
      <c r="I349" s="237" t="s">
        <v>31</v>
      </c>
      <c r="J349" s="1"/>
      <c r="K349" s="2" t="s">
        <v>31</v>
      </c>
      <c r="AE349" s="81"/>
    </row>
    <row r="350" spans="1:31">
      <c r="A350" s="1"/>
      <c r="B350" s="1"/>
      <c r="C350" s="21"/>
      <c r="D350" s="21"/>
      <c r="E350" s="221"/>
      <c r="F350" s="2"/>
      <c r="G350" s="2"/>
      <c r="H350" s="2"/>
      <c r="I350" s="237" t="s">
        <v>31</v>
      </c>
      <c r="J350" s="1"/>
      <c r="K350" s="2" t="s">
        <v>31</v>
      </c>
      <c r="AE350" s="81"/>
    </row>
    <row r="351" spans="1:31">
      <c r="A351" s="177" t="s">
        <v>405</v>
      </c>
      <c r="B351" s="1"/>
      <c r="C351" s="1"/>
      <c r="D351" s="1"/>
      <c r="E351" s="2"/>
      <c r="F351" s="2"/>
      <c r="G351" s="1" t="s">
        <v>31</v>
      </c>
      <c r="H351" s="1"/>
      <c r="I351" s="2"/>
      <c r="J351" s="1"/>
      <c r="K351" s="1"/>
      <c r="AE351" s="81"/>
    </row>
    <row r="352" spans="1:31">
      <c r="A352" s="1" t="s">
        <v>398</v>
      </c>
      <c r="B352" s="1"/>
      <c r="C352" s="1"/>
      <c r="D352" s="1"/>
      <c r="E352" s="2"/>
      <c r="F352" s="2"/>
      <c r="G352" s="1"/>
      <c r="H352" s="1"/>
      <c r="I352" s="2"/>
      <c r="J352" s="1"/>
      <c r="K352" s="1"/>
    </row>
    <row r="353" spans="1:11">
      <c r="A353" s="1" t="s">
        <v>406</v>
      </c>
      <c r="B353" s="1"/>
      <c r="C353" s="1"/>
      <c r="D353" s="1"/>
      <c r="E353" s="2"/>
      <c r="F353" s="2"/>
      <c r="G353" s="1"/>
      <c r="H353" s="1"/>
      <c r="I353" s="2"/>
      <c r="J353" s="1"/>
      <c r="K353" s="1"/>
    </row>
    <row r="354" spans="1:11">
      <c r="A354" s="1" t="s">
        <v>381</v>
      </c>
      <c r="B354" s="1"/>
      <c r="C354" s="203"/>
      <c r="D354" s="203"/>
      <c r="E354" s="2"/>
      <c r="F354" s="2"/>
      <c r="G354" s="1"/>
      <c r="H354" s="1"/>
      <c r="I354" s="2"/>
      <c r="J354" s="1"/>
      <c r="K354" s="1"/>
    </row>
    <row r="355" spans="1:11">
      <c r="A355" s="1" t="s">
        <v>378</v>
      </c>
      <c r="B355" s="1"/>
      <c r="C355" s="203">
        <f t="shared" ref="C355:D364" si="32">C384+C413</f>
        <v>1</v>
      </c>
      <c r="D355" s="203">
        <f t="shared" si="32"/>
        <v>1</v>
      </c>
      <c r="E355" s="182">
        <v>84</v>
      </c>
      <c r="F355" s="205"/>
      <c r="G355" s="2">
        <f t="shared" ref="G355:H357" si="33">G384+G413</f>
        <v>84</v>
      </c>
      <c r="H355" s="2">
        <f t="shared" si="33"/>
        <v>84</v>
      </c>
      <c r="I355" s="182">
        <f>$I$149</f>
        <v>90.36</v>
      </c>
      <c r="J355" s="207"/>
      <c r="K355" s="2">
        <f>K384+K413</f>
        <v>90</v>
      </c>
    </row>
    <row r="356" spans="1:11">
      <c r="A356" s="1" t="s">
        <v>379</v>
      </c>
      <c r="B356" s="1"/>
      <c r="C356" s="203">
        <f t="shared" si="32"/>
        <v>112</v>
      </c>
      <c r="D356" s="203">
        <f t="shared" si="32"/>
        <v>109</v>
      </c>
      <c r="E356" s="182">
        <v>124.8</v>
      </c>
      <c r="F356" s="208"/>
      <c r="G356" s="2">
        <f t="shared" si="33"/>
        <v>13978</v>
      </c>
      <c r="H356" s="2">
        <f t="shared" si="33"/>
        <v>13603</v>
      </c>
      <c r="I356" s="182">
        <f>$I$150</f>
        <v>134.16</v>
      </c>
      <c r="J356" s="209"/>
      <c r="K356" s="2">
        <f>K385+K414</f>
        <v>14623</v>
      </c>
    </row>
    <row r="357" spans="1:11">
      <c r="A357" s="1" t="s">
        <v>380</v>
      </c>
      <c r="B357" s="1"/>
      <c r="C357" s="203">
        <f t="shared" si="32"/>
        <v>4566</v>
      </c>
      <c r="D357" s="203">
        <f t="shared" si="32"/>
        <v>3312</v>
      </c>
      <c r="E357" s="182">
        <v>8.2799999999999994</v>
      </c>
      <c r="F357" s="208"/>
      <c r="G357" s="2">
        <f t="shared" si="33"/>
        <v>37806</v>
      </c>
      <c r="H357" s="2">
        <f t="shared" si="33"/>
        <v>27423</v>
      </c>
      <c r="I357" s="182">
        <f>$I$151</f>
        <v>9.36</v>
      </c>
      <c r="J357" s="209"/>
      <c r="K357" s="2">
        <f>K386+K415</f>
        <v>31000</v>
      </c>
    </row>
    <row r="358" spans="1:11">
      <c r="A358" s="1" t="s">
        <v>382</v>
      </c>
      <c r="B358" s="1"/>
      <c r="C358" s="203">
        <f t="shared" si="32"/>
        <v>113</v>
      </c>
      <c r="D358" s="203">
        <f t="shared" si="32"/>
        <v>109.75</v>
      </c>
      <c r="E358" s="182"/>
      <c r="F358" s="205"/>
      <c r="G358" s="2"/>
      <c r="H358" s="2"/>
      <c r="I358" s="182"/>
      <c r="J358" s="207"/>
      <c r="K358" s="2"/>
    </row>
    <row r="359" spans="1:11">
      <c r="A359" s="1" t="s">
        <v>407</v>
      </c>
      <c r="B359" s="1"/>
      <c r="C359" s="203">
        <f t="shared" si="32"/>
        <v>511</v>
      </c>
      <c r="D359" s="203">
        <f t="shared" si="32"/>
        <v>497</v>
      </c>
      <c r="E359" s="182"/>
      <c r="F359" s="205"/>
      <c r="G359" s="2"/>
      <c r="H359" s="2"/>
      <c r="I359" s="182"/>
      <c r="J359" s="207"/>
      <c r="K359" s="2"/>
    </row>
    <row r="360" spans="1:11">
      <c r="A360" s="1" t="s">
        <v>383</v>
      </c>
      <c r="B360" s="1"/>
      <c r="C360" s="203">
        <f t="shared" si="32"/>
        <v>12874</v>
      </c>
      <c r="D360" s="203">
        <f t="shared" si="32"/>
        <v>9698</v>
      </c>
      <c r="E360" s="210">
        <v>2.81</v>
      </c>
      <c r="F360" s="207"/>
      <c r="G360" s="2">
        <f t="shared" ref="G360:H364" si="34">G389+G418</f>
        <v>36176</v>
      </c>
      <c r="H360" s="2">
        <f t="shared" si="34"/>
        <v>27251</v>
      </c>
      <c r="I360" s="210">
        <f>$I$158</f>
        <v>2.88</v>
      </c>
      <c r="J360" s="207"/>
      <c r="K360" s="2">
        <f>K389+K418</f>
        <v>27931</v>
      </c>
    </row>
    <row r="361" spans="1:11">
      <c r="A361" s="1" t="s">
        <v>385</v>
      </c>
      <c r="B361" s="1"/>
      <c r="C361" s="203">
        <f t="shared" si="32"/>
        <v>184406</v>
      </c>
      <c r="D361" s="203">
        <f t="shared" si="32"/>
        <v>137037</v>
      </c>
      <c r="E361" s="183">
        <v>7.5869999999999997</v>
      </c>
      <c r="F361" s="207" t="s">
        <v>362</v>
      </c>
      <c r="G361" s="2">
        <f t="shared" si="34"/>
        <v>13991</v>
      </c>
      <c r="H361" s="2">
        <f t="shared" si="34"/>
        <v>10397</v>
      </c>
      <c r="I361" s="183">
        <f>$I$159</f>
        <v>8.0890000000000004</v>
      </c>
      <c r="J361" s="207" t="s">
        <v>362</v>
      </c>
      <c r="K361" s="2">
        <f>K390+K419</f>
        <v>11085</v>
      </c>
    </row>
    <row r="362" spans="1:11">
      <c r="A362" s="1" t="s">
        <v>386</v>
      </c>
      <c r="B362" s="1"/>
      <c r="C362" s="203">
        <f t="shared" si="32"/>
        <v>224259</v>
      </c>
      <c r="D362" s="203">
        <f t="shared" si="32"/>
        <v>163082</v>
      </c>
      <c r="E362" s="183">
        <v>5.2370000000000001</v>
      </c>
      <c r="F362" s="207" t="s">
        <v>362</v>
      </c>
      <c r="G362" s="2">
        <f t="shared" si="34"/>
        <v>11745</v>
      </c>
      <c r="H362" s="2">
        <f t="shared" si="34"/>
        <v>8541</v>
      </c>
      <c r="I362" s="183">
        <f>$I$160</f>
        <v>5.5839999999999996</v>
      </c>
      <c r="J362" s="207" t="s">
        <v>362</v>
      </c>
      <c r="K362" s="2">
        <f>K391+K420</f>
        <v>9107</v>
      </c>
    </row>
    <row r="363" spans="1:11">
      <c r="A363" s="1" t="s">
        <v>387</v>
      </c>
      <c r="B363" s="1"/>
      <c r="C363" s="203">
        <f t="shared" si="32"/>
        <v>0</v>
      </c>
      <c r="D363" s="203">
        <f t="shared" si="32"/>
        <v>0</v>
      </c>
      <c r="E363" s="183">
        <v>4.5129999999999999</v>
      </c>
      <c r="F363" s="207" t="s">
        <v>362</v>
      </c>
      <c r="G363" s="2">
        <f t="shared" si="34"/>
        <v>0</v>
      </c>
      <c r="H363" s="2">
        <f t="shared" si="34"/>
        <v>0</v>
      </c>
      <c r="I363" s="183">
        <f>$I$161</f>
        <v>4.8100000000000005</v>
      </c>
      <c r="J363" s="207" t="s">
        <v>362</v>
      </c>
      <c r="K363" s="2">
        <f>K392+K421</f>
        <v>0</v>
      </c>
    </row>
    <row r="364" spans="1:11">
      <c r="A364" s="1" t="s">
        <v>388</v>
      </c>
      <c r="B364" s="1"/>
      <c r="C364" s="203">
        <f t="shared" si="32"/>
        <v>1798</v>
      </c>
      <c r="D364" s="203">
        <f t="shared" si="32"/>
        <v>1304</v>
      </c>
      <c r="E364" s="214">
        <v>45</v>
      </c>
      <c r="F364" s="205" t="s">
        <v>362</v>
      </c>
      <c r="G364" s="2">
        <f t="shared" si="34"/>
        <v>809</v>
      </c>
      <c r="H364" s="2">
        <f t="shared" si="34"/>
        <v>587</v>
      </c>
      <c r="I364" s="214">
        <f>$I$162</f>
        <v>45</v>
      </c>
      <c r="J364" s="207" t="s">
        <v>362</v>
      </c>
      <c r="K364" s="2">
        <f>K393+K422</f>
        <v>587</v>
      </c>
    </row>
    <row r="365" spans="1:11">
      <c r="A365" s="215" t="s">
        <v>389</v>
      </c>
      <c r="B365" s="1"/>
      <c r="C365" s="203"/>
      <c r="D365" s="203"/>
      <c r="E365" s="216">
        <v>-0.01</v>
      </c>
      <c r="F365" s="205"/>
      <c r="G365" s="2"/>
      <c r="H365" s="2"/>
      <c r="I365" s="216">
        <f>$I$163</f>
        <v>-0.01</v>
      </c>
      <c r="J365" s="207"/>
      <c r="K365" s="2"/>
    </row>
    <row r="366" spans="1:11">
      <c r="A366" s="1" t="s">
        <v>378</v>
      </c>
      <c r="B366" s="1"/>
      <c r="C366" s="203">
        <v>0</v>
      </c>
      <c r="D366" s="203">
        <v>0</v>
      </c>
      <c r="E366" s="218">
        <f>E355</f>
        <v>84</v>
      </c>
      <c r="F366" s="205"/>
      <c r="G366" s="2">
        <f t="shared" ref="G366:H377" si="35">G395+G424</f>
        <v>0</v>
      </c>
      <c r="H366" s="2">
        <f t="shared" si="35"/>
        <v>0</v>
      </c>
      <c r="I366" s="218">
        <f>I355</f>
        <v>90.36</v>
      </c>
      <c r="J366" s="205"/>
      <c r="K366" s="2">
        <f t="shared" ref="K366:K377" si="36">K395+K424</f>
        <v>0</v>
      </c>
    </row>
    <row r="367" spans="1:11">
      <c r="A367" s="1" t="s">
        <v>379</v>
      </c>
      <c r="B367" s="1"/>
      <c r="C367" s="203">
        <v>0</v>
      </c>
      <c r="D367" s="203">
        <v>0</v>
      </c>
      <c r="E367" s="218">
        <f>E356</f>
        <v>124.8</v>
      </c>
      <c r="F367" s="205"/>
      <c r="G367" s="2">
        <f t="shared" si="35"/>
        <v>0</v>
      </c>
      <c r="H367" s="2">
        <f t="shared" si="35"/>
        <v>0</v>
      </c>
      <c r="I367" s="218">
        <f>I356</f>
        <v>134.16</v>
      </c>
      <c r="J367" s="205"/>
      <c r="K367" s="2">
        <f t="shared" si="36"/>
        <v>0</v>
      </c>
    </row>
    <row r="368" spans="1:11">
      <c r="A368" s="1" t="s">
        <v>390</v>
      </c>
      <c r="B368" s="1"/>
      <c r="C368" s="203">
        <v>0</v>
      </c>
      <c r="D368" s="203">
        <v>0</v>
      </c>
      <c r="E368" s="218">
        <f>E357</f>
        <v>8.2799999999999994</v>
      </c>
      <c r="F368" s="205"/>
      <c r="G368" s="2">
        <f t="shared" si="35"/>
        <v>0</v>
      </c>
      <c r="H368" s="2">
        <f t="shared" si="35"/>
        <v>0</v>
      </c>
      <c r="I368" s="218">
        <f>I357</f>
        <v>9.36</v>
      </c>
      <c r="J368" s="205"/>
      <c r="K368" s="2">
        <f t="shared" si="36"/>
        <v>0</v>
      </c>
    </row>
    <row r="369" spans="1:15">
      <c r="A369" s="1" t="s">
        <v>391</v>
      </c>
      <c r="B369" s="1"/>
      <c r="C369" s="203">
        <v>0</v>
      </c>
      <c r="D369" s="203">
        <v>0</v>
      </c>
      <c r="E369" s="218">
        <f>E360</f>
        <v>2.81</v>
      </c>
      <c r="F369" s="207"/>
      <c r="G369" s="2">
        <f t="shared" si="35"/>
        <v>0</v>
      </c>
      <c r="H369" s="2">
        <f t="shared" si="35"/>
        <v>0</v>
      </c>
      <c r="I369" s="218">
        <f>I360</f>
        <v>2.88</v>
      </c>
      <c r="J369" s="207"/>
      <c r="K369" s="2">
        <f t="shared" si="36"/>
        <v>0</v>
      </c>
    </row>
    <row r="370" spans="1:15">
      <c r="A370" s="1" t="s">
        <v>393</v>
      </c>
      <c r="B370" s="1"/>
      <c r="C370" s="203">
        <v>0</v>
      </c>
      <c r="D370" s="203">
        <v>0</v>
      </c>
      <c r="E370" s="219">
        <f>E361</f>
        <v>7.5869999999999997</v>
      </c>
      <c r="F370" s="207" t="s">
        <v>362</v>
      </c>
      <c r="G370" s="2">
        <f t="shared" si="35"/>
        <v>0</v>
      </c>
      <c r="H370" s="2">
        <f t="shared" si="35"/>
        <v>0</v>
      </c>
      <c r="I370" s="219">
        <f>I361</f>
        <v>8.0890000000000004</v>
      </c>
      <c r="J370" s="207" t="s">
        <v>362</v>
      </c>
      <c r="K370" s="2">
        <f t="shared" si="36"/>
        <v>0</v>
      </c>
    </row>
    <row r="371" spans="1:15">
      <c r="A371" s="1" t="s">
        <v>386</v>
      </c>
      <c r="B371" s="1"/>
      <c r="C371" s="203">
        <v>0</v>
      </c>
      <c r="D371" s="203">
        <v>0</v>
      </c>
      <c r="E371" s="219">
        <f>E362</f>
        <v>5.2370000000000001</v>
      </c>
      <c r="F371" s="207" t="s">
        <v>362</v>
      </c>
      <c r="G371" s="2">
        <f t="shared" si="35"/>
        <v>0</v>
      </c>
      <c r="H371" s="2">
        <f t="shared" si="35"/>
        <v>0</v>
      </c>
      <c r="I371" s="219">
        <f>I362</f>
        <v>5.5839999999999996</v>
      </c>
      <c r="J371" s="207" t="s">
        <v>362</v>
      </c>
      <c r="K371" s="2">
        <f t="shared" si="36"/>
        <v>0</v>
      </c>
    </row>
    <row r="372" spans="1:15">
      <c r="A372" s="1" t="s">
        <v>387</v>
      </c>
      <c r="B372" s="1"/>
      <c r="C372" s="203">
        <v>0</v>
      </c>
      <c r="D372" s="203">
        <v>0</v>
      </c>
      <c r="E372" s="219">
        <f>E363</f>
        <v>4.5129999999999999</v>
      </c>
      <c r="F372" s="207" t="s">
        <v>362</v>
      </c>
      <c r="G372" s="2">
        <f t="shared" si="35"/>
        <v>0</v>
      </c>
      <c r="H372" s="2">
        <f t="shared" si="35"/>
        <v>0</v>
      </c>
      <c r="I372" s="219">
        <f>I363</f>
        <v>4.8100000000000005</v>
      </c>
      <c r="J372" s="207" t="s">
        <v>362</v>
      </c>
      <c r="K372" s="2">
        <f t="shared" si="36"/>
        <v>0</v>
      </c>
    </row>
    <row r="373" spans="1:15">
      <c r="A373" s="1" t="s">
        <v>388</v>
      </c>
      <c r="B373" s="1"/>
      <c r="C373" s="203">
        <v>0</v>
      </c>
      <c r="D373" s="203">
        <v>0</v>
      </c>
      <c r="E373" s="220">
        <f>E364</f>
        <v>45</v>
      </c>
      <c r="F373" s="207" t="s">
        <v>362</v>
      </c>
      <c r="G373" s="2">
        <f t="shared" si="35"/>
        <v>0</v>
      </c>
      <c r="H373" s="2">
        <f t="shared" si="35"/>
        <v>0</v>
      </c>
      <c r="I373" s="220">
        <f>I364</f>
        <v>45</v>
      </c>
      <c r="J373" s="207" t="s">
        <v>362</v>
      </c>
      <c r="K373" s="2">
        <f t="shared" si="36"/>
        <v>0</v>
      </c>
    </row>
    <row r="374" spans="1:15">
      <c r="A374" s="1" t="s">
        <v>395</v>
      </c>
      <c r="B374" s="1"/>
      <c r="C374" s="203">
        <v>0</v>
      </c>
      <c r="D374" s="203">
        <v>0</v>
      </c>
      <c r="E374" s="221">
        <v>60</v>
      </c>
      <c r="F374" s="205"/>
      <c r="G374" s="2">
        <f t="shared" si="35"/>
        <v>0</v>
      </c>
      <c r="H374" s="2">
        <f t="shared" si="35"/>
        <v>0</v>
      </c>
      <c r="I374" s="221">
        <f>$I$172</f>
        <v>60</v>
      </c>
      <c r="J374" s="207"/>
      <c r="K374" s="2">
        <f t="shared" si="36"/>
        <v>0</v>
      </c>
    </row>
    <row r="375" spans="1:15">
      <c r="A375" s="1" t="s">
        <v>396</v>
      </c>
      <c r="B375" s="1"/>
      <c r="C375" s="203">
        <v>0</v>
      </c>
      <c r="D375" s="203">
        <v>0</v>
      </c>
      <c r="E375" s="223">
        <v>-30</v>
      </c>
      <c r="F375" s="205" t="s">
        <v>362</v>
      </c>
      <c r="G375" s="2">
        <f t="shared" si="35"/>
        <v>0</v>
      </c>
      <c r="H375" s="2">
        <f t="shared" si="35"/>
        <v>0</v>
      </c>
      <c r="I375" s="223">
        <f>$I$173</f>
        <v>-30</v>
      </c>
      <c r="J375" s="207" t="s">
        <v>362</v>
      </c>
      <c r="K375" s="2">
        <f t="shared" si="36"/>
        <v>0</v>
      </c>
    </row>
    <row r="376" spans="1:15">
      <c r="A376" s="1" t="s">
        <v>369</v>
      </c>
      <c r="B376" s="1"/>
      <c r="C376" s="203">
        <f>C405+C434</f>
        <v>408665</v>
      </c>
      <c r="D376" s="203">
        <f>D405+D434</f>
        <v>300118.64975971833</v>
      </c>
      <c r="E376" s="214"/>
      <c r="F376" s="2"/>
      <c r="G376" s="2">
        <f t="shared" si="35"/>
        <v>114589</v>
      </c>
      <c r="H376" s="2">
        <f t="shared" si="35"/>
        <v>87886</v>
      </c>
      <c r="I376" s="2"/>
      <c r="J376" s="207"/>
      <c r="K376" s="2">
        <f t="shared" si="36"/>
        <v>94423</v>
      </c>
    </row>
    <row r="377" spans="1:15">
      <c r="A377" s="1" t="s">
        <v>351</v>
      </c>
      <c r="B377" s="1"/>
      <c r="C377" s="224">
        <f>C406+C435</f>
        <v>1708.559032095249</v>
      </c>
      <c r="D377" s="224">
        <f>D406+D435</f>
        <v>0</v>
      </c>
      <c r="E377" s="193"/>
      <c r="F377" s="193"/>
      <c r="G377" s="225">
        <f t="shared" si="35"/>
        <v>340.00809002605808</v>
      </c>
      <c r="H377" s="225">
        <f t="shared" si="35"/>
        <v>0</v>
      </c>
      <c r="I377" s="193"/>
      <c r="J377" s="193"/>
      <c r="K377" s="225">
        <f t="shared" si="36"/>
        <v>0</v>
      </c>
      <c r="M377" s="173"/>
      <c r="N377" s="173"/>
      <c r="O377" s="174"/>
    </row>
    <row r="378" spans="1:15" ht="16.5" thickBot="1">
      <c r="A378" s="1" t="s">
        <v>370</v>
      </c>
      <c r="B378" s="1"/>
      <c r="C378" s="195">
        <f>SUM(C376:C377)</f>
        <v>410373.55903209525</v>
      </c>
      <c r="D378" s="195">
        <f>SUM(D376:D377)</f>
        <v>300118.64975971833</v>
      </c>
      <c r="E378" s="226"/>
      <c r="F378" s="227"/>
      <c r="G378" s="228">
        <f>G376+G377</f>
        <v>114929.00809002605</v>
      </c>
      <c r="H378" s="228">
        <f>H376+H377</f>
        <v>87886</v>
      </c>
      <c r="I378" s="226"/>
      <c r="J378" s="229"/>
      <c r="K378" s="228">
        <f>K376+K377</f>
        <v>94423</v>
      </c>
      <c r="M378" s="175"/>
      <c r="N378" s="175"/>
      <c r="O378" s="176"/>
    </row>
    <row r="379" spans="1:15" ht="16.5" thickTop="1">
      <c r="A379" s="1"/>
      <c r="B379" s="1"/>
      <c r="C379" s="21"/>
      <c r="D379" s="21"/>
      <c r="E379" s="221"/>
      <c r="F379" s="2"/>
      <c r="G379" s="2"/>
      <c r="H379" s="2"/>
      <c r="I379" s="237" t="s">
        <v>31</v>
      </c>
      <c r="J379" s="1"/>
      <c r="K379" s="2" t="s">
        <v>31</v>
      </c>
    </row>
    <row r="380" spans="1:15">
      <c r="A380" s="177" t="s">
        <v>405</v>
      </c>
      <c r="B380" s="1"/>
      <c r="C380" s="1"/>
      <c r="D380" s="1"/>
      <c r="E380" s="2"/>
      <c r="F380" s="2"/>
      <c r="G380" s="1" t="s">
        <v>31</v>
      </c>
      <c r="H380" s="1"/>
      <c r="I380" s="2"/>
      <c r="J380" s="1"/>
      <c r="K380" s="1"/>
    </row>
    <row r="381" spans="1:15">
      <c r="A381" s="1" t="s">
        <v>399</v>
      </c>
      <c r="B381" s="1"/>
      <c r="C381" s="1"/>
      <c r="D381" s="1"/>
      <c r="E381" s="2"/>
      <c r="F381" s="2"/>
      <c r="G381" s="1"/>
      <c r="H381" s="1"/>
      <c r="I381" s="2"/>
      <c r="J381" s="1"/>
      <c r="K381" s="1"/>
    </row>
    <row r="382" spans="1:15">
      <c r="A382" s="1" t="s">
        <v>406</v>
      </c>
      <c r="B382" s="1"/>
      <c r="C382" s="1"/>
      <c r="D382" s="1"/>
      <c r="E382" s="2"/>
      <c r="F382" s="2"/>
      <c r="G382" s="1"/>
      <c r="H382" s="1"/>
      <c r="I382" s="2"/>
      <c r="J382" s="1"/>
      <c r="K382" s="1"/>
    </row>
    <row r="383" spans="1:15">
      <c r="A383" s="1" t="s">
        <v>381</v>
      </c>
      <c r="B383" s="1"/>
      <c r="C383" s="203"/>
      <c r="D383" s="203"/>
      <c r="E383" s="2"/>
      <c r="F383" s="2"/>
      <c r="G383" s="1"/>
      <c r="H383" s="1"/>
      <c r="I383" s="2"/>
      <c r="J383" s="1"/>
      <c r="K383" s="1"/>
    </row>
    <row r="384" spans="1:15">
      <c r="A384" s="1" t="s">
        <v>378</v>
      </c>
      <c r="B384" s="1"/>
      <c r="C384" s="203">
        <v>1</v>
      </c>
      <c r="D384" s="203">
        <f>ROUND(($D$387/$C$387)*C384,0)</f>
        <v>1</v>
      </c>
      <c r="E384" s="182">
        <v>84</v>
      </c>
      <c r="F384" s="205"/>
      <c r="G384" s="2">
        <f>ROUND(E384*$C384,0)</f>
        <v>84</v>
      </c>
      <c r="H384" s="2">
        <f>ROUND(E384*$D384,0)</f>
        <v>84</v>
      </c>
      <c r="I384" s="182">
        <f>$I$149</f>
        <v>90.36</v>
      </c>
      <c r="J384" s="207"/>
      <c r="K384" s="2">
        <f>ROUND(I384*$D384,0)</f>
        <v>90</v>
      </c>
    </row>
    <row r="385" spans="1:11">
      <c r="A385" s="1" t="s">
        <v>379</v>
      </c>
      <c r="B385" s="1"/>
      <c r="C385" s="203">
        <v>111</v>
      </c>
      <c r="D385" s="203">
        <f>ROUND(($D$387/$C$387)*C385,0)</f>
        <v>108</v>
      </c>
      <c r="E385" s="182">
        <v>124.8</v>
      </c>
      <c r="F385" s="208"/>
      <c r="G385" s="2">
        <f>ROUND(E385*$C385,0)</f>
        <v>13853</v>
      </c>
      <c r="H385" s="2">
        <f>ROUND(E385*$D385,0)</f>
        <v>13478</v>
      </c>
      <c r="I385" s="182">
        <f>$I$150</f>
        <v>134.16</v>
      </c>
      <c r="J385" s="209"/>
      <c r="K385" s="2">
        <f>ROUND(I385*$D385,0)</f>
        <v>14489</v>
      </c>
    </row>
    <row r="386" spans="1:11">
      <c r="A386" s="1" t="s">
        <v>380</v>
      </c>
      <c r="B386" s="1"/>
      <c r="C386" s="203">
        <f>4491</f>
        <v>4491</v>
      </c>
      <c r="D386" s="203">
        <f>ROUND(($D$405/$C$405)*C386,0)</f>
        <v>3258</v>
      </c>
      <c r="E386" s="182">
        <v>8.2799999999999994</v>
      </c>
      <c r="F386" s="208"/>
      <c r="G386" s="2">
        <f>ROUND(E386*$C386,0)</f>
        <v>37185</v>
      </c>
      <c r="H386" s="2">
        <f>ROUND(E386*$D386,0)</f>
        <v>26976</v>
      </c>
      <c r="I386" s="182">
        <f>$I$151</f>
        <v>9.36</v>
      </c>
      <c r="J386" s="209"/>
      <c r="K386" s="2">
        <f>ROUND(I386*$D386,0)</f>
        <v>30495</v>
      </c>
    </row>
    <row r="387" spans="1:11">
      <c r="A387" s="1" t="s">
        <v>382</v>
      </c>
      <c r="B387" s="1"/>
      <c r="C387" s="203">
        <f>SUM(C384:C385)</f>
        <v>112</v>
      </c>
      <c r="D387" s="203">
        <v>108.75</v>
      </c>
      <c r="E387" s="182"/>
      <c r="F387" s="205"/>
      <c r="G387" s="2"/>
      <c r="H387" s="2"/>
      <c r="I387" s="182"/>
      <c r="J387" s="207"/>
      <c r="K387" s="2"/>
    </row>
    <row r="388" spans="1:11">
      <c r="A388" s="1" t="s">
        <v>407</v>
      </c>
      <c r="B388" s="1"/>
      <c r="C388" s="203">
        <f>8+491</f>
        <v>499</v>
      </c>
      <c r="D388" s="203">
        <f>ROUND(($D$387/$C$387)*C388,0)</f>
        <v>485</v>
      </c>
      <c r="E388" s="182"/>
      <c r="F388" s="205"/>
      <c r="G388" s="2"/>
      <c r="H388" s="2"/>
      <c r="I388" s="182"/>
      <c r="J388" s="207"/>
      <c r="K388" s="2"/>
    </row>
    <row r="389" spans="1:11">
      <c r="A389" s="1" t="s">
        <v>383</v>
      </c>
      <c r="B389" s="1"/>
      <c r="C389" s="203">
        <f>12607</f>
        <v>12607</v>
      </c>
      <c r="D389" s="203">
        <f>ROUND(($D$405/$C$405)*C389,0)</f>
        <v>9145</v>
      </c>
      <c r="E389" s="210">
        <v>2.81</v>
      </c>
      <c r="F389" s="207"/>
      <c r="G389" s="2">
        <f>ROUND(E389*$C389,0)</f>
        <v>35426</v>
      </c>
      <c r="H389" s="2">
        <f>ROUND(E389*$D389,0)</f>
        <v>25697</v>
      </c>
      <c r="I389" s="210">
        <f>$I$158</f>
        <v>2.88</v>
      </c>
      <c r="J389" s="207"/>
      <c r="K389" s="2">
        <f>ROUND(I389*$D389,0)</f>
        <v>26338</v>
      </c>
    </row>
    <row r="390" spans="1:11">
      <c r="A390" s="1" t="s">
        <v>385</v>
      </c>
      <c r="B390" s="1"/>
      <c r="C390" s="203">
        <f>4567+177412</f>
        <v>181979</v>
      </c>
      <c r="D390" s="203">
        <f>ROUND(($D$405/$C$405)*C390,0)</f>
        <v>132006</v>
      </c>
      <c r="E390" s="183">
        <v>7.5869999999999997</v>
      </c>
      <c r="F390" s="207" t="s">
        <v>362</v>
      </c>
      <c r="G390" s="2">
        <f>ROUND(E390*$C390/100,0)</f>
        <v>13807</v>
      </c>
      <c r="H390" s="2">
        <f>ROUND(E390*$D390/100,0)</f>
        <v>10015</v>
      </c>
      <c r="I390" s="183">
        <f>$I$159</f>
        <v>8.0890000000000004</v>
      </c>
      <c r="J390" s="207" t="s">
        <v>362</v>
      </c>
      <c r="K390" s="2">
        <f>ROUND(I390*$D390/100,0)</f>
        <v>10678</v>
      </c>
    </row>
    <row r="391" spans="1:11">
      <c r="A391" s="1" t="s">
        <v>386</v>
      </c>
      <c r="B391" s="1"/>
      <c r="C391" s="203">
        <f>223170+787</f>
        <v>223957</v>
      </c>
      <c r="D391" s="203">
        <f>ROUND(($D$405/$C$405)*C391,0)</f>
        <v>162456</v>
      </c>
      <c r="E391" s="183">
        <v>5.2370000000000001</v>
      </c>
      <c r="F391" s="207" t="s">
        <v>362</v>
      </c>
      <c r="G391" s="2">
        <f>ROUND(E391*$C391/100,0)</f>
        <v>11729</v>
      </c>
      <c r="H391" s="2">
        <f>ROUND(E391*$D391/100,0)</f>
        <v>8508</v>
      </c>
      <c r="I391" s="183">
        <f>$I$160</f>
        <v>5.5839999999999996</v>
      </c>
      <c r="J391" s="207" t="s">
        <v>362</v>
      </c>
      <c r="K391" s="2">
        <f>ROUND(I391*$D391/100,0)</f>
        <v>9072</v>
      </c>
    </row>
    <row r="392" spans="1:11">
      <c r="A392" s="1" t="s">
        <v>387</v>
      </c>
      <c r="B392" s="1"/>
      <c r="C392" s="203">
        <f>0</f>
        <v>0</v>
      </c>
      <c r="D392" s="203">
        <f>ROUND(($D$405/$C$405)*C392,0)</f>
        <v>0</v>
      </c>
      <c r="E392" s="183">
        <v>4.5129999999999999</v>
      </c>
      <c r="F392" s="207" t="s">
        <v>362</v>
      </c>
      <c r="G392" s="2">
        <f>ROUND(E392*$C392/100,0)</f>
        <v>0</v>
      </c>
      <c r="H392" s="2">
        <f>ROUND(E392*$D392/100,0)</f>
        <v>0</v>
      </c>
      <c r="I392" s="183">
        <f>$I$161</f>
        <v>4.8100000000000005</v>
      </c>
      <c r="J392" s="207" t="s">
        <v>362</v>
      </c>
      <c r="K392" s="2">
        <f>ROUND(I392*$D392/100,0)</f>
        <v>0</v>
      </c>
    </row>
    <row r="393" spans="1:11">
      <c r="A393" s="1" t="s">
        <v>388</v>
      </c>
      <c r="B393" s="1"/>
      <c r="C393" s="203">
        <f>1798</f>
        <v>1798</v>
      </c>
      <c r="D393" s="203">
        <f>ROUND(($D$405/$C$405)*C393,0)</f>
        <v>1304</v>
      </c>
      <c r="E393" s="214">
        <v>45</v>
      </c>
      <c r="F393" s="205" t="s">
        <v>362</v>
      </c>
      <c r="G393" s="2">
        <f>ROUND(E393*$C393/100,0)</f>
        <v>809</v>
      </c>
      <c r="H393" s="2">
        <f>ROUND(E393*$D393/100,0)</f>
        <v>587</v>
      </c>
      <c r="I393" s="214">
        <f>$I$162</f>
        <v>45</v>
      </c>
      <c r="J393" s="207" t="s">
        <v>362</v>
      </c>
      <c r="K393" s="2">
        <f>ROUND(I393*$D393/100,0)</f>
        <v>587</v>
      </c>
    </row>
    <row r="394" spans="1:11">
      <c r="A394" s="215" t="s">
        <v>389</v>
      </c>
      <c r="B394" s="1"/>
      <c r="C394" s="203"/>
      <c r="D394" s="203"/>
      <c r="E394" s="216">
        <v>-0.01</v>
      </c>
      <c r="F394" s="205"/>
      <c r="G394" s="2"/>
      <c r="H394" s="2"/>
      <c r="I394" s="216">
        <f>$I$163</f>
        <v>-0.01</v>
      </c>
      <c r="J394" s="207"/>
      <c r="K394" s="2"/>
    </row>
    <row r="395" spans="1:11">
      <c r="A395" s="1" t="s">
        <v>378</v>
      </c>
      <c r="B395" s="1"/>
      <c r="C395" s="203">
        <v>0</v>
      </c>
      <c r="D395" s="203">
        <f>ROUND(($D$387/$C$387)*C395,0)</f>
        <v>0</v>
      </c>
      <c r="E395" s="218">
        <f>E384</f>
        <v>84</v>
      </c>
      <c r="F395" s="205"/>
      <c r="G395" s="2">
        <f>-ROUND(E395*$C395/100,0)</f>
        <v>0</v>
      </c>
      <c r="H395" s="2">
        <f>-ROUND(E395*$D395/100,0)</f>
        <v>0</v>
      </c>
      <c r="I395" s="218">
        <f>I384</f>
        <v>90.36</v>
      </c>
      <c r="J395" s="205"/>
      <c r="K395" s="2">
        <f>-ROUND(I395*$D395/100,0)</f>
        <v>0</v>
      </c>
    </row>
    <row r="396" spans="1:11">
      <c r="A396" s="1" t="s">
        <v>379</v>
      </c>
      <c r="B396" s="1"/>
      <c r="C396" s="203">
        <v>0</v>
      </c>
      <c r="D396" s="203">
        <f>ROUND(($D$387/$C$387)*C396,0)</f>
        <v>0</v>
      </c>
      <c r="E396" s="218">
        <f>E385</f>
        <v>124.8</v>
      </c>
      <c r="F396" s="205"/>
      <c r="G396" s="2">
        <f>-ROUND(E396*$C396/100,0)</f>
        <v>0</v>
      </c>
      <c r="H396" s="2">
        <f>-ROUND(E396*$D396/100,0)</f>
        <v>0</v>
      </c>
      <c r="I396" s="218">
        <f>I385</f>
        <v>134.16</v>
      </c>
      <c r="J396" s="205"/>
      <c r="K396" s="2">
        <f>-ROUND(I396*$D396/100,0)</f>
        <v>0</v>
      </c>
    </row>
    <row r="397" spans="1:11">
      <c r="A397" s="1" t="s">
        <v>390</v>
      </c>
      <c r="B397" s="1"/>
      <c r="C397" s="203">
        <v>0</v>
      </c>
      <c r="D397" s="203">
        <f t="shared" ref="D397:D402" si="37">ROUND(($D$405/$C$405)*C397,0)</f>
        <v>0</v>
      </c>
      <c r="E397" s="218">
        <f>E386</f>
        <v>8.2799999999999994</v>
      </c>
      <c r="F397" s="205"/>
      <c r="G397" s="2">
        <f>-ROUND(E397*$C397/100,0)</f>
        <v>0</v>
      </c>
      <c r="H397" s="2">
        <f>-ROUND(E397*$D397/100,0)</f>
        <v>0</v>
      </c>
      <c r="I397" s="218">
        <f>I386</f>
        <v>9.36</v>
      </c>
      <c r="J397" s="205"/>
      <c r="K397" s="2">
        <f>-ROUND(I397*$D397/100,0)</f>
        <v>0</v>
      </c>
    </row>
    <row r="398" spans="1:11">
      <c r="A398" s="1" t="s">
        <v>391</v>
      </c>
      <c r="B398" s="1"/>
      <c r="C398" s="203">
        <v>0</v>
      </c>
      <c r="D398" s="203">
        <f t="shared" si="37"/>
        <v>0</v>
      </c>
      <c r="E398" s="218">
        <f>E389</f>
        <v>2.81</v>
      </c>
      <c r="F398" s="207"/>
      <c r="G398" s="2">
        <f>-ROUND(E398*$C398/100,0)</f>
        <v>0</v>
      </c>
      <c r="H398" s="2">
        <f>-ROUND(E398*$D398/100,0)</f>
        <v>0</v>
      </c>
      <c r="I398" s="218">
        <f>I389</f>
        <v>2.88</v>
      </c>
      <c r="J398" s="207"/>
      <c r="K398" s="2">
        <f>-ROUND(I398*$D398/100,0)</f>
        <v>0</v>
      </c>
    </row>
    <row r="399" spans="1:11">
      <c r="A399" s="1" t="s">
        <v>393</v>
      </c>
      <c r="B399" s="1"/>
      <c r="C399" s="203">
        <v>0</v>
      </c>
      <c r="D399" s="203">
        <f t="shared" si="37"/>
        <v>0</v>
      </c>
      <c r="E399" s="219">
        <f>E390</f>
        <v>7.5869999999999997</v>
      </c>
      <c r="F399" s="207" t="s">
        <v>362</v>
      </c>
      <c r="G399" s="2">
        <f>ROUND(E399*$C399/100*E394,0)</f>
        <v>0</v>
      </c>
      <c r="H399" s="2">
        <f>ROUND(E399*$D399/100*E394,0)</f>
        <v>0</v>
      </c>
      <c r="I399" s="219">
        <f>I390</f>
        <v>8.0890000000000004</v>
      </c>
      <c r="J399" s="207" t="s">
        <v>362</v>
      </c>
      <c r="K399" s="2">
        <f>ROUND(I399*$D399/100*I394,0)</f>
        <v>0</v>
      </c>
    </row>
    <row r="400" spans="1:11">
      <c r="A400" s="1" t="s">
        <v>386</v>
      </c>
      <c r="B400" s="1"/>
      <c r="C400" s="203">
        <v>0</v>
      </c>
      <c r="D400" s="203">
        <f t="shared" si="37"/>
        <v>0</v>
      </c>
      <c r="E400" s="219">
        <f>E391</f>
        <v>5.2370000000000001</v>
      </c>
      <c r="F400" s="207" t="s">
        <v>362</v>
      </c>
      <c r="G400" s="2">
        <f>ROUND(E400*$C400/100*E394,0)</f>
        <v>0</v>
      </c>
      <c r="H400" s="2">
        <f>ROUND(E400*$D400/100*E394,0)</f>
        <v>0</v>
      </c>
      <c r="I400" s="219">
        <f>I391</f>
        <v>5.5839999999999996</v>
      </c>
      <c r="J400" s="207" t="s">
        <v>362</v>
      </c>
      <c r="K400" s="2">
        <f>ROUND(I400*$D400/100*I394,0)</f>
        <v>0</v>
      </c>
    </row>
    <row r="401" spans="1:15">
      <c r="A401" s="1" t="s">
        <v>387</v>
      </c>
      <c r="B401" s="1"/>
      <c r="C401" s="203">
        <v>0</v>
      </c>
      <c r="D401" s="203">
        <f t="shared" si="37"/>
        <v>0</v>
      </c>
      <c r="E401" s="219">
        <f>E392</f>
        <v>4.5129999999999999</v>
      </c>
      <c r="F401" s="207" t="s">
        <v>362</v>
      </c>
      <c r="G401" s="2">
        <f>ROUND(E401*$C401/100*E394,0)</f>
        <v>0</v>
      </c>
      <c r="H401" s="2">
        <f>ROUND(E401*$D401/100*E394,0)</f>
        <v>0</v>
      </c>
      <c r="I401" s="219">
        <f>I392</f>
        <v>4.8100000000000005</v>
      </c>
      <c r="J401" s="207" t="s">
        <v>362</v>
      </c>
      <c r="K401" s="2">
        <f>ROUND(I401*$D401/100*I394,0)</f>
        <v>0</v>
      </c>
    </row>
    <row r="402" spans="1:15">
      <c r="A402" s="1" t="s">
        <v>388</v>
      </c>
      <c r="B402" s="1"/>
      <c r="C402" s="203">
        <v>0</v>
      </c>
      <c r="D402" s="203">
        <f t="shared" si="37"/>
        <v>0</v>
      </c>
      <c r="E402" s="220">
        <f>E393</f>
        <v>45</v>
      </c>
      <c r="F402" s="207" t="s">
        <v>362</v>
      </c>
      <c r="G402" s="2">
        <f>ROUND(E402*$C402/100*E394,0)</f>
        <v>0</v>
      </c>
      <c r="H402" s="2">
        <f>ROUND(E402*$D402/100*E394,0)</f>
        <v>0</v>
      </c>
      <c r="I402" s="220">
        <f>I393</f>
        <v>45</v>
      </c>
      <c r="J402" s="207" t="s">
        <v>362</v>
      </c>
      <c r="K402" s="2">
        <f>ROUND(I402*$D402/100*I394,0)</f>
        <v>0</v>
      </c>
    </row>
    <row r="403" spans="1:15">
      <c r="A403" s="1" t="s">
        <v>395</v>
      </c>
      <c r="B403" s="1"/>
      <c r="C403" s="203">
        <v>0</v>
      </c>
      <c r="D403" s="203">
        <f>ROUND(($D$387/$C$387)*C403,0)</f>
        <v>0</v>
      </c>
      <c r="E403" s="221">
        <v>60</v>
      </c>
      <c r="F403" s="205"/>
      <c r="G403" s="2">
        <f>ROUND(E403*$C403,0)</f>
        <v>0</v>
      </c>
      <c r="H403" s="2">
        <f>ROUND(E403*$D403,0)</f>
        <v>0</v>
      </c>
      <c r="I403" s="221">
        <f>$I$172</f>
        <v>60</v>
      </c>
      <c r="J403" s="207"/>
      <c r="K403" s="2">
        <f>ROUND(I403*$D403,0)</f>
        <v>0</v>
      </c>
    </row>
    <row r="404" spans="1:15">
      <c r="A404" s="1" t="s">
        <v>396</v>
      </c>
      <c r="B404" s="1"/>
      <c r="C404" s="203">
        <v>0</v>
      </c>
      <c r="D404" s="203">
        <f>ROUND(($D$405/$C$405)*C404,0)</f>
        <v>0</v>
      </c>
      <c r="E404" s="223">
        <v>-30</v>
      </c>
      <c r="F404" s="205" t="s">
        <v>362</v>
      </c>
      <c r="G404" s="2">
        <f>ROUND(E404*$C404/100,0)</f>
        <v>0</v>
      </c>
      <c r="H404" s="2">
        <f>ROUND(E404*$D404/100,0)</f>
        <v>0</v>
      </c>
      <c r="I404" s="223">
        <f>$I$173</f>
        <v>-30</v>
      </c>
      <c r="J404" s="207" t="s">
        <v>362</v>
      </c>
      <c r="K404" s="2">
        <f>ROUND(I404*$D404/100,0)</f>
        <v>0</v>
      </c>
    </row>
    <row r="405" spans="1:15">
      <c r="A405" s="1" t="s">
        <v>369</v>
      </c>
      <c r="B405" s="1"/>
      <c r="C405" s="203">
        <f>SUM(C390:C392)</f>
        <v>405936</v>
      </c>
      <c r="D405" s="203">
        <v>294461.5</v>
      </c>
      <c r="E405" s="214"/>
      <c r="F405" s="2"/>
      <c r="G405" s="2">
        <f>SUM(G384:G404)</f>
        <v>112893</v>
      </c>
      <c r="H405" s="2">
        <f>SUM(H384:H404)</f>
        <v>85345</v>
      </c>
      <c r="I405" s="214"/>
      <c r="J405" s="207"/>
      <c r="K405" s="2">
        <f>SUM(K384:K404)</f>
        <v>91749</v>
      </c>
    </row>
    <row r="406" spans="1:15">
      <c r="A406" s="1" t="s">
        <v>351</v>
      </c>
      <c r="B406" s="1"/>
      <c r="C406" s="233">
        <v>1770.0710773090641</v>
      </c>
      <c r="D406" s="233">
        <v>0</v>
      </c>
      <c r="E406" s="193"/>
      <c r="F406" s="193"/>
      <c r="G406" s="225">
        <v>368.47443953217015</v>
      </c>
      <c r="H406" s="225">
        <v>0</v>
      </c>
      <c r="I406" s="193"/>
      <c r="J406" s="193"/>
      <c r="K406" s="225">
        <v>0</v>
      </c>
      <c r="M406" s="173"/>
      <c r="N406" s="173"/>
      <c r="O406" s="174"/>
    </row>
    <row r="407" spans="1:15" ht="16.5" thickBot="1">
      <c r="A407" s="1" t="s">
        <v>370</v>
      </c>
      <c r="B407" s="1"/>
      <c r="C407" s="195">
        <f>SUM(C405:C406)</f>
        <v>407706.07107730908</v>
      </c>
      <c r="D407" s="195">
        <f>SUM(D405:D406)</f>
        <v>294461.5</v>
      </c>
      <c r="E407" s="226"/>
      <c r="F407" s="227"/>
      <c r="G407" s="228">
        <f>G405+G406</f>
        <v>113261.47443953218</v>
      </c>
      <c r="H407" s="228">
        <f>H405+H406</f>
        <v>85345</v>
      </c>
      <c r="I407" s="226"/>
      <c r="J407" s="229"/>
      <c r="K407" s="228">
        <f>K405+K406</f>
        <v>91749</v>
      </c>
      <c r="M407" s="175"/>
      <c r="N407" s="175"/>
      <c r="O407" s="176"/>
    </row>
    <row r="408" spans="1:15" ht="16.5" thickTop="1">
      <c r="A408" s="1"/>
      <c r="B408" s="1"/>
      <c r="C408" s="21"/>
      <c r="D408" s="21"/>
      <c r="E408" s="221"/>
      <c r="F408" s="2"/>
      <c r="G408" s="2"/>
      <c r="H408" s="2"/>
      <c r="I408" s="237" t="s">
        <v>31</v>
      </c>
      <c r="J408" s="1"/>
      <c r="K408" s="2" t="s">
        <v>31</v>
      </c>
    </row>
    <row r="409" spans="1:15">
      <c r="A409" s="177" t="s">
        <v>405</v>
      </c>
      <c r="B409" s="1"/>
      <c r="C409" s="1"/>
      <c r="D409" s="1"/>
      <c r="E409" s="2"/>
      <c r="F409" s="2"/>
      <c r="G409" s="1" t="s">
        <v>31</v>
      </c>
      <c r="H409" s="1"/>
      <c r="I409" s="2"/>
      <c r="J409" s="1"/>
      <c r="K409" s="1"/>
    </row>
    <row r="410" spans="1:15">
      <c r="A410" s="1" t="s">
        <v>402</v>
      </c>
      <c r="B410" s="1"/>
      <c r="C410" s="1"/>
      <c r="D410" s="1"/>
      <c r="E410" s="2"/>
      <c r="F410" s="2"/>
      <c r="G410" s="1"/>
      <c r="H410" s="1"/>
      <c r="I410" s="2"/>
      <c r="J410" s="1"/>
      <c r="K410" s="1"/>
    </row>
    <row r="411" spans="1:15">
      <c r="A411" s="1" t="s">
        <v>406</v>
      </c>
      <c r="B411" s="1"/>
      <c r="C411" s="1"/>
      <c r="D411" s="1"/>
      <c r="E411" s="2"/>
      <c r="F411" s="2"/>
      <c r="G411" s="1"/>
      <c r="H411" s="1"/>
      <c r="I411" s="2"/>
      <c r="J411" s="1"/>
      <c r="K411" s="1"/>
    </row>
    <row r="412" spans="1:15">
      <c r="A412" s="1" t="s">
        <v>381</v>
      </c>
      <c r="B412" s="1"/>
      <c r="C412" s="203"/>
      <c r="D412" s="203"/>
      <c r="E412" s="2"/>
      <c r="F412" s="2"/>
      <c r="G412" s="1"/>
      <c r="H412" s="1"/>
      <c r="I412" s="2"/>
      <c r="J412" s="1"/>
      <c r="K412" s="1"/>
    </row>
    <row r="413" spans="1:15">
      <c r="A413" s="1" t="s">
        <v>378</v>
      </c>
      <c r="B413" s="1"/>
      <c r="C413" s="203">
        <v>0</v>
      </c>
      <c r="D413" s="203">
        <f>$D$417/$C$417*C413</f>
        <v>0</v>
      </c>
      <c r="E413" s="182">
        <v>84</v>
      </c>
      <c r="F413" s="205"/>
      <c r="G413" s="2">
        <f>ROUND(E413*$C413,0)</f>
        <v>0</v>
      </c>
      <c r="H413" s="2">
        <f>ROUND(E413*$D413,0)</f>
        <v>0</v>
      </c>
      <c r="I413" s="182">
        <f>$I$149</f>
        <v>90.36</v>
      </c>
      <c r="J413" s="207"/>
      <c r="K413" s="2">
        <f>ROUND(I413*$D413,0)</f>
        <v>0</v>
      </c>
    </row>
    <row r="414" spans="1:15">
      <c r="A414" s="1" t="s">
        <v>379</v>
      </c>
      <c r="B414" s="1"/>
      <c r="C414" s="203">
        <v>1</v>
      </c>
      <c r="D414" s="203">
        <f>$D$417/$C$417*C414</f>
        <v>1</v>
      </c>
      <c r="E414" s="182">
        <v>124.8</v>
      </c>
      <c r="F414" s="208"/>
      <c r="G414" s="2">
        <f>ROUND(E414*$C414,0)</f>
        <v>125</v>
      </c>
      <c r="H414" s="2">
        <f>ROUND(E414*$D414,0)</f>
        <v>125</v>
      </c>
      <c r="I414" s="182">
        <f>$I$150</f>
        <v>134.16</v>
      </c>
      <c r="J414" s="209"/>
      <c r="K414" s="2">
        <f>ROUND(I414*$D414,0)</f>
        <v>134</v>
      </c>
    </row>
    <row r="415" spans="1:15">
      <c r="A415" s="1" t="s">
        <v>380</v>
      </c>
      <c r="B415" s="1"/>
      <c r="C415" s="203">
        <v>75</v>
      </c>
      <c r="D415" s="203">
        <v>54</v>
      </c>
      <c r="E415" s="182">
        <v>8.2799999999999994</v>
      </c>
      <c r="F415" s="208"/>
      <c r="G415" s="2">
        <f>ROUND(E415*$C415,0)</f>
        <v>621</v>
      </c>
      <c r="H415" s="2">
        <f>ROUND(E415*$D415,0)</f>
        <v>447</v>
      </c>
      <c r="I415" s="182">
        <f>$I$151</f>
        <v>9.36</v>
      </c>
      <c r="J415" s="209"/>
      <c r="K415" s="2">
        <f>ROUND(I415*$D415,0)</f>
        <v>505</v>
      </c>
    </row>
    <row r="416" spans="1:15">
      <c r="A416" s="1" t="s">
        <v>382</v>
      </c>
      <c r="B416" s="1"/>
      <c r="C416" s="203">
        <f>SUM(C413:C414)</f>
        <v>1</v>
      </c>
      <c r="D416" s="203">
        <f>SUM(D413:D414)</f>
        <v>1</v>
      </c>
      <c r="E416" s="182"/>
      <c r="F416" s="205"/>
      <c r="G416" s="2"/>
      <c r="H416" s="2"/>
      <c r="I416" s="182"/>
      <c r="J416" s="207"/>
      <c r="K416" s="2"/>
    </row>
    <row r="417" spans="1:11">
      <c r="A417" s="1" t="s">
        <v>407</v>
      </c>
      <c r="B417" s="1"/>
      <c r="C417" s="203">
        <f>12</f>
        <v>12</v>
      </c>
      <c r="D417" s="203">
        <v>12</v>
      </c>
      <c r="E417" s="182"/>
      <c r="F417" s="205"/>
      <c r="G417" s="2"/>
      <c r="H417" s="2"/>
      <c r="I417" s="182"/>
      <c r="J417" s="207"/>
      <c r="K417" s="2"/>
    </row>
    <row r="418" spans="1:11">
      <c r="A418" s="1" t="s">
        <v>383</v>
      </c>
      <c r="B418" s="1"/>
      <c r="C418" s="203">
        <f>267</f>
        <v>267</v>
      </c>
      <c r="D418" s="203">
        <f>ROUND(($D$434/$C$434)*C418,0)</f>
        <v>553</v>
      </c>
      <c r="E418" s="210">
        <v>2.81</v>
      </c>
      <c r="F418" s="207"/>
      <c r="G418" s="2">
        <f>ROUND(E418*$C418,0)</f>
        <v>750</v>
      </c>
      <c r="H418" s="2">
        <f>ROUND(E418*$D418,0)</f>
        <v>1554</v>
      </c>
      <c r="I418" s="210">
        <f>$I$158</f>
        <v>2.88</v>
      </c>
      <c r="J418" s="207"/>
      <c r="K418" s="2">
        <f>ROUND(I418*$D418,0)</f>
        <v>1593</v>
      </c>
    </row>
    <row r="419" spans="1:11">
      <c r="A419" s="1" t="s">
        <v>385</v>
      </c>
      <c r="B419" s="1"/>
      <c r="C419" s="203">
        <f>2427</f>
        <v>2427</v>
      </c>
      <c r="D419" s="203">
        <f>ROUND(($D$434/$C$434)*C419,0)</f>
        <v>5031</v>
      </c>
      <c r="E419" s="183">
        <v>7.5869999999999997</v>
      </c>
      <c r="F419" s="207" t="s">
        <v>362</v>
      </c>
      <c r="G419" s="2">
        <f>ROUND(E419*$C419/100,0)</f>
        <v>184</v>
      </c>
      <c r="H419" s="2">
        <f>ROUND(E419*$D419/100,0)</f>
        <v>382</v>
      </c>
      <c r="I419" s="183">
        <f>$I$159</f>
        <v>8.0890000000000004</v>
      </c>
      <c r="J419" s="207" t="s">
        <v>362</v>
      </c>
      <c r="K419" s="2">
        <f>ROUND(I419*$D419/100,0)</f>
        <v>407</v>
      </c>
    </row>
    <row r="420" spans="1:11">
      <c r="A420" s="1" t="s">
        <v>386</v>
      </c>
      <c r="B420" s="1"/>
      <c r="C420" s="203">
        <f>302</f>
        <v>302</v>
      </c>
      <c r="D420" s="203">
        <f>ROUND(($D$434/$C$434)*C420,0)</f>
        <v>626</v>
      </c>
      <c r="E420" s="183">
        <v>5.2370000000000001</v>
      </c>
      <c r="F420" s="207" t="s">
        <v>362</v>
      </c>
      <c r="G420" s="2">
        <f>ROUND(E420*$C420/100,0)</f>
        <v>16</v>
      </c>
      <c r="H420" s="2">
        <f>ROUND(E420*$D420/100,0)</f>
        <v>33</v>
      </c>
      <c r="I420" s="183">
        <f>$I$160</f>
        <v>5.5839999999999996</v>
      </c>
      <c r="J420" s="207" t="s">
        <v>362</v>
      </c>
      <c r="K420" s="2">
        <f>ROUND(I420*$D420/100,0)</f>
        <v>35</v>
      </c>
    </row>
    <row r="421" spans="1:11">
      <c r="A421" s="1" t="s">
        <v>387</v>
      </c>
      <c r="B421" s="1"/>
      <c r="C421" s="203">
        <v>0</v>
      </c>
      <c r="D421" s="203">
        <f>ROUND(($D$434/$C$434)*C421,0)</f>
        <v>0</v>
      </c>
      <c r="E421" s="183">
        <v>4.5129999999999999</v>
      </c>
      <c r="F421" s="207" t="s">
        <v>362</v>
      </c>
      <c r="G421" s="2">
        <f>ROUND(E421*$C421/100,0)</f>
        <v>0</v>
      </c>
      <c r="H421" s="2">
        <f>ROUND(E421*$D421/100,0)</f>
        <v>0</v>
      </c>
      <c r="I421" s="183">
        <f>$I$161</f>
        <v>4.8100000000000005</v>
      </c>
      <c r="J421" s="207" t="s">
        <v>362</v>
      </c>
      <c r="K421" s="2">
        <f>ROUND(I421*$D421/100,0)</f>
        <v>0</v>
      </c>
    </row>
    <row r="422" spans="1:11">
      <c r="A422" s="1" t="s">
        <v>388</v>
      </c>
      <c r="B422" s="1"/>
      <c r="C422" s="203">
        <v>0</v>
      </c>
      <c r="D422" s="203">
        <f>ROUND(($D$434/$C$434)*C422,0)</f>
        <v>0</v>
      </c>
      <c r="E422" s="214">
        <v>45</v>
      </c>
      <c r="F422" s="205" t="s">
        <v>362</v>
      </c>
      <c r="G422" s="2">
        <f>ROUND(E422*$C422/100,0)</f>
        <v>0</v>
      </c>
      <c r="H422" s="2">
        <f>ROUND(E422*$D422/100,0)</f>
        <v>0</v>
      </c>
      <c r="I422" s="214">
        <f>$I$162</f>
        <v>45</v>
      </c>
      <c r="J422" s="207" t="s">
        <v>362</v>
      </c>
      <c r="K422" s="2">
        <f>ROUND(I422*$D422/100,0)</f>
        <v>0</v>
      </c>
    </row>
    <row r="423" spans="1:11">
      <c r="A423" s="215" t="s">
        <v>389</v>
      </c>
      <c r="B423" s="1"/>
      <c r="C423" s="203"/>
      <c r="D423" s="203"/>
      <c r="E423" s="216">
        <v>-0.01</v>
      </c>
      <c r="F423" s="205"/>
      <c r="G423" s="2"/>
      <c r="H423" s="2"/>
      <c r="I423" s="216">
        <f>$I$163</f>
        <v>-0.01</v>
      </c>
      <c r="J423" s="207"/>
      <c r="K423" s="2"/>
    </row>
    <row r="424" spans="1:11">
      <c r="A424" s="1" t="s">
        <v>378</v>
      </c>
      <c r="B424" s="1"/>
      <c r="C424" s="203">
        <v>0</v>
      </c>
      <c r="D424" s="203">
        <f>$D$417/$C$417*C424</f>
        <v>0</v>
      </c>
      <c r="E424" s="218">
        <f>E413</f>
        <v>84</v>
      </c>
      <c r="F424" s="205"/>
      <c r="G424" s="2">
        <f>-ROUND(E424*$C424/100,0)</f>
        <v>0</v>
      </c>
      <c r="H424" s="2">
        <f>-ROUND(E424*$D424/100,0)</f>
        <v>0</v>
      </c>
      <c r="I424" s="218">
        <f>I413</f>
        <v>90.36</v>
      </c>
      <c r="J424" s="205"/>
      <c r="K424" s="2">
        <f>-ROUND(I424*$D424/100,0)</f>
        <v>0</v>
      </c>
    </row>
    <row r="425" spans="1:11">
      <c r="A425" s="1" t="s">
        <v>379</v>
      </c>
      <c r="B425" s="1"/>
      <c r="C425" s="203">
        <v>0</v>
      </c>
      <c r="D425" s="203">
        <f>$D$417/$C$417*C425</f>
        <v>0</v>
      </c>
      <c r="E425" s="218">
        <f>E414</f>
        <v>124.8</v>
      </c>
      <c r="F425" s="205"/>
      <c r="G425" s="2">
        <f>-ROUND(E425*$C425/100,0)</f>
        <v>0</v>
      </c>
      <c r="H425" s="2">
        <f>-ROUND(E425*$D425/100,0)</f>
        <v>0</v>
      </c>
      <c r="I425" s="218">
        <f>I414</f>
        <v>134.16</v>
      </c>
      <c r="J425" s="205"/>
      <c r="K425" s="2">
        <f>-ROUND(I425*$D425/100,0)</f>
        <v>0</v>
      </c>
    </row>
    <row r="426" spans="1:11">
      <c r="A426" s="1" t="s">
        <v>390</v>
      </c>
      <c r="B426" s="1"/>
      <c r="C426" s="203">
        <v>0</v>
      </c>
      <c r="D426" s="203">
        <f t="shared" ref="D426:D431" si="38">ROUND(($D$434/$C$434)*C426,0)</f>
        <v>0</v>
      </c>
      <c r="E426" s="218">
        <f>E415</f>
        <v>8.2799999999999994</v>
      </c>
      <c r="F426" s="205"/>
      <c r="G426" s="2">
        <f>-ROUND(E426*$C426/100,0)</f>
        <v>0</v>
      </c>
      <c r="H426" s="2">
        <f>-ROUND(E426*$D426/100,0)</f>
        <v>0</v>
      </c>
      <c r="I426" s="218">
        <f>I415</f>
        <v>9.36</v>
      </c>
      <c r="J426" s="205"/>
      <c r="K426" s="2">
        <f>-ROUND(I426*$D426/100,0)</f>
        <v>0</v>
      </c>
    </row>
    <row r="427" spans="1:11">
      <c r="A427" s="1" t="s">
        <v>391</v>
      </c>
      <c r="B427" s="1"/>
      <c r="C427" s="203">
        <v>0</v>
      </c>
      <c r="D427" s="203">
        <f t="shared" si="38"/>
        <v>0</v>
      </c>
      <c r="E427" s="218">
        <f>E418</f>
        <v>2.81</v>
      </c>
      <c r="F427" s="207"/>
      <c r="G427" s="2">
        <f>-ROUND(E427*$C427/100,0)</f>
        <v>0</v>
      </c>
      <c r="H427" s="2">
        <f>-ROUND(E427*$D427/100,0)</f>
        <v>0</v>
      </c>
      <c r="I427" s="218">
        <f>I418</f>
        <v>2.88</v>
      </c>
      <c r="J427" s="207"/>
      <c r="K427" s="2">
        <f>-ROUND(I427*$D427/100,0)</f>
        <v>0</v>
      </c>
    </row>
    <row r="428" spans="1:11">
      <c r="A428" s="1" t="s">
        <v>393</v>
      </c>
      <c r="B428" s="1"/>
      <c r="C428" s="203">
        <v>0</v>
      </c>
      <c r="D428" s="203">
        <f t="shared" si="38"/>
        <v>0</v>
      </c>
      <c r="E428" s="219">
        <f>E419</f>
        <v>7.5869999999999997</v>
      </c>
      <c r="F428" s="207" t="s">
        <v>362</v>
      </c>
      <c r="G428" s="2">
        <f>ROUND(E428*$C428/100*E423,0)</f>
        <v>0</v>
      </c>
      <c r="H428" s="2">
        <f>ROUND(E428*$D428/100*E423,0)</f>
        <v>0</v>
      </c>
      <c r="I428" s="219">
        <f>I419</f>
        <v>8.0890000000000004</v>
      </c>
      <c r="J428" s="207" t="s">
        <v>362</v>
      </c>
      <c r="K428" s="2">
        <f>ROUND(I428*$D428/100*I423,0)</f>
        <v>0</v>
      </c>
    </row>
    <row r="429" spans="1:11">
      <c r="A429" s="1" t="s">
        <v>386</v>
      </c>
      <c r="B429" s="1"/>
      <c r="C429" s="203">
        <v>0</v>
      </c>
      <c r="D429" s="203">
        <f t="shared" si="38"/>
        <v>0</v>
      </c>
      <c r="E429" s="219">
        <f>E420</f>
        <v>5.2370000000000001</v>
      </c>
      <c r="F429" s="207" t="s">
        <v>362</v>
      </c>
      <c r="G429" s="2">
        <f>ROUND(E429*$C429/100*E423,0)</f>
        <v>0</v>
      </c>
      <c r="H429" s="2">
        <f>ROUND(E429*$D429/100*E423,0)</f>
        <v>0</v>
      </c>
      <c r="I429" s="219">
        <f>I420</f>
        <v>5.5839999999999996</v>
      </c>
      <c r="J429" s="207" t="s">
        <v>362</v>
      </c>
      <c r="K429" s="2">
        <f>ROUND(I429*$D429/100*I423,0)</f>
        <v>0</v>
      </c>
    </row>
    <row r="430" spans="1:11">
      <c r="A430" s="1" t="s">
        <v>387</v>
      </c>
      <c r="B430" s="1"/>
      <c r="C430" s="203">
        <v>0</v>
      </c>
      <c r="D430" s="203">
        <f t="shared" si="38"/>
        <v>0</v>
      </c>
      <c r="E430" s="219">
        <f>E421</f>
        <v>4.5129999999999999</v>
      </c>
      <c r="F430" s="207" t="s">
        <v>362</v>
      </c>
      <c r="G430" s="2">
        <f>ROUND(E430*$C430/100*E423,0)</f>
        <v>0</v>
      </c>
      <c r="H430" s="2">
        <f>ROUND(E430*$D430/100*E423,0)</f>
        <v>0</v>
      </c>
      <c r="I430" s="219">
        <f>I421</f>
        <v>4.8100000000000005</v>
      </c>
      <c r="J430" s="207" t="s">
        <v>362</v>
      </c>
      <c r="K430" s="2">
        <f>ROUND(I430*$D430/100*I423,0)</f>
        <v>0</v>
      </c>
    </row>
    <row r="431" spans="1:11">
      <c r="A431" s="1" t="s">
        <v>388</v>
      </c>
      <c r="B431" s="1"/>
      <c r="C431" s="203">
        <v>0</v>
      </c>
      <c r="D431" s="203">
        <f t="shared" si="38"/>
        <v>0</v>
      </c>
      <c r="E431" s="220">
        <f>E422</f>
        <v>45</v>
      </c>
      <c r="F431" s="207" t="s">
        <v>362</v>
      </c>
      <c r="G431" s="2">
        <f>ROUND(E431*$C431/100*E423,0)</f>
        <v>0</v>
      </c>
      <c r="H431" s="2">
        <f>ROUND(E431*$D431/100*E423,0)</f>
        <v>0</v>
      </c>
      <c r="I431" s="220">
        <f>I422</f>
        <v>45</v>
      </c>
      <c r="J431" s="207" t="s">
        <v>362</v>
      </c>
      <c r="K431" s="2">
        <f>ROUND(I431*$D431/100*I423,0)</f>
        <v>0</v>
      </c>
    </row>
    <row r="432" spans="1:11">
      <c r="A432" s="1" t="s">
        <v>395</v>
      </c>
      <c r="B432" s="1"/>
      <c r="C432" s="203">
        <v>0</v>
      </c>
      <c r="D432" s="203">
        <f>$D$417/$C$417*C432</f>
        <v>0</v>
      </c>
      <c r="E432" s="221">
        <v>60</v>
      </c>
      <c r="F432" s="205"/>
      <c r="G432" s="2">
        <f>ROUND(E432*$C432,0)</f>
        <v>0</v>
      </c>
      <c r="H432" s="2">
        <f>ROUND(E432*$D432,0)</f>
        <v>0</v>
      </c>
      <c r="I432" s="221">
        <f>$I$172</f>
        <v>60</v>
      </c>
      <c r="J432" s="207"/>
      <c r="K432" s="2">
        <f>ROUND(I432*$D432,0)</f>
        <v>0</v>
      </c>
    </row>
    <row r="433" spans="1:15">
      <c r="A433" s="1" t="s">
        <v>396</v>
      </c>
      <c r="B433" s="1"/>
      <c r="C433" s="203">
        <v>0</v>
      </c>
      <c r="D433" s="203">
        <f>ROUND(($D$434/$C$434)*C433,0)</f>
        <v>0</v>
      </c>
      <c r="E433" s="223">
        <v>-30</v>
      </c>
      <c r="F433" s="205" t="s">
        <v>362</v>
      </c>
      <c r="G433" s="2">
        <f>ROUND(E433*$C433/100,0)</f>
        <v>0</v>
      </c>
      <c r="H433" s="2">
        <f>ROUND(E433*$D433/100,0)</f>
        <v>0</v>
      </c>
      <c r="I433" s="223">
        <f>$I$173</f>
        <v>-30</v>
      </c>
      <c r="J433" s="207" t="s">
        <v>362</v>
      </c>
      <c r="K433" s="2">
        <f>ROUND(I433*$D433/100,0)</f>
        <v>0</v>
      </c>
    </row>
    <row r="434" spans="1:15">
      <c r="A434" s="1" t="s">
        <v>369</v>
      </c>
      <c r="B434" s="1"/>
      <c r="C434" s="203">
        <f>SUM(C419:C421)</f>
        <v>2729</v>
      </c>
      <c r="D434" s="203">
        <v>5657.1497597183234</v>
      </c>
      <c r="E434" s="214"/>
      <c r="F434" s="2"/>
      <c r="G434" s="2">
        <f>SUM(G413:G433)</f>
        <v>1696</v>
      </c>
      <c r="H434" s="2">
        <f>SUM(H413:H433)</f>
        <v>2541</v>
      </c>
      <c r="I434" s="214"/>
      <c r="J434" s="207"/>
      <c r="K434" s="2">
        <f>SUM(K413:K433)</f>
        <v>2674</v>
      </c>
    </row>
    <row r="435" spans="1:15">
      <c r="A435" s="1" t="s">
        <v>351</v>
      </c>
      <c r="B435" s="1"/>
      <c r="C435" s="233">
        <v>-61.512045213815</v>
      </c>
      <c r="D435" s="233">
        <v>0</v>
      </c>
      <c r="E435" s="193"/>
      <c r="F435" s="193"/>
      <c r="G435" s="225">
        <v>-28.466349506112088</v>
      </c>
      <c r="H435" s="225">
        <v>0</v>
      </c>
      <c r="I435" s="193"/>
      <c r="J435" s="193"/>
      <c r="K435" s="225">
        <v>0</v>
      </c>
      <c r="M435" s="173"/>
      <c r="N435" s="173"/>
      <c r="O435" s="174"/>
    </row>
    <row r="436" spans="1:15" ht="16.5" thickBot="1">
      <c r="A436" s="1" t="s">
        <v>370</v>
      </c>
      <c r="B436" s="1"/>
      <c r="C436" s="195">
        <f>SUM(C434:C435)</f>
        <v>2667.4879547861851</v>
      </c>
      <c r="D436" s="195">
        <f>SUM(D434:D435)</f>
        <v>5657.1497597183234</v>
      </c>
      <c r="E436" s="226"/>
      <c r="F436" s="227"/>
      <c r="G436" s="228">
        <f>G434+G435</f>
        <v>1667.533650493888</v>
      </c>
      <c r="H436" s="228">
        <f>H434+H435</f>
        <v>2541</v>
      </c>
      <c r="I436" s="226"/>
      <c r="J436" s="229"/>
      <c r="K436" s="228">
        <f>K434+K435</f>
        <v>2674</v>
      </c>
      <c r="M436" s="175"/>
      <c r="N436" s="175"/>
      <c r="O436" s="176"/>
    </row>
    <row r="437" spans="1:15" ht="16.5" thickTop="1">
      <c r="A437" s="1"/>
      <c r="B437" s="1"/>
      <c r="C437" s="21"/>
      <c r="D437" s="21"/>
      <c r="E437" s="221"/>
      <c r="F437" s="2"/>
      <c r="G437" s="2"/>
      <c r="H437" s="2"/>
      <c r="I437" s="237" t="s">
        <v>31</v>
      </c>
      <c r="J437" s="1"/>
      <c r="K437" s="2" t="s">
        <v>31</v>
      </c>
    </row>
    <row r="438" spans="1:15">
      <c r="A438" s="1"/>
      <c r="B438" s="1"/>
      <c r="C438" s="21"/>
      <c r="D438" s="21"/>
      <c r="E438" s="221"/>
      <c r="F438" s="2"/>
      <c r="G438" s="2"/>
      <c r="H438" s="2"/>
      <c r="I438" s="237" t="s">
        <v>31</v>
      </c>
      <c r="J438" s="1"/>
      <c r="K438" s="2" t="s">
        <v>31</v>
      </c>
    </row>
    <row r="439" spans="1:15">
      <c r="A439" s="177" t="s">
        <v>408</v>
      </c>
      <c r="B439" s="1"/>
      <c r="C439" s="238"/>
      <c r="D439" s="238"/>
      <c r="E439" s="2"/>
      <c r="F439" s="2"/>
      <c r="G439" s="1"/>
      <c r="H439" s="1"/>
      <c r="I439" s="2"/>
      <c r="J439" s="1"/>
      <c r="K439" s="2" t="s">
        <v>31</v>
      </c>
    </row>
    <row r="440" spans="1:15">
      <c r="A440" s="207" t="s">
        <v>323</v>
      </c>
      <c r="B440" s="1"/>
      <c r="C440" s="1" t="s">
        <v>31</v>
      </c>
      <c r="D440" s="1"/>
      <c r="E440" s="2"/>
      <c r="F440" s="2"/>
      <c r="G440" s="1"/>
      <c r="H440" s="1"/>
      <c r="I440" s="2"/>
      <c r="J440" s="1"/>
      <c r="K440" s="1"/>
    </row>
    <row r="441" spans="1:15">
      <c r="A441" s="207"/>
      <c r="B441" s="1"/>
      <c r="C441" s="1"/>
      <c r="D441" s="1"/>
      <c r="E441" s="2"/>
      <c r="F441" s="2"/>
      <c r="G441" s="1"/>
      <c r="H441" s="1"/>
      <c r="I441" s="2"/>
      <c r="J441" s="1"/>
      <c r="K441" s="1"/>
    </row>
    <row r="442" spans="1:15">
      <c r="A442" s="207" t="s">
        <v>381</v>
      </c>
      <c r="B442" s="1"/>
      <c r="C442" s="203"/>
      <c r="D442" s="203"/>
      <c r="E442" s="2"/>
      <c r="F442" s="2"/>
      <c r="G442" s="1"/>
      <c r="H442" s="1"/>
      <c r="I442" s="2"/>
      <c r="J442" s="1"/>
      <c r="K442" s="1"/>
    </row>
    <row r="443" spans="1:15">
      <c r="A443" s="207" t="s">
        <v>409</v>
      </c>
      <c r="B443" s="1"/>
      <c r="C443" s="203">
        <v>0</v>
      </c>
      <c r="D443" s="203">
        <v>0</v>
      </c>
      <c r="E443" s="239">
        <f>E480</f>
        <v>205</v>
      </c>
      <c r="F443" s="207"/>
      <c r="G443" s="205">
        <f t="shared" ref="G443:H445" si="39">ROUND(E443*$C443,0)</f>
        <v>0</v>
      </c>
      <c r="H443" s="205">
        <f t="shared" si="39"/>
        <v>0</v>
      </c>
      <c r="I443" s="239">
        <f>I480</f>
        <v>225</v>
      </c>
      <c r="J443" s="207"/>
      <c r="K443" s="205">
        <f>ROUND(I443*$D443,0)</f>
        <v>0</v>
      </c>
    </row>
    <row r="444" spans="1:15">
      <c r="A444" s="207" t="s">
        <v>410</v>
      </c>
      <c r="B444" s="1"/>
      <c r="C444" s="203">
        <v>0</v>
      </c>
      <c r="D444" s="203">
        <v>0</v>
      </c>
      <c r="E444" s="239">
        <f>E481</f>
        <v>75</v>
      </c>
      <c r="F444" s="207"/>
      <c r="G444" s="205">
        <f t="shared" si="39"/>
        <v>0</v>
      </c>
      <c r="H444" s="205">
        <f t="shared" si="39"/>
        <v>0</v>
      </c>
      <c r="I444" s="239">
        <f>I481</f>
        <v>83</v>
      </c>
      <c r="J444" s="207"/>
      <c r="K444" s="205">
        <f>ROUND(I444*$D444,0)</f>
        <v>0</v>
      </c>
    </row>
    <row r="445" spans="1:15">
      <c r="A445" s="207" t="s">
        <v>411</v>
      </c>
      <c r="B445" s="1"/>
      <c r="C445" s="203">
        <v>0</v>
      </c>
      <c r="D445" s="203">
        <v>0</v>
      </c>
      <c r="E445" s="239">
        <f>E482</f>
        <v>150</v>
      </c>
      <c r="F445" s="209"/>
      <c r="G445" s="205">
        <f t="shared" si="39"/>
        <v>0</v>
      </c>
      <c r="H445" s="205">
        <f t="shared" si="39"/>
        <v>0</v>
      </c>
      <c r="I445" s="239">
        <f>I482</f>
        <v>166</v>
      </c>
      <c r="J445" s="209"/>
      <c r="K445" s="205">
        <f>ROUND(I445*$D445,0)</f>
        <v>0</v>
      </c>
    </row>
    <row r="446" spans="1:15">
      <c r="A446" s="207" t="s">
        <v>382</v>
      </c>
      <c r="B446" s="1"/>
      <c r="C446" s="203">
        <f>SUM(C443:C445)</f>
        <v>0</v>
      </c>
      <c r="D446" s="203">
        <f>SUM(D443:D445)</f>
        <v>0</v>
      </c>
      <c r="E446" s="239"/>
      <c r="F446" s="207"/>
      <c r="G446" s="205"/>
      <c r="H446" s="205"/>
      <c r="I446" s="239"/>
      <c r="J446" s="207"/>
      <c r="K446" s="205"/>
    </row>
    <row r="447" spans="1:15">
      <c r="A447" s="207" t="s">
        <v>410</v>
      </c>
      <c r="B447" s="1"/>
      <c r="C447" s="203">
        <v>0</v>
      </c>
      <c r="D447" s="203">
        <v>0</v>
      </c>
      <c r="E447" s="239">
        <f>E484</f>
        <v>1.38</v>
      </c>
      <c r="F447" s="207" t="s">
        <v>31</v>
      </c>
      <c r="G447" s="205">
        <f>ROUND(E447*$C447,0)</f>
        <v>0</v>
      </c>
      <c r="H447" s="205">
        <f>ROUND(F447*$C447,0)</f>
        <v>0</v>
      </c>
      <c r="I447" s="239">
        <f>I484</f>
        <v>1.47</v>
      </c>
      <c r="J447" s="207" t="s">
        <v>31</v>
      </c>
      <c r="K447" s="205">
        <f>ROUND(I447*$D447,0)</f>
        <v>0</v>
      </c>
    </row>
    <row r="448" spans="1:15">
      <c r="A448" s="207" t="s">
        <v>411</v>
      </c>
      <c r="B448" s="1"/>
      <c r="C448" s="203">
        <v>0</v>
      </c>
      <c r="D448" s="203">
        <v>0</v>
      </c>
      <c r="E448" s="239">
        <f>E485</f>
        <v>1.1299999999999999</v>
      </c>
      <c r="F448" s="207" t="s">
        <v>31</v>
      </c>
      <c r="G448" s="205">
        <f>ROUND(E448*$C448,0)</f>
        <v>0</v>
      </c>
      <c r="H448" s="205">
        <f>ROUND(F448*$C448,0)</f>
        <v>0</v>
      </c>
      <c r="I448" s="239">
        <f>I485</f>
        <v>1.2</v>
      </c>
      <c r="J448" s="207" t="s">
        <v>31</v>
      </c>
      <c r="K448" s="205">
        <f>ROUND(I448*$D448,0)</f>
        <v>0</v>
      </c>
    </row>
    <row r="449" spans="1:11">
      <c r="A449" s="193" t="s">
        <v>412</v>
      </c>
      <c r="B449" s="1"/>
      <c r="C449" s="203"/>
      <c r="D449" s="203"/>
      <c r="E449" s="239"/>
      <c r="F449" s="207"/>
      <c r="G449" s="205"/>
      <c r="H449" s="205"/>
      <c r="I449" s="239"/>
      <c r="J449" s="207"/>
      <c r="K449" s="205"/>
    </row>
    <row r="450" spans="1:11">
      <c r="A450" s="193" t="s">
        <v>413</v>
      </c>
      <c r="B450" s="1"/>
      <c r="C450" s="203">
        <v>0</v>
      </c>
      <c r="D450" s="203">
        <v>0</v>
      </c>
      <c r="E450" s="239">
        <f>E487</f>
        <v>3.64</v>
      </c>
      <c r="F450" s="207"/>
      <c r="G450" s="205">
        <f>ROUND(E450*$C450,0)</f>
        <v>0</v>
      </c>
      <c r="H450" s="205">
        <f>ROUND(F450*$C450,0)</f>
        <v>0</v>
      </c>
      <c r="I450" s="239">
        <f>I487</f>
        <v>3.75</v>
      </c>
      <c r="J450" s="207"/>
      <c r="K450" s="205">
        <f>ROUND(I450*$D450,0)</f>
        <v>0</v>
      </c>
    </row>
    <row r="451" spans="1:11">
      <c r="A451" s="207" t="s">
        <v>414</v>
      </c>
      <c r="B451" s="1"/>
      <c r="C451" s="203"/>
      <c r="D451" s="203"/>
      <c r="E451" s="240"/>
      <c r="F451" s="205"/>
      <c r="G451" s="205"/>
      <c r="H451" s="205"/>
      <c r="I451" s="240"/>
      <c r="J451" s="205"/>
      <c r="K451" s="205"/>
    </row>
    <row r="452" spans="1:11">
      <c r="A452" s="207" t="s">
        <v>415</v>
      </c>
      <c r="B452" s="1"/>
      <c r="C452" s="203">
        <v>0</v>
      </c>
      <c r="D452" s="203">
        <v>0</v>
      </c>
      <c r="E452" s="241">
        <f>E490</f>
        <v>3.9809999999999999</v>
      </c>
      <c r="F452" s="205" t="s">
        <v>362</v>
      </c>
      <c r="G452" s="205">
        <f>ROUND($C452*E452/100,0)</f>
        <v>0</v>
      </c>
      <c r="H452" s="205">
        <f>ROUND($C452*F452/100,0)</f>
        <v>0</v>
      </c>
      <c r="I452" s="241">
        <f>I490</f>
        <v>4.3570000000000002</v>
      </c>
      <c r="J452" s="205" t="s">
        <v>362</v>
      </c>
      <c r="K452" s="205">
        <f>ROUND($D452*I452/100,0)</f>
        <v>0</v>
      </c>
    </row>
    <row r="453" spans="1:11">
      <c r="A453" s="207" t="s">
        <v>387</v>
      </c>
      <c r="B453" s="1"/>
      <c r="C453" s="203">
        <v>0</v>
      </c>
      <c r="D453" s="203">
        <v>0</v>
      </c>
      <c r="E453" s="241">
        <f>E491</f>
        <v>3.649</v>
      </c>
      <c r="F453" s="205" t="s">
        <v>362</v>
      </c>
      <c r="G453" s="205">
        <f>ROUND($C453*E453/100,0)</f>
        <v>0</v>
      </c>
      <c r="H453" s="205">
        <f>ROUND($C453*F453/100,0)</f>
        <v>0</v>
      </c>
      <c r="I453" s="241">
        <f>I491</f>
        <v>3.9930000000000003</v>
      </c>
      <c r="J453" s="205" t="s">
        <v>362</v>
      </c>
      <c r="K453" s="205">
        <f>ROUND($D453*I453/100,0)</f>
        <v>0</v>
      </c>
    </row>
    <row r="454" spans="1:11">
      <c r="A454" s="207" t="s">
        <v>388</v>
      </c>
      <c r="B454" s="1"/>
      <c r="C454" s="203">
        <v>0</v>
      </c>
      <c r="D454" s="203">
        <v>0</v>
      </c>
      <c r="E454" s="242">
        <v>45</v>
      </c>
      <c r="F454" s="205" t="s">
        <v>362</v>
      </c>
      <c r="G454" s="205">
        <f>ROUND(E454*$C454/100,0)</f>
        <v>0</v>
      </c>
      <c r="H454" s="205">
        <f>ROUND(F454*$C454/100,0)</f>
        <v>0</v>
      </c>
      <c r="I454" s="242">
        <v>45</v>
      </c>
      <c r="J454" s="205" t="s">
        <v>362</v>
      </c>
      <c r="K454" s="205">
        <f>ROUND(I454*$D454,0)</f>
        <v>0</v>
      </c>
    </row>
    <row r="455" spans="1:11">
      <c r="A455" s="207" t="s">
        <v>416</v>
      </c>
      <c r="B455" s="1"/>
      <c r="C455" s="203">
        <v>0</v>
      </c>
      <c r="D455" s="203">
        <v>0</v>
      </c>
      <c r="E455" s="243">
        <v>0.06</v>
      </c>
      <c r="F455" s="205"/>
      <c r="G455" s="205">
        <f>ROUND($C455*E455/100,0)</f>
        <v>0</v>
      </c>
      <c r="H455" s="205">
        <f>ROUND($C455*F455/100,0)</f>
        <v>0</v>
      </c>
      <c r="I455" s="243">
        <v>0.06</v>
      </c>
      <c r="J455" s="205"/>
      <c r="K455" s="205">
        <f>ROUND($D455*I455/100,0)</f>
        <v>0</v>
      </c>
    </row>
    <row r="456" spans="1:11">
      <c r="A456" s="244" t="s">
        <v>389</v>
      </c>
      <c r="B456" s="1"/>
      <c r="C456" s="203"/>
      <c r="D456" s="203"/>
      <c r="E456" s="216">
        <v>-0.01</v>
      </c>
      <c r="F456" s="245"/>
      <c r="G456" s="245"/>
      <c r="H456" s="245"/>
      <c r="I456" s="216">
        <v>-0.01</v>
      </c>
      <c r="J456" s="245"/>
      <c r="K456" s="2"/>
    </row>
    <row r="457" spans="1:11">
      <c r="A457" s="207" t="s">
        <v>409</v>
      </c>
      <c r="B457" s="1"/>
      <c r="C457" s="203">
        <v>0</v>
      </c>
      <c r="D457" s="203">
        <v>0</v>
      </c>
      <c r="E457" s="239">
        <f>E443</f>
        <v>205</v>
      </c>
      <c r="F457" s="207"/>
      <c r="G457" s="205">
        <f t="shared" ref="G457:H462" si="40">ROUND(E457*$C457*$E$456,0)</f>
        <v>0</v>
      </c>
      <c r="H457" s="205">
        <f t="shared" si="40"/>
        <v>0</v>
      </c>
      <c r="I457" s="239">
        <f>I443</f>
        <v>225</v>
      </c>
      <c r="J457" s="207"/>
      <c r="K457" s="205">
        <f t="shared" ref="K457:K462" si="41">ROUND(I457*$D457*$E$456,0)</f>
        <v>0</v>
      </c>
    </row>
    <row r="458" spans="1:11">
      <c r="A458" s="207" t="s">
        <v>410</v>
      </c>
      <c r="B458" s="1"/>
      <c r="C458" s="203">
        <v>0</v>
      </c>
      <c r="D458" s="203">
        <v>0</v>
      </c>
      <c r="E458" s="239">
        <f>E444</f>
        <v>75</v>
      </c>
      <c r="F458" s="207"/>
      <c r="G458" s="205">
        <f t="shared" si="40"/>
        <v>0</v>
      </c>
      <c r="H458" s="205">
        <f t="shared" si="40"/>
        <v>0</v>
      </c>
      <c r="I458" s="239">
        <f>I444</f>
        <v>83</v>
      </c>
      <c r="J458" s="207"/>
      <c r="K458" s="205">
        <f t="shared" si="41"/>
        <v>0</v>
      </c>
    </row>
    <row r="459" spans="1:11">
      <c r="A459" s="207" t="s">
        <v>411</v>
      </c>
      <c r="B459" s="1"/>
      <c r="C459" s="203">
        <v>0</v>
      </c>
      <c r="D459" s="203">
        <v>0</v>
      </c>
      <c r="E459" s="239">
        <f>E445</f>
        <v>150</v>
      </c>
      <c r="F459" s="209"/>
      <c r="G459" s="205">
        <f t="shared" si="40"/>
        <v>0</v>
      </c>
      <c r="H459" s="205">
        <f t="shared" si="40"/>
        <v>0</v>
      </c>
      <c r="I459" s="239">
        <f>I445</f>
        <v>166</v>
      </c>
      <c r="J459" s="209"/>
      <c r="K459" s="205">
        <f t="shared" si="41"/>
        <v>0</v>
      </c>
    </row>
    <row r="460" spans="1:11">
      <c r="A460" s="207" t="s">
        <v>410</v>
      </c>
      <c r="B460" s="1"/>
      <c r="C460" s="203">
        <v>0</v>
      </c>
      <c r="D460" s="203">
        <v>0</v>
      </c>
      <c r="E460" s="239">
        <f>E447</f>
        <v>1.38</v>
      </c>
      <c r="F460" s="207" t="s">
        <v>31</v>
      </c>
      <c r="G460" s="205">
        <f t="shared" si="40"/>
        <v>0</v>
      </c>
      <c r="H460" s="205">
        <f t="shared" si="40"/>
        <v>0</v>
      </c>
      <c r="I460" s="239">
        <f>I447</f>
        <v>1.47</v>
      </c>
      <c r="J460" s="207" t="s">
        <v>31</v>
      </c>
      <c r="K460" s="205">
        <f t="shared" si="41"/>
        <v>0</v>
      </c>
    </row>
    <row r="461" spans="1:11">
      <c r="A461" s="207" t="s">
        <v>411</v>
      </c>
      <c r="B461" s="1"/>
      <c r="C461" s="203">
        <v>0</v>
      </c>
      <c r="D461" s="203">
        <v>0</v>
      </c>
      <c r="E461" s="239">
        <f>E448</f>
        <v>1.1299999999999999</v>
      </c>
      <c r="F461" s="207" t="s">
        <v>31</v>
      </c>
      <c r="G461" s="205">
        <f t="shared" si="40"/>
        <v>0</v>
      </c>
      <c r="H461" s="205">
        <f t="shared" si="40"/>
        <v>0</v>
      </c>
      <c r="I461" s="239">
        <f>I448</f>
        <v>1.2</v>
      </c>
      <c r="J461" s="207" t="s">
        <v>31</v>
      </c>
      <c r="K461" s="205">
        <f t="shared" si="41"/>
        <v>0</v>
      </c>
    </row>
    <row r="462" spans="1:11">
      <c r="A462" s="193" t="s">
        <v>413</v>
      </c>
      <c r="B462" s="1"/>
      <c r="C462" s="203">
        <v>0</v>
      </c>
      <c r="D462" s="203">
        <v>0</v>
      </c>
      <c r="E462" s="239">
        <f>E450</f>
        <v>3.64</v>
      </c>
      <c r="F462" s="207"/>
      <c r="G462" s="205">
        <f t="shared" si="40"/>
        <v>0</v>
      </c>
      <c r="H462" s="205">
        <f t="shared" si="40"/>
        <v>0</v>
      </c>
      <c r="I462" s="239">
        <f>I450</f>
        <v>3.75</v>
      </c>
      <c r="J462" s="207"/>
      <c r="K462" s="205">
        <f t="shared" si="41"/>
        <v>0</v>
      </c>
    </row>
    <row r="463" spans="1:11">
      <c r="A463" s="207" t="s">
        <v>415</v>
      </c>
      <c r="B463" s="1"/>
      <c r="C463" s="203">
        <v>0</v>
      </c>
      <c r="D463" s="203">
        <v>0</v>
      </c>
      <c r="E463" s="219">
        <f>E452</f>
        <v>3.9809999999999999</v>
      </c>
      <c r="F463" s="205" t="s">
        <v>362</v>
      </c>
      <c r="G463" s="205">
        <f>ROUND(E463/100*$C463*E456,0)</f>
        <v>0</v>
      </c>
      <c r="H463" s="205">
        <f>ROUND(F463/100*$C463*F456,0)</f>
        <v>0</v>
      </c>
      <c r="I463" s="219">
        <f>I452</f>
        <v>4.3570000000000002</v>
      </c>
      <c r="J463" s="205" t="s">
        <v>362</v>
      </c>
      <c r="K463" s="205">
        <f>ROUND(I463/100*$D463*E456,0)</f>
        <v>0</v>
      </c>
    </row>
    <row r="464" spans="1:11">
      <c r="A464" s="207" t="s">
        <v>387</v>
      </c>
      <c r="B464" s="1"/>
      <c r="C464" s="203">
        <v>0</v>
      </c>
      <c r="D464" s="203">
        <v>0</v>
      </c>
      <c r="E464" s="219">
        <f>E453</f>
        <v>3.649</v>
      </c>
      <c r="F464" s="205" t="s">
        <v>362</v>
      </c>
      <c r="G464" s="205">
        <f>ROUND(E464/100*$C464*E456,0)</f>
        <v>0</v>
      </c>
      <c r="H464" s="205">
        <f>ROUND(F464/100*$C464*F456,0)</f>
        <v>0</v>
      </c>
      <c r="I464" s="219">
        <f>I453</f>
        <v>3.9930000000000003</v>
      </c>
      <c r="J464" s="205" t="s">
        <v>362</v>
      </c>
      <c r="K464" s="205">
        <f>ROUND(I464/100*$D464*E456,0)</f>
        <v>0</v>
      </c>
    </row>
    <row r="465" spans="1:24">
      <c r="A465" s="193" t="s">
        <v>417</v>
      </c>
      <c r="B465" s="1"/>
      <c r="C465" s="203">
        <v>0</v>
      </c>
      <c r="D465" s="203">
        <v>0</v>
      </c>
      <c r="E465" s="246">
        <v>45</v>
      </c>
      <c r="F465" s="205" t="s">
        <v>362</v>
      </c>
      <c r="G465" s="205">
        <f>ROUND(E465*$C465*$E$456,0)</f>
        <v>0</v>
      </c>
      <c r="H465" s="205">
        <f>ROUND(F465*$C465*$E$456,0)</f>
        <v>0</v>
      </c>
      <c r="I465" s="246">
        <v>45</v>
      </c>
      <c r="J465" s="205" t="s">
        <v>362</v>
      </c>
      <c r="K465" s="205">
        <f>ROUND(I465*$D465*$E$456,0)</f>
        <v>0</v>
      </c>
    </row>
    <row r="466" spans="1:24">
      <c r="A466" s="193" t="s">
        <v>418</v>
      </c>
      <c r="B466" s="1"/>
      <c r="C466" s="203">
        <v>0</v>
      </c>
      <c r="D466" s="203">
        <v>0</v>
      </c>
      <c r="E466" s="220">
        <v>0.06</v>
      </c>
      <c r="F466" s="205" t="s">
        <v>362</v>
      </c>
      <c r="G466" s="205">
        <f>ROUND(E466/100*$C466*E456,0)</f>
        <v>0</v>
      </c>
      <c r="H466" s="205">
        <f>ROUND(F466/100*$C466*F456,0)</f>
        <v>0</v>
      </c>
      <c r="I466" s="220">
        <v>0.06</v>
      </c>
      <c r="J466" s="205" t="s">
        <v>362</v>
      </c>
      <c r="K466" s="205">
        <f>ROUND(I466/100*$D466*I456,0)</f>
        <v>0</v>
      </c>
    </row>
    <row r="467" spans="1:24">
      <c r="A467" s="207" t="s">
        <v>419</v>
      </c>
      <c r="B467" s="1"/>
      <c r="C467" s="203">
        <v>0</v>
      </c>
      <c r="D467" s="203">
        <v>0</v>
      </c>
      <c r="E467" s="247">
        <v>60</v>
      </c>
      <c r="F467" s="245" t="s">
        <v>31</v>
      </c>
      <c r="G467" s="205">
        <f>ROUND(E467*$C467,0)</f>
        <v>0</v>
      </c>
      <c r="H467" s="205">
        <f>ROUND(F467*$C467,0)</f>
        <v>0</v>
      </c>
      <c r="I467" s="247">
        <v>60</v>
      </c>
      <c r="J467" s="248" t="s">
        <v>31</v>
      </c>
      <c r="K467" s="205">
        <f>ROUND(I467*$D467,0)</f>
        <v>0</v>
      </c>
    </row>
    <row r="468" spans="1:24">
      <c r="A468" s="207" t="s">
        <v>420</v>
      </c>
      <c r="B468" s="1"/>
      <c r="C468" s="203">
        <v>0</v>
      </c>
      <c r="D468" s="203">
        <v>0</v>
      </c>
      <c r="E468" s="220">
        <v>-30</v>
      </c>
      <c r="F468" s="205" t="s">
        <v>362</v>
      </c>
      <c r="G468" s="205">
        <f>ROUND(E468*$C468*$E$456,0)</f>
        <v>0</v>
      </c>
      <c r="H468" s="205">
        <f>ROUND(F468*$C468*$E$456,0)</f>
        <v>0</v>
      </c>
      <c r="I468" s="220">
        <v>-30</v>
      </c>
      <c r="J468" s="205" t="s">
        <v>362</v>
      </c>
      <c r="K468" s="205">
        <f>ROUND(I468*$D468*$E$456,0)</f>
        <v>0</v>
      </c>
    </row>
    <row r="469" spans="1:24">
      <c r="A469" s="193" t="s">
        <v>421</v>
      </c>
      <c r="B469" s="1"/>
      <c r="C469" s="203">
        <v>0</v>
      </c>
      <c r="D469" s="203">
        <v>0</v>
      </c>
      <c r="E469" s="218">
        <f>E450/2</f>
        <v>1.82</v>
      </c>
      <c r="F469" s="205"/>
      <c r="G469" s="205"/>
      <c r="H469" s="205"/>
      <c r="I469" s="218">
        <f>I450/2</f>
        <v>1.875</v>
      </c>
      <c r="J469" s="205"/>
      <c r="K469" s="205">
        <f>ROUND($D469*I469,0)</f>
        <v>0</v>
      </c>
    </row>
    <row r="470" spans="1:24">
      <c r="A470" s="193" t="s">
        <v>422</v>
      </c>
      <c r="B470" s="1"/>
      <c r="C470" s="203">
        <v>0</v>
      </c>
      <c r="D470" s="203">
        <v>0</v>
      </c>
      <c r="E470" s="218">
        <f>E450*4</f>
        <v>14.56</v>
      </c>
      <c r="F470" s="205"/>
      <c r="G470" s="205"/>
      <c r="H470" s="205"/>
      <c r="I470" s="218">
        <f>I450*4</f>
        <v>15</v>
      </c>
      <c r="J470" s="205"/>
      <c r="K470" s="205">
        <f>ROUND($D470*I470,0)</f>
        <v>0</v>
      </c>
    </row>
    <row r="471" spans="1:24">
      <c r="A471" s="3" t="s">
        <v>423</v>
      </c>
      <c r="B471" s="187"/>
      <c r="C471" s="203">
        <v>0</v>
      </c>
      <c r="D471" s="203">
        <v>0</v>
      </c>
      <c r="E471" s="249">
        <f>E453*4</f>
        <v>14.596</v>
      </c>
      <c r="F471" s="205" t="s">
        <v>362</v>
      </c>
      <c r="G471" s="205">
        <f>ROUND($C471*E471/100,0)</f>
        <v>0</v>
      </c>
      <c r="H471" s="205">
        <f>ROUND($C471*F471/100,0)</f>
        <v>0</v>
      </c>
      <c r="I471" s="411">
        <f>I453*4</f>
        <v>15.972000000000001</v>
      </c>
      <c r="J471" s="205" t="s">
        <v>362</v>
      </c>
      <c r="K471" s="205">
        <f>ROUND($D471*I471/100,0)</f>
        <v>0</v>
      </c>
    </row>
    <row r="472" spans="1:24">
      <c r="A472" s="1" t="s">
        <v>369</v>
      </c>
      <c r="B472" s="1"/>
      <c r="C472" s="203">
        <f>SUM(C452:C453)</f>
        <v>0</v>
      </c>
      <c r="D472" s="203">
        <f>SUM(D452:D453)</f>
        <v>0</v>
      </c>
      <c r="E472" s="214"/>
      <c r="F472" s="2"/>
      <c r="G472" s="2">
        <f>SUM(G443:G471)</f>
        <v>0</v>
      </c>
      <c r="H472" s="2">
        <f>SUM(H443:H471)</f>
        <v>0</v>
      </c>
      <c r="I472" s="214"/>
      <c r="J472" s="207"/>
      <c r="K472" s="2">
        <f>SUM(K443:K471)</f>
        <v>0</v>
      </c>
    </row>
    <row r="473" spans="1:24">
      <c r="A473" s="1" t="s">
        <v>351</v>
      </c>
      <c r="B473" s="1"/>
      <c r="C473" s="233">
        <v>0</v>
      </c>
      <c r="D473" s="233">
        <v>0</v>
      </c>
      <c r="E473" s="193"/>
      <c r="F473" s="193"/>
      <c r="G473" s="194">
        <v>0</v>
      </c>
      <c r="H473" s="194">
        <v>0</v>
      </c>
      <c r="I473" s="193"/>
      <c r="J473" s="193"/>
      <c r="K473" s="194">
        <v>0</v>
      </c>
      <c r="M473" s="173"/>
      <c r="N473" s="173"/>
      <c r="O473" s="174"/>
    </row>
    <row r="474" spans="1:24" ht="16.5" thickBot="1">
      <c r="A474" s="1" t="s">
        <v>370</v>
      </c>
      <c r="B474" s="1"/>
      <c r="C474" s="250">
        <f>SUM(C472:C473)</f>
        <v>0</v>
      </c>
      <c r="D474" s="250">
        <f>SUM(D472:D473)</f>
        <v>0</v>
      </c>
      <c r="E474" s="226"/>
      <c r="F474" s="227"/>
      <c r="G474" s="228">
        <f>SUM(G472:G473)</f>
        <v>0</v>
      </c>
      <c r="H474" s="228">
        <f>SUM(H472:H473)</f>
        <v>0</v>
      </c>
      <c r="I474" s="226"/>
      <c r="J474" s="229"/>
      <c r="K474" s="228">
        <f>SUM(K472:K473)</f>
        <v>0</v>
      </c>
      <c r="M474" s="175"/>
      <c r="N474" s="175"/>
      <c r="O474" s="176"/>
    </row>
    <row r="475" spans="1:24" ht="16.5" thickTop="1">
      <c r="A475" s="1"/>
      <c r="B475" s="251"/>
      <c r="C475" s="21"/>
      <c r="D475" s="21"/>
      <c r="E475" s="221"/>
      <c r="F475" s="2"/>
      <c r="G475" s="2"/>
      <c r="H475" s="2"/>
      <c r="I475" s="221"/>
      <c r="J475" s="1"/>
      <c r="K475" s="2"/>
    </row>
    <row r="476" spans="1:24">
      <c r="A476" s="177" t="s">
        <v>424</v>
      </c>
      <c r="B476" s="1"/>
      <c r="C476" s="1"/>
      <c r="D476" s="1"/>
      <c r="E476" s="2"/>
      <c r="F476" s="2"/>
      <c r="G476" s="1" t="s">
        <v>31</v>
      </c>
      <c r="H476" s="1"/>
      <c r="I476" s="2"/>
      <c r="J476" s="1"/>
      <c r="K476" s="1"/>
    </row>
    <row r="477" spans="1:24">
      <c r="A477" s="193" t="s">
        <v>425</v>
      </c>
      <c r="B477" s="1"/>
      <c r="C477" s="1"/>
      <c r="D477" s="1"/>
      <c r="E477" s="2"/>
      <c r="F477" s="2"/>
      <c r="G477" s="1"/>
      <c r="H477" s="1"/>
      <c r="I477" s="2"/>
      <c r="J477" s="1"/>
      <c r="K477" s="1"/>
    </row>
    <row r="478" spans="1:24">
      <c r="A478" s="207"/>
      <c r="B478" s="1"/>
      <c r="C478" s="1"/>
      <c r="D478" s="1"/>
      <c r="E478" s="2"/>
      <c r="F478" s="2"/>
      <c r="G478" s="1"/>
      <c r="H478" s="1"/>
      <c r="I478" s="2"/>
      <c r="J478" s="1"/>
      <c r="K478" s="1"/>
    </row>
    <row r="479" spans="1:24">
      <c r="A479" s="207" t="s">
        <v>381</v>
      </c>
      <c r="B479" s="1"/>
      <c r="C479" s="203"/>
      <c r="D479" s="203"/>
      <c r="E479" s="2"/>
      <c r="F479" s="2"/>
      <c r="G479" s="1"/>
      <c r="H479" s="1"/>
      <c r="I479" s="2"/>
      <c r="J479" s="1"/>
      <c r="K479" s="1"/>
      <c r="S479" s="22">
        <v>100</v>
      </c>
      <c r="T479" s="22">
        <v>101</v>
      </c>
      <c r="U479" s="22">
        <v>300</v>
      </c>
      <c r="V479" s="22">
        <v>301</v>
      </c>
      <c r="W479" s="22" t="s">
        <v>426</v>
      </c>
      <c r="X479" s="22" t="s">
        <v>427</v>
      </c>
    </row>
    <row r="480" spans="1:24">
      <c r="A480" s="207" t="s">
        <v>409</v>
      </c>
      <c r="B480" s="1"/>
      <c r="C480" s="203">
        <f t="shared" ref="C480:D482" si="42">C514+C548</f>
        <v>289</v>
      </c>
      <c r="D480" s="203">
        <f t="shared" si="42"/>
        <v>292</v>
      </c>
      <c r="E480" s="182">
        <v>205</v>
      </c>
      <c r="F480" s="207"/>
      <c r="G480" s="205">
        <f t="shared" ref="G480:H482" si="43">G514+G548</f>
        <v>59245</v>
      </c>
      <c r="H480" s="205">
        <f t="shared" si="43"/>
        <v>59860</v>
      </c>
      <c r="I480" s="182">
        <v>225</v>
      </c>
      <c r="J480" s="207"/>
      <c r="K480" s="205">
        <f>K514+K548</f>
        <v>65700</v>
      </c>
      <c r="M480" s="81">
        <f>I480*D480</f>
        <v>65700</v>
      </c>
      <c r="N480" s="14"/>
      <c r="O480" s="14">
        <f>(I480-E480)/E480</f>
        <v>9.7560975609756101E-2</v>
      </c>
      <c r="P480" s="128">
        <f>SUM(K480:K485)/SUM(H480:H485)-1</f>
        <v>7.3572489540367991E-2</v>
      </c>
      <c r="R480" s="3" t="s">
        <v>359</v>
      </c>
      <c r="S480" s="213">
        <f>E480</f>
        <v>205</v>
      </c>
      <c r="T480" s="213">
        <f>E481+(E484*101)</f>
        <v>214.38</v>
      </c>
      <c r="U480" s="213">
        <f>E481+(E484*300)</f>
        <v>488.99999999999994</v>
      </c>
      <c r="V480" s="213">
        <f>E482+(E485*301)</f>
        <v>490.13</v>
      </c>
      <c r="W480" s="81">
        <f>(D480+D481+D482)*E480</f>
        <v>2621745</v>
      </c>
      <c r="X480" s="81">
        <f>SUM(H480:H485)-W480</f>
        <v>2785711</v>
      </c>
    </row>
    <row r="481" spans="1:25">
      <c r="A481" s="207" t="s">
        <v>410</v>
      </c>
      <c r="B481" s="1"/>
      <c r="C481" s="203">
        <f t="shared" si="42"/>
        <v>8907</v>
      </c>
      <c r="D481" s="203">
        <f t="shared" si="42"/>
        <v>8972</v>
      </c>
      <c r="E481" s="182">
        <v>75</v>
      </c>
      <c r="F481" s="207"/>
      <c r="G481" s="205">
        <f t="shared" si="43"/>
        <v>668025</v>
      </c>
      <c r="H481" s="205">
        <f t="shared" si="43"/>
        <v>672900</v>
      </c>
      <c r="I481" s="182">
        <v>83</v>
      </c>
      <c r="J481" s="207"/>
      <c r="K481" s="205">
        <f>K515+K549</f>
        <v>744676</v>
      </c>
      <c r="M481" s="81">
        <f>I481*D481</f>
        <v>744676</v>
      </c>
      <c r="N481" s="14"/>
      <c r="O481" s="14">
        <f>(I481-E481)/E481</f>
        <v>0.10666666666666667</v>
      </c>
      <c r="R481" s="3" t="s">
        <v>295</v>
      </c>
      <c r="S481" s="213">
        <f>I480</f>
        <v>225</v>
      </c>
      <c r="T481" s="213">
        <f>I481+(I484*101)</f>
        <v>231.47</v>
      </c>
      <c r="U481" s="213">
        <f>I481+(I484*300)</f>
        <v>524</v>
      </c>
      <c r="V481" s="213">
        <f>I482+(I485*301)</f>
        <v>527.20000000000005</v>
      </c>
      <c r="W481" s="81">
        <f>(D480+D481+D482)*I480</f>
        <v>2877525</v>
      </c>
      <c r="X481" s="81">
        <f>SUM(K480:K485)-W481</f>
        <v>2927771</v>
      </c>
    </row>
    <row r="482" spans="1:25">
      <c r="A482" s="207" t="s">
        <v>411</v>
      </c>
      <c r="B482" s="1"/>
      <c r="C482" s="203">
        <f t="shared" si="42"/>
        <v>3508</v>
      </c>
      <c r="D482" s="203">
        <f t="shared" si="42"/>
        <v>3525</v>
      </c>
      <c r="E482" s="182">
        <v>150</v>
      </c>
      <c r="F482" s="209"/>
      <c r="G482" s="205">
        <f t="shared" si="43"/>
        <v>526200</v>
      </c>
      <c r="H482" s="205">
        <f t="shared" si="43"/>
        <v>528750</v>
      </c>
      <c r="I482" s="182">
        <v>166</v>
      </c>
      <c r="J482" s="209"/>
      <c r="K482" s="205">
        <f>K516+K550</f>
        <v>585150</v>
      </c>
      <c r="M482" s="81">
        <f>I482*D482</f>
        <v>585150</v>
      </c>
      <c r="N482" s="14"/>
      <c r="O482" s="14">
        <f>(I482-E482)/E482</f>
        <v>0.10666666666666667</v>
      </c>
      <c r="R482" s="3" t="s">
        <v>245</v>
      </c>
      <c r="W482" s="3">
        <f>W481/W480</f>
        <v>1.0975609756097562</v>
      </c>
      <c r="X482" s="3">
        <f>X481/X480</f>
        <v>1.0509959575849757</v>
      </c>
    </row>
    <row r="483" spans="1:25">
      <c r="A483" s="207" t="s">
        <v>382</v>
      </c>
      <c r="B483" s="1"/>
      <c r="C483" s="203">
        <f>SUM(C480:C482)</f>
        <v>12704</v>
      </c>
      <c r="D483" s="203">
        <f>SUM(D480:D482)</f>
        <v>12789</v>
      </c>
      <c r="E483" s="182"/>
      <c r="F483" s="207"/>
      <c r="G483" s="205"/>
      <c r="H483" s="205"/>
      <c r="I483" s="182"/>
      <c r="J483" s="207"/>
      <c r="K483" s="205"/>
    </row>
    <row r="484" spans="1:25">
      <c r="A484" s="207" t="s">
        <v>410</v>
      </c>
      <c r="B484" s="1"/>
      <c r="C484" s="203">
        <f>C518+C552</f>
        <v>1535371</v>
      </c>
      <c r="D484" s="203">
        <f>D518+D552</f>
        <v>1549871</v>
      </c>
      <c r="E484" s="182">
        <v>1.38</v>
      </c>
      <c r="F484" s="207" t="s">
        <v>31</v>
      </c>
      <c r="G484" s="205">
        <f>G518+G552</f>
        <v>2118812</v>
      </c>
      <c r="H484" s="205">
        <f>H518+H552</f>
        <v>2138822</v>
      </c>
      <c r="I484" s="182">
        <v>1.47</v>
      </c>
      <c r="J484" s="207" t="s">
        <v>31</v>
      </c>
      <c r="K484" s="205">
        <f>K518+K552</f>
        <v>2278311</v>
      </c>
      <c r="M484" s="81">
        <f>I484*D484</f>
        <v>2278310.37</v>
      </c>
      <c r="N484" s="14"/>
      <c r="O484" s="14">
        <f>(I484-E484)/E484</f>
        <v>6.5217391304347894E-2</v>
      </c>
      <c r="R484" s="3" t="s">
        <v>428</v>
      </c>
    </row>
    <row r="485" spans="1:25">
      <c r="A485" s="207" t="s">
        <v>411</v>
      </c>
      <c r="B485" s="1"/>
      <c r="C485" s="203">
        <f>C519+C553</f>
        <v>1759859</v>
      </c>
      <c r="D485" s="203">
        <f>D519+D553</f>
        <v>1776216</v>
      </c>
      <c r="E485" s="182">
        <v>1.1299999999999999</v>
      </c>
      <c r="F485" s="207" t="s">
        <v>31</v>
      </c>
      <c r="G485" s="205">
        <f>G519+G553</f>
        <v>1988640</v>
      </c>
      <c r="H485" s="205">
        <f>H519+H553</f>
        <v>2007124</v>
      </c>
      <c r="I485" s="182">
        <v>1.2</v>
      </c>
      <c r="J485" s="207" t="s">
        <v>31</v>
      </c>
      <c r="K485" s="205">
        <f>K519+K553</f>
        <v>2131459</v>
      </c>
      <c r="M485" s="81">
        <f>I485*D485</f>
        <v>2131459.1999999997</v>
      </c>
      <c r="N485" s="14"/>
      <c r="O485" s="14">
        <f>(I485-E485)/E485</f>
        <v>6.1946902654867318E-2</v>
      </c>
      <c r="R485" s="3" t="s">
        <v>359</v>
      </c>
      <c r="T485" s="3">
        <f>(T480-S480)*12</f>
        <v>112.55999999999995</v>
      </c>
      <c r="V485" s="3">
        <f>(V480-U480)*12</f>
        <v>13.560000000000628</v>
      </c>
      <c r="X485" s="252"/>
      <c r="Y485" s="213"/>
    </row>
    <row r="486" spans="1:25">
      <c r="A486" s="193" t="s">
        <v>412</v>
      </c>
      <c r="B486" s="1"/>
      <c r="C486" s="203"/>
      <c r="D486" s="203"/>
      <c r="E486" s="239"/>
      <c r="F486" s="207"/>
      <c r="G486" s="205"/>
      <c r="H486" s="205"/>
      <c r="I486" s="239"/>
      <c r="J486" s="207"/>
      <c r="K486" s="205"/>
      <c r="R486" s="3" t="s">
        <v>295</v>
      </c>
      <c r="T486" s="3">
        <f>(T481-S481)*12</f>
        <v>77.639999999999986</v>
      </c>
      <c r="V486" s="3">
        <f>(V481-U481)*12</f>
        <v>38.400000000000546</v>
      </c>
    </row>
    <row r="487" spans="1:25">
      <c r="A487" s="193" t="s">
        <v>413</v>
      </c>
      <c r="B487" s="1"/>
      <c r="C487" s="203">
        <f>C521+C555</f>
        <v>2505096</v>
      </c>
      <c r="D487" s="203">
        <f>D521+D555</f>
        <v>2528566</v>
      </c>
      <c r="E487" s="182">
        <v>3.64</v>
      </c>
      <c r="F487" s="207"/>
      <c r="G487" s="205">
        <f>G521+G555</f>
        <v>9118549</v>
      </c>
      <c r="H487" s="205">
        <f>H521+H555</f>
        <v>9203980</v>
      </c>
      <c r="I487" s="182">
        <v>3.75</v>
      </c>
      <c r="J487" s="207"/>
      <c r="K487" s="205">
        <f>K521+K555</f>
        <v>9482123</v>
      </c>
      <c r="M487" s="81">
        <f>I487*D487</f>
        <v>9482122.5</v>
      </c>
      <c r="N487" s="14"/>
      <c r="O487" s="14">
        <f>(I487-E487)/E487</f>
        <v>3.0219780219780185E-2</v>
      </c>
    </row>
    <row r="488" spans="1:25">
      <c r="A488" s="193" t="s">
        <v>429</v>
      </c>
      <c r="B488" s="1"/>
      <c r="C488" s="203">
        <f>C522+C556</f>
        <v>29432</v>
      </c>
      <c r="D488" s="203">
        <f>D522+D556</f>
        <v>29702</v>
      </c>
      <c r="E488" s="253">
        <f>E487</f>
        <v>3.64</v>
      </c>
      <c r="F488" s="207"/>
      <c r="G488" s="205">
        <f>G522+G556</f>
        <v>107133</v>
      </c>
      <c r="H488" s="205">
        <f>H522+H556</f>
        <v>108115</v>
      </c>
      <c r="I488" s="253">
        <f>I487</f>
        <v>3.75</v>
      </c>
      <c r="J488" s="207"/>
      <c r="K488" s="205">
        <f>K522+K556</f>
        <v>111383</v>
      </c>
      <c r="M488" s="81">
        <f>I488*D488</f>
        <v>111382.5</v>
      </c>
      <c r="N488" s="14"/>
      <c r="O488" s="14">
        <f>(I488-E488)/E488</f>
        <v>3.0219780219780185E-2</v>
      </c>
    </row>
    <row r="489" spans="1:25">
      <c r="A489" s="207" t="s">
        <v>414</v>
      </c>
      <c r="B489" s="1"/>
      <c r="C489" s="203"/>
      <c r="D489" s="203"/>
      <c r="E489" s="182"/>
      <c r="F489" s="207"/>
      <c r="G489" s="205"/>
      <c r="H489" s="205"/>
      <c r="I489" s="182"/>
      <c r="J489" s="207"/>
      <c r="K489" s="205"/>
    </row>
    <row r="490" spans="1:25">
      <c r="A490" s="207" t="s">
        <v>415</v>
      </c>
      <c r="B490" s="203"/>
      <c r="C490" s="203">
        <v>399000610.21105069</v>
      </c>
      <c r="D490" s="203">
        <f>D524+D558</f>
        <v>402768334</v>
      </c>
      <c r="E490" s="254">
        <v>3.9809999999999999</v>
      </c>
      <c r="F490" s="207" t="s">
        <v>362</v>
      </c>
      <c r="G490" s="205">
        <f t="shared" ref="G490:H492" si="44">G524+G558</f>
        <v>15884355</v>
      </c>
      <c r="H490" s="205">
        <f t="shared" si="44"/>
        <v>16034207</v>
      </c>
      <c r="I490" s="211">
        <v>4.3570000000000002</v>
      </c>
      <c r="J490" s="207" t="s">
        <v>362</v>
      </c>
      <c r="K490" s="205">
        <f>K524+K558</f>
        <v>17548616</v>
      </c>
      <c r="M490" s="81">
        <f>(I490/100)*D490</f>
        <v>17548616.312380001</v>
      </c>
      <c r="N490" s="14"/>
      <c r="O490" s="14">
        <f>(I490-E490)/E490</f>
        <v>9.4448630997236965E-2</v>
      </c>
    </row>
    <row r="491" spans="1:25">
      <c r="A491" s="207" t="s">
        <v>387</v>
      </c>
      <c r="B491" s="203"/>
      <c r="C491" s="203">
        <v>502109624.78894931</v>
      </c>
      <c r="D491" s="203">
        <f>D525+D559</f>
        <v>506816374</v>
      </c>
      <c r="E491" s="254">
        <v>3.649</v>
      </c>
      <c r="F491" s="207" t="s">
        <v>362</v>
      </c>
      <c r="G491" s="205">
        <f t="shared" si="44"/>
        <v>18322143</v>
      </c>
      <c r="H491" s="205">
        <f t="shared" si="44"/>
        <v>18493730</v>
      </c>
      <c r="I491" s="254">
        <f>ROUND((E491/E490)*I490,3)-0.001</f>
        <v>3.9930000000000003</v>
      </c>
      <c r="J491" s="207" t="s">
        <v>362</v>
      </c>
      <c r="K491" s="205">
        <f>K525+K559</f>
        <v>20237178</v>
      </c>
      <c r="M491" s="81">
        <f>(I491/100)*D491</f>
        <v>20237177.813820001</v>
      </c>
      <c r="N491" s="14"/>
      <c r="O491" s="14">
        <f>(I491-E491)/E491</f>
        <v>9.4272403398191373E-2</v>
      </c>
    </row>
    <row r="492" spans="1:25">
      <c r="A492" s="207" t="s">
        <v>388</v>
      </c>
      <c r="B492" s="1"/>
      <c r="C492" s="203">
        <f>C526+C560</f>
        <v>523331</v>
      </c>
      <c r="D492" s="203">
        <f>D526+D560</f>
        <v>528143</v>
      </c>
      <c r="E492" s="223">
        <v>45</v>
      </c>
      <c r="F492" s="207" t="s">
        <v>362</v>
      </c>
      <c r="G492" s="205">
        <f t="shared" si="44"/>
        <v>235499</v>
      </c>
      <c r="H492" s="205">
        <f t="shared" si="44"/>
        <v>237664</v>
      </c>
      <c r="I492" s="223">
        <v>45</v>
      </c>
      <c r="J492" s="207" t="s">
        <v>362</v>
      </c>
      <c r="K492" s="205">
        <f>K526+K560</f>
        <v>237664</v>
      </c>
      <c r="M492" s="81">
        <f>(I492/100)*D492</f>
        <v>237664.35</v>
      </c>
      <c r="N492" s="14"/>
      <c r="O492" s="14">
        <f>(I492-E492)/E492</f>
        <v>0</v>
      </c>
      <c r="S492" s="3" t="s">
        <v>359</v>
      </c>
      <c r="T492" s="3" t="s">
        <v>295</v>
      </c>
      <c r="U492" s="3" t="s">
        <v>360</v>
      </c>
      <c r="V492" s="3" t="s">
        <v>304</v>
      </c>
    </row>
    <row r="493" spans="1:25">
      <c r="A493" s="244" t="s">
        <v>389</v>
      </c>
      <c r="B493" s="1"/>
      <c r="C493" s="203"/>
      <c r="D493" s="203"/>
      <c r="E493" s="216">
        <v>-0.01</v>
      </c>
      <c r="F493" s="2"/>
      <c r="G493" s="205"/>
      <c r="H493" s="205"/>
      <c r="I493" s="216">
        <v>-0.01</v>
      </c>
      <c r="J493" s="1"/>
      <c r="K493" s="205"/>
      <c r="R493" s="3" t="s">
        <v>430</v>
      </c>
      <c r="S493" s="81">
        <f>SUM(H480:H485)</f>
        <v>5407456</v>
      </c>
      <c r="T493" s="81">
        <f>SUM(K480:K485)</f>
        <v>5805296</v>
      </c>
      <c r="U493" s="103">
        <v>6297781.880353801</v>
      </c>
      <c r="V493" s="128">
        <f>T493/U493</f>
        <v>0.92180010522591582</v>
      </c>
    </row>
    <row r="494" spans="1:25">
      <c r="A494" s="207" t="s">
        <v>409</v>
      </c>
      <c r="B494" s="1"/>
      <c r="C494" s="203">
        <f t="shared" ref="C494:D507" si="45">C528+C562</f>
        <v>0</v>
      </c>
      <c r="D494" s="203">
        <f t="shared" si="45"/>
        <v>0</v>
      </c>
      <c r="E494" s="188">
        <f>E480</f>
        <v>205</v>
      </c>
      <c r="F494" s="248"/>
      <c r="G494" s="205">
        <f t="shared" ref="G494:H507" si="46">G528+G562</f>
        <v>0</v>
      </c>
      <c r="H494" s="205">
        <f t="shared" si="46"/>
        <v>0</v>
      </c>
      <c r="I494" s="188">
        <f>I480</f>
        <v>225</v>
      </c>
      <c r="J494" s="177"/>
      <c r="K494" s="205">
        <f t="shared" ref="K494:K507" si="47">K528+K562</f>
        <v>0</v>
      </c>
      <c r="M494" s="81">
        <f t="shared" ref="M494:M500" si="48">-(I494*D494)/100</f>
        <v>0</v>
      </c>
      <c r="R494" s="3" t="s">
        <v>364</v>
      </c>
      <c r="S494" s="81">
        <f>SUM(H490:H491)</f>
        <v>34527937</v>
      </c>
      <c r="T494" s="81">
        <f>SUM(K490:K491)</f>
        <v>37785794</v>
      </c>
      <c r="U494" s="103">
        <v>43870359.484416999</v>
      </c>
      <c r="V494" s="128">
        <f>T494/U494</f>
        <v>0.86130577556406229</v>
      </c>
    </row>
    <row r="495" spans="1:25">
      <c r="A495" s="207" t="s">
        <v>410</v>
      </c>
      <c r="B495" s="1"/>
      <c r="C495" s="203">
        <f t="shared" si="45"/>
        <v>36</v>
      </c>
      <c r="D495" s="203">
        <f t="shared" si="45"/>
        <v>36</v>
      </c>
      <c r="E495" s="188">
        <f>E481</f>
        <v>75</v>
      </c>
      <c r="F495" s="248"/>
      <c r="G495" s="205">
        <f t="shared" si="46"/>
        <v>-27</v>
      </c>
      <c r="H495" s="205">
        <f t="shared" si="46"/>
        <v>-27</v>
      </c>
      <c r="I495" s="188">
        <f>I481</f>
        <v>83</v>
      </c>
      <c r="J495" s="177"/>
      <c r="K495" s="205">
        <f t="shared" si="47"/>
        <v>-30</v>
      </c>
      <c r="M495" s="81">
        <f t="shared" si="48"/>
        <v>-29.88</v>
      </c>
      <c r="O495" s="255"/>
      <c r="R495" s="3" t="s">
        <v>394</v>
      </c>
      <c r="S495" s="81">
        <f>SUM(H487:H488)</f>
        <v>9312095</v>
      </c>
      <c r="T495" s="81">
        <f>SUM(K487:K488)</f>
        <v>9593506</v>
      </c>
      <c r="U495" s="103">
        <v>6509411.4532006206</v>
      </c>
      <c r="V495" s="128">
        <f>T495/U495</f>
        <v>1.4737900759496401</v>
      </c>
    </row>
    <row r="496" spans="1:25">
      <c r="A496" s="207" t="s">
        <v>411</v>
      </c>
      <c r="B496" s="1"/>
      <c r="C496" s="203">
        <f t="shared" si="45"/>
        <v>96</v>
      </c>
      <c r="D496" s="203">
        <f t="shared" si="45"/>
        <v>97</v>
      </c>
      <c r="E496" s="188">
        <f>E482</f>
        <v>150</v>
      </c>
      <c r="F496" s="256"/>
      <c r="G496" s="205">
        <f t="shared" si="46"/>
        <v>-144</v>
      </c>
      <c r="H496" s="205">
        <f t="shared" si="46"/>
        <v>-146</v>
      </c>
      <c r="I496" s="188">
        <f>I482</f>
        <v>166</v>
      </c>
      <c r="J496" s="257"/>
      <c r="K496" s="205">
        <f t="shared" si="47"/>
        <v>-161</v>
      </c>
      <c r="M496" s="81">
        <f t="shared" si="48"/>
        <v>-161.02000000000001</v>
      </c>
      <c r="O496" s="255"/>
    </row>
    <row r="497" spans="1:16">
      <c r="A497" s="207" t="s">
        <v>410</v>
      </c>
      <c r="B497" s="1"/>
      <c r="C497" s="203">
        <f t="shared" si="45"/>
        <v>5797</v>
      </c>
      <c r="D497" s="203">
        <f t="shared" si="45"/>
        <v>5851</v>
      </c>
      <c r="E497" s="188">
        <f>E484</f>
        <v>1.38</v>
      </c>
      <c r="F497" s="248"/>
      <c r="G497" s="205">
        <f t="shared" si="46"/>
        <v>-80</v>
      </c>
      <c r="H497" s="205">
        <f t="shared" si="46"/>
        <v>-81</v>
      </c>
      <c r="I497" s="188">
        <f>I484</f>
        <v>1.47</v>
      </c>
      <c r="J497" s="177"/>
      <c r="K497" s="205">
        <f t="shared" si="47"/>
        <v>-86</v>
      </c>
      <c r="M497" s="81">
        <f t="shared" si="48"/>
        <v>-86.009699999999995</v>
      </c>
    </row>
    <row r="498" spans="1:16">
      <c r="A498" s="207" t="s">
        <v>411</v>
      </c>
      <c r="B498" s="1"/>
      <c r="C498" s="203">
        <f t="shared" si="45"/>
        <v>55144</v>
      </c>
      <c r="D498" s="203">
        <f t="shared" si="45"/>
        <v>55664</v>
      </c>
      <c r="E498" s="188">
        <f>E485</f>
        <v>1.1299999999999999</v>
      </c>
      <c r="F498" s="248" t="s">
        <v>31</v>
      </c>
      <c r="G498" s="205">
        <f t="shared" si="46"/>
        <v>-623</v>
      </c>
      <c r="H498" s="205">
        <f t="shared" si="46"/>
        <v>-629</v>
      </c>
      <c r="I498" s="188">
        <f>I485</f>
        <v>1.2</v>
      </c>
      <c r="J498" s="177"/>
      <c r="K498" s="205">
        <f t="shared" si="47"/>
        <v>-668</v>
      </c>
      <c r="M498" s="81">
        <f t="shared" si="48"/>
        <v>-667.96800000000007</v>
      </c>
    </row>
    <row r="499" spans="1:16">
      <c r="A499" s="193" t="s">
        <v>413</v>
      </c>
      <c r="B499" s="1"/>
      <c r="C499" s="203">
        <f t="shared" si="45"/>
        <v>50196</v>
      </c>
      <c r="D499" s="203">
        <f t="shared" si="45"/>
        <v>50667</v>
      </c>
      <c r="E499" s="188">
        <f>E487</f>
        <v>3.64</v>
      </c>
      <c r="F499" s="248" t="s">
        <v>31</v>
      </c>
      <c r="G499" s="205">
        <f t="shared" si="46"/>
        <v>-1827</v>
      </c>
      <c r="H499" s="205">
        <f t="shared" si="46"/>
        <v>-1845</v>
      </c>
      <c r="I499" s="188">
        <f>I487</f>
        <v>3.75</v>
      </c>
      <c r="J499" s="177"/>
      <c r="K499" s="205">
        <f t="shared" si="47"/>
        <v>-1900</v>
      </c>
      <c r="M499" s="81">
        <f t="shared" si="48"/>
        <v>-1900.0125</v>
      </c>
    </row>
    <row r="500" spans="1:16">
      <c r="A500" s="193" t="s">
        <v>429</v>
      </c>
      <c r="B500" s="1"/>
      <c r="C500" s="203">
        <f t="shared" si="45"/>
        <v>0</v>
      </c>
      <c r="D500" s="203">
        <f t="shared" si="45"/>
        <v>0</v>
      </c>
      <c r="E500" s="188">
        <f>E488</f>
        <v>3.64</v>
      </c>
      <c r="F500" s="248" t="s">
        <v>31</v>
      </c>
      <c r="G500" s="205">
        <f t="shared" si="46"/>
        <v>0</v>
      </c>
      <c r="H500" s="205">
        <f t="shared" si="46"/>
        <v>0</v>
      </c>
      <c r="I500" s="188">
        <f>I488</f>
        <v>3.75</v>
      </c>
      <c r="J500" s="177"/>
      <c r="K500" s="205">
        <f t="shared" si="47"/>
        <v>0</v>
      </c>
      <c r="M500" s="81">
        <f t="shared" si="48"/>
        <v>0</v>
      </c>
    </row>
    <row r="501" spans="1:16">
      <c r="A501" s="207" t="s">
        <v>415</v>
      </c>
      <c r="B501" s="1"/>
      <c r="C501" s="203">
        <f t="shared" si="45"/>
        <v>5098267</v>
      </c>
      <c r="D501" s="203">
        <f t="shared" si="45"/>
        <v>5145947</v>
      </c>
      <c r="E501" s="258">
        <f>E490</f>
        <v>3.9809999999999999</v>
      </c>
      <c r="F501" s="205" t="s">
        <v>362</v>
      </c>
      <c r="G501" s="205">
        <f t="shared" si="46"/>
        <v>-2030</v>
      </c>
      <c r="H501" s="205">
        <f t="shared" si="46"/>
        <v>-2049</v>
      </c>
      <c r="I501" s="258">
        <f>I490</f>
        <v>4.3570000000000002</v>
      </c>
      <c r="J501" s="207" t="s">
        <v>362</v>
      </c>
      <c r="K501" s="205">
        <f t="shared" si="47"/>
        <v>-2242</v>
      </c>
      <c r="M501" s="81">
        <f>-((I501*D501)/100)/100</f>
        <v>-2242.0891078999998</v>
      </c>
    </row>
    <row r="502" spans="1:16">
      <c r="A502" s="207" t="s">
        <v>387</v>
      </c>
      <c r="B502" s="1"/>
      <c r="C502" s="203">
        <f t="shared" si="45"/>
        <v>15873073</v>
      </c>
      <c r="D502" s="203">
        <f t="shared" si="45"/>
        <v>16019655</v>
      </c>
      <c r="E502" s="258">
        <f>E491</f>
        <v>3.649</v>
      </c>
      <c r="F502" s="205" t="s">
        <v>362</v>
      </c>
      <c r="G502" s="205">
        <f t="shared" si="46"/>
        <v>-5792</v>
      </c>
      <c r="H502" s="205">
        <f t="shared" si="46"/>
        <v>-5845</v>
      </c>
      <c r="I502" s="258">
        <f>I491</f>
        <v>3.9930000000000003</v>
      </c>
      <c r="J502" s="207" t="s">
        <v>362</v>
      </c>
      <c r="K502" s="205">
        <f t="shared" si="47"/>
        <v>-6396</v>
      </c>
      <c r="M502" s="81">
        <f>-((I502*D502)/100)/100</f>
        <v>-6396.6482415000009</v>
      </c>
    </row>
    <row r="503" spans="1:16">
      <c r="A503" s="207" t="s">
        <v>388</v>
      </c>
      <c r="B503" s="1"/>
      <c r="C503" s="203">
        <f t="shared" si="45"/>
        <v>9247</v>
      </c>
      <c r="D503" s="203">
        <f t="shared" si="45"/>
        <v>9336</v>
      </c>
      <c r="E503" s="259">
        <f>E492</f>
        <v>45</v>
      </c>
      <c r="F503" s="205" t="s">
        <v>362</v>
      </c>
      <c r="G503" s="205">
        <f t="shared" si="46"/>
        <v>-42</v>
      </c>
      <c r="H503" s="205">
        <f t="shared" si="46"/>
        <v>-42</v>
      </c>
      <c r="I503" s="259">
        <f>I492</f>
        <v>45</v>
      </c>
      <c r="J503" s="207" t="s">
        <v>362</v>
      </c>
      <c r="K503" s="205">
        <f t="shared" si="47"/>
        <v>-42</v>
      </c>
      <c r="M503" s="81">
        <f>-((I503*D503)/100)/100</f>
        <v>-42.012</v>
      </c>
    </row>
    <row r="504" spans="1:16">
      <c r="A504" s="207" t="s">
        <v>431</v>
      </c>
      <c r="B504" s="1"/>
      <c r="C504" s="203">
        <f t="shared" si="45"/>
        <v>132</v>
      </c>
      <c r="D504" s="203">
        <f t="shared" si="45"/>
        <v>132</v>
      </c>
      <c r="E504" s="182">
        <v>60</v>
      </c>
      <c r="F504" s="248" t="s">
        <v>31</v>
      </c>
      <c r="G504" s="205">
        <f t="shared" si="46"/>
        <v>7920</v>
      </c>
      <c r="H504" s="205">
        <f t="shared" si="46"/>
        <v>7920</v>
      </c>
      <c r="I504" s="182">
        <v>60</v>
      </c>
      <c r="J504" s="1"/>
      <c r="K504" s="205">
        <f t="shared" si="47"/>
        <v>7920</v>
      </c>
      <c r="M504" s="81">
        <f>I504*D504</f>
        <v>7920</v>
      </c>
      <c r="O504" s="260"/>
    </row>
    <row r="505" spans="1:16">
      <c r="A505" s="207" t="s">
        <v>432</v>
      </c>
      <c r="B505" s="1"/>
      <c r="C505" s="203">
        <f t="shared" si="45"/>
        <v>60941</v>
      </c>
      <c r="D505" s="203">
        <f t="shared" si="45"/>
        <v>61515</v>
      </c>
      <c r="E505" s="223">
        <v>-30</v>
      </c>
      <c r="F505" s="205" t="s">
        <v>362</v>
      </c>
      <c r="G505" s="205">
        <f t="shared" si="46"/>
        <v>-18282</v>
      </c>
      <c r="H505" s="205">
        <f t="shared" si="46"/>
        <v>-18455</v>
      </c>
      <c r="I505" s="223">
        <v>-30</v>
      </c>
      <c r="J505" s="205" t="s">
        <v>362</v>
      </c>
      <c r="K505" s="205">
        <f t="shared" si="47"/>
        <v>-18455</v>
      </c>
      <c r="M505" s="81">
        <f>(I505/100)*D505</f>
        <v>-18454.5</v>
      </c>
      <c r="O505" s="178"/>
    </row>
    <row r="506" spans="1:16">
      <c r="A506" s="1" t="s">
        <v>369</v>
      </c>
      <c r="B506" s="62"/>
      <c r="C506" s="203">
        <f t="shared" si="45"/>
        <v>901118201</v>
      </c>
      <c r="D506" s="203">
        <f t="shared" si="45"/>
        <v>909584708.38655555</v>
      </c>
      <c r="E506" s="214"/>
      <c r="F506" s="2"/>
      <c r="G506" s="2">
        <f t="shared" si="46"/>
        <v>49007674</v>
      </c>
      <c r="H506" s="2">
        <f t="shared" si="46"/>
        <v>49463953</v>
      </c>
      <c r="I506" s="2"/>
      <c r="J506" s="1"/>
      <c r="K506" s="2">
        <f t="shared" si="47"/>
        <v>53400200</v>
      </c>
      <c r="M506" s="81">
        <f>SUM(M480:M505)</f>
        <v>53400198.906650588</v>
      </c>
      <c r="P506" s="261"/>
    </row>
    <row r="507" spans="1:16">
      <c r="A507" s="1" t="s">
        <v>351</v>
      </c>
      <c r="B507" s="24"/>
      <c r="C507" s="224">
        <f t="shared" si="45"/>
        <v>73314.063672312535</v>
      </c>
      <c r="D507" s="224">
        <f t="shared" si="45"/>
        <v>0</v>
      </c>
      <c r="E507" s="193"/>
      <c r="F507" s="193"/>
      <c r="G507" s="194">
        <f t="shared" si="46"/>
        <v>-2406.1600057471078</v>
      </c>
      <c r="H507" s="194">
        <f t="shared" si="46"/>
        <v>0</v>
      </c>
      <c r="I507" s="193"/>
      <c r="J507" s="193"/>
      <c r="K507" s="194">
        <f t="shared" si="47"/>
        <v>0</v>
      </c>
      <c r="M507" s="173"/>
      <c r="N507" s="173"/>
      <c r="O507" s="174"/>
    </row>
    <row r="508" spans="1:16" ht="16.5" thickBot="1">
      <c r="A508" s="1" t="s">
        <v>370</v>
      </c>
      <c r="B508" s="1"/>
      <c r="C508" s="250">
        <f>SUM(C506)+C507</f>
        <v>901191515.0636723</v>
      </c>
      <c r="D508" s="250">
        <f>SUM(D490:D491)+D507</f>
        <v>909584708</v>
      </c>
      <c r="E508" s="226"/>
      <c r="F508" s="227"/>
      <c r="G508" s="228">
        <f>G506+G507</f>
        <v>49005267.839994252</v>
      </c>
      <c r="H508" s="228">
        <f>H506+H507</f>
        <v>49463953</v>
      </c>
      <c r="I508" s="226"/>
      <c r="J508" s="229"/>
      <c r="K508" s="228">
        <f>K506+K507</f>
        <v>53400200</v>
      </c>
      <c r="M508" s="175"/>
      <c r="N508" s="3" t="s">
        <v>397</v>
      </c>
      <c r="O508" s="81" t="e">
        <f>#REF!*1000</f>
        <v>#REF!</v>
      </c>
    </row>
    <row r="509" spans="1:16" ht="16.5" thickTop="1">
      <c r="A509" s="1"/>
      <c r="B509" s="1"/>
      <c r="C509" s="21"/>
      <c r="D509" s="21"/>
      <c r="E509" s="221"/>
      <c r="F509" s="2"/>
      <c r="G509" s="2"/>
      <c r="H509" s="2"/>
      <c r="I509" s="237" t="s">
        <v>31</v>
      </c>
      <c r="J509" s="1"/>
      <c r="K509" s="2" t="s">
        <v>31</v>
      </c>
      <c r="N509" s="3" t="s">
        <v>256</v>
      </c>
      <c r="O509" s="81" t="e">
        <f>O508-K508</f>
        <v>#REF!</v>
      </c>
      <c r="P509" s="160" t="e">
        <f>(O508-K508)/K508</f>
        <v>#REF!</v>
      </c>
    </row>
    <row r="510" spans="1:16">
      <c r="A510" s="177" t="s">
        <v>424</v>
      </c>
      <c r="B510" s="1"/>
      <c r="C510" s="1"/>
      <c r="D510" s="1"/>
      <c r="E510" s="2"/>
      <c r="F510" s="2"/>
      <c r="G510" s="1" t="s">
        <v>31</v>
      </c>
      <c r="H510" s="1"/>
      <c r="I510" s="2"/>
      <c r="J510" s="1"/>
      <c r="K510" s="1"/>
    </row>
    <row r="511" spans="1:16">
      <c r="A511" s="193" t="s">
        <v>433</v>
      </c>
      <c r="B511" s="1"/>
      <c r="C511" s="1"/>
      <c r="D511" s="1"/>
      <c r="E511" s="2"/>
      <c r="F511" s="2"/>
      <c r="G511" s="1"/>
      <c r="H511" s="1"/>
      <c r="I511" s="2"/>
      <c r="J511" s="1"/>
      <c r="K511" s="1"/>
      <c r="M511" s="81"/>
      <c r="O511" s="160" t="e">
        <f>O509/(K490+K491)</f>
        <v>#REF!</v>
      </c>
    </row>
    <row r="512" spans="1:16">
      <c r="A512" s="207"/>
      <c r="B512" s="1"/>
      <c r="C512" s="1"/>
      <c r="D512" s="1"/>
      <c r="E512" s="2"/>
      <c r="F512" s="2"/>
      <c r="G512" s="1"/>
      <c r="H512" s="1"/>
      <c r="I512" s="2"/>
      <c r="J512" s="1"/>
      <c r="K512" s="1"/>
      <c r="M512" s="81">
        <f>K508-H508</f>
        <v>3936247</v>
      </c>
      <c r="N512" s="178"/>
    </row>
    <row r="513" spans="1:11">
      <c r="A513" s="207" t="s">
        <v>381</v>
      </c>
      <c r="B513" s="1"/>
      <c r="C513" s="203"/>
      <c r="D513" s="203"/>
      <c r="E513" s="2"/>
      <c r="F513" s="2"/>
      <c r="G513" s="1"/>
      <c r="H513" s="1"/>
      <c r="I513" s="2"/>
      <c r="J513" s="1"/>
      <c r="K513" s="1"/>
    </row>
    <row r="514" spans="1:11">
      <c r="A514" s="207" t="s">
        <v>409</v>
      </c>
      <c r="B514" s="1"/>
      <c r="C514" s="203">
        <f>39+239</f>
        <v>278</v>
      </c>
      <c r="D514" s="203">
        <v>281</v>
      </c>
      <c r="E514" s="182">
        <v>205</v>
      </c>
      <c r="F514" s="207"/>
      <c r="G514" s="205">
        <f>ROUND(E514*$C514,0)</f>
        <v>56990</v>
      </c>
      <c r="H514" s="205">
        <f>ROUND(E514*$D514,0)</f>
        <v>57605</v>
      </c>
      <c r="I514" s="182">
        <f>$I$480</f>
        <v>225</v>
      </c>
      <c r="J514" s="207"/>
      <c r="K514" s="205">
        <f>ROUND(I514*$D514,0)</f>
        <v>63225</v>
      </c>
    </row>
    <row r="515" spans="1:11">
      <c r="A515" s="207" t="s">
        <v>410</v>
      </c>
      <c r="B515" s="1"/>
      <c r="C515" s="203">
        <f>922+24+6772</f>
        <v>7718</v>
      </c>
      <c r="D515" s="203">
        <v>7812</v>
      </c>
      <c r="E515" s="182">
        <v>75</v>
      </c>
      <c r="F515" s="207"/>
      <c r="G515" s="205">
        <f>ROUND(E515*$C515,0)</f>
        <v>578850</v>
      </c>
      <c r="H515" s="205">
        <f>ROUND(E515*$D515,0)</f>
        <v>585900</v>
      </c>
      <c r="I515" s="182">
        <f>$I$481</f>
        <v>83</v>
      </c>
      <c r="J515" s="207"/>
      <c r="K515" s="205">
        <f>ROUND(I515*$D515,0)</f>
        <v>648396</v>
      </c>
    </row>
    <row r="516" spans="1:11">
      <c r="A516" s="207" t="s">
        <v>411</v>
      </c>
      <c r="B516" s="1"/>
      <c r="C516" s="203">
        <f>216+84+2519</f>
        <v>2819</v>
      </c>
      <c r="D516" s="203">
        <v>2853</v>
      </c>
      <c r="E516" s="182">
        <v>150</v>
      </c>
      <c r="F516" s="209"/>
      <c r="G516" s="205">
        <f>ROUND(E516*$C516,0)</f>
        <v>422850</v>
      </c>
      <c r="H516" s="205">
        <f>ROUND(E516*$D516,0)</f>
        <v>427950</v>
      </c>
      <c r="I516" s="182">
        <f>$I$482</f>
        <v>166</v>
      </c>
      <c r="J516" s="209"/>
      <c r="K516" s="205">
        <f>ROUND(I516*$D516,0)</f>
        <v>473598</v>
      </c>
    </row>
    <row r="517" spans="1:11">
      <c r="A517" s="207" t="s">
        <v>382</v>
      </c>
      <c r="B517" s="1"/>
      <c r="C517" s="203">
        <f>SUM(C514:C516)</f>
        <v>10815</v>
      </c>
      <c r="D517" s="203">
        <f>SUM(D514:D516)</f>
        <v>10946</v>
      </c>
      <c r="E517" s="182"/>
      <c r="F517" s="207"/>
      <c r="G517" s="205"/>
      <c r="H517" s="205"/>
      <c r="I517" s="182"/>
      <c r="J517" s="207"/>
      <c r="K517" s="205"/>
    </row>
    <row r="518" spans="1:11">
      <c r="A518" s="207" t="s">
        <v>410</v>
      </c>
      <c r="B518" s="1"/>
      <c r="C518" s="203">
        <f>169076+4310+1159051</f>
        <v>1332437</v>
      </c>
      <c r="D518" s="203">
        <f>ROUND(($D$540/'Blocking - detail'!$C$540)*C518,0)</f>
        <v>1345310</v>
      </c>
      <c r="E518" s="182">
        <v>1.38</v>
      </c>
      <c r="F518" s="207" t="s">
        <v>31</v>
      </c>
      <c r="G518" s="205">
        <f>ROUND(E518*$C518,0)</f>
        <v>1838763</v>
      </c>
      <c r="H518" s="205">
        <f>ROUND(E518*$D518,0)</f>
        <v>1856528</v>
      </c>
      <c r="I518" s="182">
        <f>$I$484</f>
        <v>1.47</v>
      </c>
      <c r="J518" s="207" t="s">
        <v>31</v>
      </c>
      <c r="K518" s="205">
        <f>ROUND(I518*$D518,0)</f>
        <v>1977606</v>
      </c>
    </row>
    <row r="519" spans="1:11">
      <c r="A519" s="207" t="s">
        <v>411</v>
      </c>
      <c r="B519" s="1"/>
      <c r="C519" s="203">
        <f>116000+47327+1204260</f>
        <v>1367587</v>
      </c>
      <c r="D519" s="203">
        <f>ROUND(($D$540/'Blocking - detail'!$C$540)*C519,0)</f>
        <v>1380800</v>
      </c>
      <c r="E519" s="182">
        <v>1.1299999999999999</v>
      </c>
      <c r="F519" s="207" t="s">
        <v>31</v>
      </c>
      <c r="G519" s="205">
        <f>ROUND(E519*$C519,0)</f>
        <v>1545373</v>
      </c>
      <c r="H519" s="205">
        <f>ROUND(E519*$D519,0)</f>
        <v>1560304</v>
      </c>
      <c r="I519" s="182">
        <f>$I$485</f>
        <v>1.2</v>
      </c>
      <c r="J519" s="207" t="s">
        <v>31</v>
      </c>
      <c r="K519" s="205">
        <f>ROUND(I519*$D519,0)</f>
        <v>1656960</v>
      </c>
    </row>
    <row r="520" spans="1:11">
      <c r="A520" s="193" t="s">
        <v>412</v>
      </c>
      <c r="B520" s="1"/>
      <c r="C520" s="203"/>
      <c r="D520" s="203"/>
      <c r="E520" s="239"/>
      <c r="F520" s="207"/>
      <c r="G520" s="205"/>
      <c r="H520" s="205"/>
      <c r="I520" s="239"/>
      <c r="J520" s="207"/>
      <c r="K520" s="205"/>
    </row>
    <row r="521" spans="1:11">
      <c r="A521" s="193" t="s">
        <v>413</v>
      </c>
      <c r="B521" s="1"/>
      <c r="C521" s="203">
        <f>2149+118464+82513+3301+38481+13812+879543+921273</f>
        <v>2059536</v>
      </c>
      <c r="D521" s="203">
        <f>ROUND(($D$540/'Blocking - detail'!$C$540)*C521,0)</f>
        <v>2079434</v>
      </c>
      <c r="E521" s="182">
        <v>3.64</v>
      </c>
      <c r="F521" s="207"/>
      <c r="G521" s="205">
        <f>ROUND(E521*$C521,0)</f>
        <v>7496711</v>
      </c>
      <c r="H521" s="205">
        <f>ROUND(E521*$D521,0)</f>
        <v>7569140</v>
      </c>
      <c r="I521" s="182">
        <f>$I$487</f>
        <v>3.75</v>
      </c>
      <c r="J521" s="207"/>
      <c r="K521" s="205">
        <f>ROUND(I521*$D521,0)</f>
        <v>7797878</v>
      </c>
    </row>
    <row r="522" spans="1:11">
      <c r="A522" s="193" t="s">
        <v>429</v>
      </c>
      <c r="B522" s="1"/>
      <c r="C522" s="203">
        <f>574+3763+211+1674+12455+2040</f>
        <v>20717</v>
      </c>
      <c r="D522" s="203">
        <f>ROUND(($D$540/'Blocking - detail'!$C$540)*C522,0)</f>
        <v>20917</v>
      </c>
      <c r="E522" s="253">
        <f>E521</f>
        <v>3.64</v>
      </c>
      <c r="F522" s="207"/>
      <c r="G522" s="205">
        <f>ROUND(E522*$C522,0)</f>
        <v>75410</v>
      </c>
      <c r="H522" s="205">
        <f>ROUND(E522*$D522,0)</f>
        <v>76138</v>
      </c>
      <c r="I522" s="253">
        <f>I521</f>
        <v>3.75</v>
      </c>
      <c r="J522" s="207"/>
      <c r="K522" s="205">
        <f>ROUND(I522*$D522,0)</f>
        <v>78439</v>
      </c>
    </row>
    <row r="523" spans="1:11">
      <c r="A523" s="207" t="s">
        <v>414</v>
      </c>
      <c r="B523" s="1"/>
      <c r="C523" s="203"/>
      <c r="D523" s="203"/>
      <c r="E523" s="182"/>
      <c r="F523" s="207"/>
      <c r="G523" s="205"/>
      <c r="H523" s="205"/>
      <c r="I523" s="182"/>
      <c r="J523" s="207"/>
      <c r="K523" s="205"/>
    </row>
    <row r="524" spans="1:11">
      <c r="A524" s="207" t="s">
        <v>415</v>
      </c>
      <c r="B524" s="203"/>
      <c r="C524" s="203">
        <v>343844159.45859212</v>
      </c>
      <c r="D524" s="203">
        <f>ROUND(($D$540/'Blocking - detail'!$C$540)*C524,0)</f>
        <v>347166190</v>
      </c>
      <c r="E524" s="254">
        <v>3.9809999999999999</v>
      </c>
      <c r="F524" s="207" t="s">
        <v>362</v>
      </c>
      <c r="G524" s="205">
        <f>ROUND(E524*$C524/100,0)</f>
        <v>13688436</v>
      </c>
      <c r="H524" s="205">
        <f>ROUND(E524*$D524/100,0)</f>
        <v>13820686</v>
      </c>
      <c r="I524" s="254">
        <f>$I$490</f>
        <v>4.3570000000000002</v>
      </c>
      <c r="J524" s="207" t="s">
        <v>362</v>
      </c>
      <c r="K524" s="205">
        <f>ROUND(I524*$D524/100,0)</f>
        <v>15126031</v>
      </c>
    </row>
    <row r="525" spans="1:11">
      <c r="A525" s="207" t="s">
        <v>387</v>
      </c>
      <c r="B525" s="203"/>
      <c r="C525" s="203">
        <v>411657922.54140788</v>
      </c>
      <c r="D525" s="203">
        <f>ROUND(($D$540/'Blocking - detail'!$C$540)*C525,0)</f>
        <v>415635131</v>
      </c>
      <c r="E525" s="254">
        <v>3.649</v>
      </c>
      <c r="F525" s="207" t="s">
        <v>362</v>
      </c>
      <c r="G525" s="205">
        <f>ROUND(E525*$C525/100,0)</f>
        <v>15021398</v>
      </c>
      <c r="H525" s="205">
        <f>ROUND(E525*$D525/100,0)</f>
        <v>15166526</v>
      </c>
      <c r="I525" s="254">
        <f>$I$491</f>
        <v>3.9930000000000003</v>
      </c>
      <c r="J525" s="207" t="s">
        <v>362</v>
      </c>
      <c r="K525" s="205">
        <f>ROUND(I525*$D525/100,0)</f>
        <v>16596311</v>
      </c>
    </row>
    <row r="526" spans="1:11">
      <c r="A526" s="207" t="s">
        <v>388</v>
      </c>
      <c r="B526" s="1"/>
      <c r="C526" s="203">
        <f>263+27052+20055+42+9205+1343+147244+169944</f>
        <v>375148</v>
      </c>
      <c r="D526" s="203">
        <f>ROUND(($D$540/'Blocking - detail'!$C$540)*C526,0)</f>
        <v>378772</v>
      </c>
      <c r="E526" s="223">
        <v>45</v>
      </c>
      <c r="F526" s="207" t="s">
        <v>362</v>
      </c>
      <c r="G526" s="205">
        <f>ROUND(E526*$C526/100,0)</f>
        <v>168817</v>
      </c>
      <c r="H526" s="205">
        <f>ROUND(E526*$D526/100,0)</f>
        <v>170447</v>
      </c>
      <c r="I526" s="223">
        <f>$I$492</f>
        <v>45</v>
      </c>
      <c r="J526" s="207" t="s">
        <v>362</v>
      </c>
      <c r="K526" s="205">
        <f>ROUND(I526*$D526/100,0)</f>
        <v>170447</v>
      </c>
    </row>
    <row r="527" spans="1:11">
      <c r="A527" s="244" t="s">
        <v>389</v>
      </c>
      <c r="B527" s="1"/>
      <c r="C527" s="203"/>
      <c r="D527" s="203"/>
      <c r="E527" s="216">
        <v>-0.01</v>
      </c>
      <c r="F527" s="2"/>
      <c r="G527" s="205"/>
      <c r="H527" s="205"/>
      <c r="I527" s="216">
        <f>$I$493</f>
        <v>-0.01</v>
      </c>
      <c r="J527" s="1"/>
      <c r="K527" s="205"/>
    </row>
    <row r="528" spans="1:11">
      <c r="A528" s="207" t="s">
        <v>409</v>
      </c>
      <c r="B528" s="21"/>
      <c r="C528" s="203">
        <v>0</v>
      </c>
      <c r="D528" s="203">
        <v>0</v>
      </c>
      <c r="E528" s="188">
        <f>E514</f>
        <v>205</v>
      </c>
      <c r="F528" s="248"/>
      <c r="G528" s="205">
        <f>ROUND(E528*$C528*E527,0)</f>
        <v>0</v>
      </c>
      <c r="H528" s="205">
        <f>ROUND(E528*$D528*E527,0)</f>
        <v>0</v>
      </c>
      <c r="I528" s="188">
        <f>I514</f>
        <v>225</v>
      </c>
      <c r="J528" s="177"/>
      <c r="K528" s="205">
        <f>ROUND(I528*$D528*I527,0)</f>
        <v>0</v>
      </c>
    </row>
    <row r="529" spans="1:16">
      <c r="A529" s="207" t="s">
        <v>410</v>
      </c>
      <c r="B529" s="1"/>
      <c r="C529" s="203">
        <f>24</f>
        <v>24</v>
      </c>
      <c r="D529" s="203">
        <v>24</v>
      </c>
      <c r="E529" s="188">
        <f>E515</f>
        <v>75</v>
      </c>
      <c r="F529" s="248"/>
      <c r="G529" s="205">
        <f>ROUND(E529*$C529*E527,0)</f>
        <v>-18</v>
      </c>
      <c r="H529" s="205">
        <f>ROUND(E529*$D529*E527,0)</f>
        <v>-18</v>
      </c>
      <c r="I529" s="188">
        <f>I515</f>
        <v>83</v>
      </c>
      <c r="J529" s="177"/>
      <c r="K529" s="205">
        <f>ROUND(I529*$D529*I527,0)</f>
        <v>-20</v>
      </c>
    </row>
    <row r="530" spans="1:16">
      <c r="A530" s="207" t="s">
        <v>411</v>
      </c>
      <c r="B530" s="1"/>
      <c r="C530" s="203">
        <f>84</f>
        <v>84</v>
      </c>
      <c r="D530" s="203">
        <v>85</v>
      </c>
      <c r="E530" s="188">
        <f>E516</f>
        <v>150</v>
      </c>
      <c r="F530" s="256"/>
      <c r="G530" s="205">
        <f>ROUND(E530*$C530*E527,0)</f>
        <v>-126</v>
      </c>
      <c r="H530" s="205">
        <f>ROUND(E530*$D530*E527,0)</f>
        <v>-128</v>
      </c>
      <c r="I530" s="188">
        <f>I516</f>
        <v>166</v>
      </c>
      <c r="J530" s="257"/>
      <c r="K530" s="205">
        <f>ROUND(I530*$D530*I527,0)</f>
        <v>-141</v>
      </c>
    </row>
    <row r="531" spans="1:16">
      <c r="A531" s="207" t="s">
        <v>410</v>
      </c>
      <c r="B531" s="1"/>
      <c r="C531" s="203">
        <f>4310</f>
        <v>4310</v>
      </c>
      <c r="D531" s="203">
        <f>ROUND(($D$540/'Blocking - detail'!$C$540)*C531,0)</f>
        <v>4352</v>
      </c>
      <c r="E531" s="188">
        <f>E518</f>
        <v>1.38</v>
      </c>
      <c r="F531" s="248"/>
      <c r="G531" s="205">
        <f>ROUND(E531*$C531*E527,0)</f>
        <v>-59</v>
      </c>
      <c r="H531" s="205">
        <f>ROUND(E531*$D531*E527,0)</f>
        <v>-60</v>
      </c>
      <c r="I531" s="188">
        <f>I518</f>
        <v>1.47</v>
      </c>
      <c r="J531" s="177"/>
      <c r="K531" s="205">
        <f>ROUND(I531*$D531*I527,0)</f>
        <v>-64</v>
      </c>
      <c r="O531" s="260"/>
    </row>
    <row r="532" spans="1:16">
      <c r="A532" s="207" t="s">
        <v>411</v>
      </c>
      <c r="B532" s="1"/>
      <c r="C532" s="203">
        <f>47327</f>
        <v>47327</v>
      </c>
      <c r="D532" s="203">
        <f>ROUND(($D$540/'Blocking - detail'!$C$540)*C532,0)</f>
        <v>47784</v>
      </c>
      <c r="E532" s="188">
        <f>E519</f>
        <v>1.1299999999999999</v>
      </c>
      <c r="F532" s="248" t="s">
        <v>31</v>
      </c>
      <c r="G532" s="205">
        <f>ROUND(E532*$C532*E527,0)</f>
        <v>-535</v>
      </c>
      <c r="H532" s="205">
        <f>ROUND(E532*$D532*E527,0)</f>
        <v>-540</v>
      </c>
      <c r="I532" s="188">
        <f>I519</f>
        <v>1.2</v>
      </c>
      <c r="J532" s="177"/>
      <c r="K532" s="205">
        <f>ROUND(I532*$D532*I527,0)</f>
        <v>-573</v>
      </c>
    </row>
    <row r="533" spans="1:16">
      <c r="A533" s="193" t="s">
        <v>413</v>
      </c>
      <c r="B533" s="1"/>
      <c r="C533" s="203">
        <f>3301+38481</f>
        <v>41782</v>
      </c>
      <c r="D533" s="203">
        <f>ROUND(($D$540/'Blocking - detail'!$C$540)*C533,0)</f>
        <v>42186</v>
      </c>
      <c r="E533" s="188">
        <f>E521</f>
        <v>3.64</v>
      </c>
      <c r="F533" s="248" t="s">
        <v>31</v>
      </c>
      <c r="G533" s="205">
        <f>ROUND(E533*$C533*E527,0)</f>
        <v>-1521</v>
      </c>
      <c r="H533" s="205">
        <f>ROUND(E533*$D533*E527,0)</f>
        <v>-1536</v>
      </c>
      <c r="I533" s="188">
        <f>I521</f>
        <v>3.75</v>
      </c>
      <c r="J533" s="177"/>
      <c r="K533" s="205">
        <f>ROUND(I533*$D533*I527,0)</f>
        <v>-1582</v>
      </c>
    </row>
    <row r="534" spans="1:16">
      <c r="A534" s="193" t="s">
        <v>429</v>
      </c>
      <c r="B534" s="1"/>
      <c r="C534" s="203">
        <v>0</v>
      </c>
      <c r="D534" s="203">
        <f>ROUND(($D$540/'Blocking - detail'!$C$540)*C534,0)</f>
        <v>0</v>
      </c>
      <c r="E534" s="188">
        <f>E522</f>
        <v>3.64</v>
      </c>
      <c r="F534" s="248" t="s">
        <v>31</v>
      </c>
      <c r="G534" s="205">
        <f>ROUND(E534*$C534*E527,0)</f>
        <v>0</v>
      </c>
      <c r="H534" s="205">
        <f>ROUND(E534*$D534*E527,0)</f>
        <v>0</v>
      </c>
      <c r="I534" s="188">
        <f>I522</f>
        <v>3.75</v>
      </c>
      <c r="J534" s="177"/>
      <c r="K534" s="205">
        <f>ROUND(I534*$D534*I527,0)</f>
        <v>0</v>
      </c>
    </row>
    <row r="535" spans="1:16">
      <c r="A535" s="207" t="s">
        <v>415</v>
      </c>
      <c r="B535" s="1"/>
      <c r="C535" s="203">
        <f>914400+3225200</f>
        <v>4139600</v>
      </c>
      <c r="D535" s="203">
        <f>ROUND(($D$540/'Blocking - detail'!$C$540)*C535,0)</f>
        <v>4179595</v>
      </c>
      <c r="E535" s="258">
        <f>E524</f>
        <v>3.9809999999999999</v>
      </c>
      <c r="F535" s="205" t="s">
        <v>362</v>
      </c>
      <c r="G535" s="205">
        <f>ROUND(E535*$C535/100*E527,0)</f>
        <v>-1648</v>
      </c>
      <c r="H535" s="205">
        <f>ROUND(E535*$D535/100*E527,0)</f>
        <v>-1664</v>
      </c>
      <c r="I535" s="258">
        <f>I524</f>
        <v>4.3570000000000002</v>
      </c>
      <c r="J535" s="207" t="s">
        <v>362</v>
      </c>
      <c r="K535" s="205">
        <f>ROUND(I535*$D535/100*I527,0)</f>
        <v>-1821</v>
      </c>
      <c r="M535" s="81"/>
      <c r="N535" s="81"/>
    </row>
    <row r="536" spans="1:16">
      <c r="A536" s="207" t="s">
        <v>387</v>
      </c>
      <c r="B536" s="1"/>
      <c r="C536" s="203">
        <f>1353000+14542340-C535</f>
        <v>11755740</v>
      </c>
      <c r="D536" s="203">
        <f>ROUND(($D$540/'Blocking - detail'!$C$540)*C536,0)</f>
        <v>11869317</v>
      </c>
      <c r="E536" s="258">
        <f>E525</f>
        <v>3.649</v>
      </c>
      <c r="F536" s="205" t="s">
        <v>362</v>
      </c>
      <c r="G536" s="205">
        <f>ROUND(E536*$C536/100*E527,0)</f>
        <v>-4290</v>
      </c>
      <c r="H536" s="205">
        <f>ROUND(E536*$D536/100*E527,0)</f>
        <v>-4331</v>
      </c>
      <c r="I536" s="258">
        <f>I525</f>
        <v>3.9930000000000003</v>
      </c>
      <c r="J536" s="207" t="s">
        <v>362</v>
      </c>
      <c r="K536" s="205">
        <f>ROUND(I536*$D536/100*I527,0)</f>
        <v>-4739</v>
      </c>
    </row>
    <row r="537" spans="1:16">
      <c r="A537" s="207" t="s">
        <v>388</v>
      </c>
      <c r="B537" s="1"/>
      <c r="C537" s="203">
        <f>42+9205</f>
        <v>9247</v>
      </c>
      <c r="D537" s="203">
        <f>ROUND(($D$540/'Blocking - detail'!$C$540)*C537,0)</f>
        <v>9336</v>
      </c>
      <c r="E537" s="259">
        <f>E526</f>
        <v>45</v>
      </c>
      <c r="F537" s="205" t="s">
        <v>362</v>
      </c>
      <c r="G537" s="205">
        <f>ROUND(E537*$C537/100*E527,0)</f>
        <v>-42</v>
      </c>
      <c r="H537" s="205">
        <f>ROUND(E537*$D537/100*E527,0)</f>
        <v>-42</v>
      </c>
      <c r="I537" s="259">
        <f>I526</f>
        <v>45</v>
      </c>
      <c r="J537" s="207" t="s">
        <v>362</v>
      </c>
      <c r="K537" s="205">
        <f>ROUND(I537*$D537/100*I527,0)</f>
        <v>-42</v>
      </c>
    </row>
    <row r="538" spans="1:16">
      <c r="A538" s="207" t="s">
        <v>431</v>
      </c>
      <c r="B538" s="1"/>
      <c r="C538" s="203">
        <f>24+84</f>
        <v>108</v>
      </c>
      <c r="D538" s="203">
        <v>109</v>
      </c>
      <c r="E538" s="182">
        <v>60</v>
      </c>
      <c r="F538" s="248" t="s">
        <v>31</v>
      </c>
      <c r="G538" s="205">
        <f>ROUND(E538*$C538,0)</f>
        <v>6480</v>
      </c>
      <c r="H538" s="205">
        <f>ROUND(E538*$D538,0)</f>
        <v>6540</v>
      </c>
      <c r="I538" s="182">
        <f>$I$504</f>
        <v>60</v>
      </c>
      <c r="J538" s="1"/>
      <c r="K538" s="205">
        <f>ROUND(I538*$D538,0)</f>
        <v>6540</v>
      </c>
      <c r="P538" s="191"/>
    </row>
    <row r="539" spans="1:16">
      <c r="A539" s="207" t="s">
        <v>432</v>
      </c>
      <c r="B539" s="189"/>
      <c r="C539" s="203">
        <f>4310+47327</f>
        <v>51637</v>
      </c>
      <c r="D539" s="203">
        <f>ROUND(($D$540/'Blocking - detail'!$C$540)*C539,0)</f>
        <v>52136</v>
      </c>
      <c r="E539" s="223">
        <v>-30</v>
      </c>
      <c r="F539" s="205" t="s">
        <v>362</v>
      </c>
      <c r="G539" s="205">
        <f>ROUND(E539*$C539/100,0)</f>
        <v>-15491</v>
      </c>
      <c r="H539" s="205">
        <f>ROUND(E539*$D539/100,0)</f>
        <v>-15641</v>
      </c>
      <c r="I539" s="223">
        <v>-30</v>
      </c>
      <c r="J539" s="205" t="s">
        <v>362</v>
      </c>
      <c r="K539" s="205">
        <f>ROUND(I539*$D539/100,0)</f>
        <v>-15641</v>
      </c>
    </row>
    <row r="540" spans="1:16">
      <c r="A540" s="1" t="s">
        <v>369</v>
      </c>
      <c r="B540" s="191"/>
      <c r="C540" s="203">
        <f>SUM(C524:C525)</f>
        <v>755502082</v>
      </c>
      <c r="D540" s="203">
        <v>762801321.03140867</v>
      </c>
      <c r="E540" s="214"/>
      <c r="F540" s="2"/>
      <c r="G540" s="2">
        <f>SUM(G514:G539)</f>
        <v>40876348</v>
      </c>
      <c r="H540" s="2">
        <f>SUM(H514:H539)</f>
        <v>41273804</v>
      </c>
      <c r="I540" s="214"/>
      <c r="J540" s="1"/>
      <c r="K540" s="2">
        <f>SUM(K514:K539)</f>
        <v>44570808</v>
      </c>
    </row>
    <row r="541" spans="1:16">
      <c r="A541" s="1" t="s">
        <v>351</v>
      </c>
      <c r="B541" s="1"/>
      <c r="C541" s="233">
        <v>3340695.5089634694</v>
      </c>
      <c r="D541" s="224">
        <v>0</v>
      </c>
      <c r="E541" s="193"/>
      <c r="F541" s="193"/>
      <c r="G541" s="194">
        <v>152243.87198457948</v>
      </c>
      <c r="H541" s="194">
        <v>0</v>
      </c>
      <c r="I541" s="193"/>
      <c r="J541" s="193"/>
      <c r="K541" s="194">
        <v>0</v>
      </c>
      <c r="M541" s="173"/>
      <c r="N541" s="173"/>
      <c r="O541" s="174"/>
    </row>
    <row r="542" spans="1:16" ht="16.5" thickBot="1">
      <c r="A542" s="1" t="s">
        <v>370</v>
      </c>
      <c r="B542" s="1"/>
      <c r="C542" s="250">
        <f>SUM(C540)+C541</f>
        <v>758842777.50896347</v>
      </c>
      <c r="D542" s="250">
        <f>SUM(D524:D525)+D541</f>
        <v>762801321</v>
      </c>
      <c r="E542" s="226"/>
      <c r="F542" s="227"/>
      <c r="G542" s="228">
        <f>G540+G541</f>
        <v>41028591.871984579</v>
      </c>
      <c r="H542" s="228">
        <f>H540+H541</f>
        <v>41273804</v>
      </c>
      <c r="I542" s="226"/>
      <c r="J542" s="229"/>
      <c r="K542" s="228">
        <f>K540+K541</f>
        <v>44570808</v>
      </c>
      <c r="M542" s="175"/>
      <c r="N542" s="175"/>
      <c r="O542" s="176"/>
    </row>
    <row r="543" spans="1:16" ht="16.5" thickTop="1">
      <c r="A543" s="1"/>
      <c r="B543" s="1"/>
      <c r="C543" s="21"/>
      <c r="D543" s="21"/>
      <c r="E543" s="221"/>
      <c r="F543" s="2"/>
      <c r="G543" s="2"/>
      <c r="H543" s="2"/>
      <c r="I543" s="237" t="s">
        <v>31</v>
      </c>
      <c r="J543" s="1"/>
      <c r="K543" s="2" t="s">
        <v>31</v>
      </c>
    </row>
    <row r="544" spans="1:16">
      <c r="A544" s="177" t="s">
        <v>424</v>
      </c>
      <c r="B544" s="1"/>
      <c r="C544" s="1"/>
      <c r="D544" s="1"/>
      <c r="E544" s="2"/>
      <c r="F544" s="2"/>
      <c r="G544" s="1" t="s">
        <v>31</v>
      </c>
      <c r="H544" s="1"/>
      <c r="I544" s="2"/>
      <c r="J544" s="1"/>
      <c r="K544" s="1"/>
    </row>
    <row r="545" spans="1:11">
      <c r="A545" s="193" t="s">
        <v>434</v>
      </c>
      <c r="B545" s="1"/>
      <c r="C545" s="1"/>
      <c r="D545" s="1"/>
      <c r="E545" s="2"/>
      <c r="F545" s="2"/>
      <c r="G545" s="1"/>
      <c r="H545" s="1"/>
      <c r="I545" s="2"/>
      <c r="J545" s="1"/>
      <c r="K545" s="1"/>
    </row>
    <row r="546" spans="1:11">
      <c r="A546" s="207"/>
      <c r="B546" s="1"/>
      <c r="C546" s="1"/>
      <c r="D546" s="1"/>
      <c r="E546" s="2"/>
      <c r="F546" s="2"/>
      <c r="G546" s="1"/>
      <c r="H546" s="1"/>
      <c r="I546" s="2"/>
      <c r="J546" s="1"/>
      <c r="K546" s="1"/>
    </row>
    <row r="547" spans="1:11">
      <c r="A547" s="207" t="s">
        <v>381</v>
      </c>
      <c r="B547" s="21"/>
      <c r="C547" s="203"/>
      <c r="D547" s="203"/>
      <c r="E547" s="2"/>
      <c r="F547" s="2"/>
      <c r="G547" s="1"/>
      <c r="H547" s="1"/>
      <c r="I547" s="2"/>
      <c r="J547" s="1"/>
      <c r="K547" s="1"/>
    </row>
    <row r="548" spans="1:11">
      <c r="A548" s="207" t="s">
        <v>409</v>
      </c>
      <c r="B548" s="1"/>
      <c r="C548" s="203">
        <f>2+9</f>
        <v>11</v>
      </c>
      <c r="D548" s="203">
        <v>11</v>
      </c>
      <c r="E548" s="182">
        <v>205</v>
      </c>
      <c r="F548" s="207"/>
      <c r="G548" s="205">
        <f>ROUND(E548*$C548,0)</f>
        <v>2255</v>
      </c>
      <c r="H548" s="205">
        <f>ROUND(E548*$D548,0)</f>
        <v>2255</v>
      </c>
      <c r="I548" s="182">
        <f>$I$480</f>
        <v>225</v>
      </c>
      <c r="J548" s="207"/>
      <c r="K548" s="205">
        <f>ROUND(I548*$D548,0)</f>
        <v>2475</v>
      </c>
    </row>
    <row r="549" spans="1:11">
      <c r="A549" s="207" t="s">
        <v>410</v>
      </c>
      <c r="B549" s="1"/>
      <c r="C549" s="203">
        <f>314+12+863</f>
        <v>1189</v>
      </c>
      <c r="D549" s="203">
        <v>1160</v>
      </c>
      <c r="E549" s="182">
        <v>75</v>
      </c>
      <c r="F549" s="207"/>
      <c r="G549" s="205">
        <f>ROUND(E549*$C549,0)</f>
        <v>89175</v>
      </c>
      <c r="H549" s="205">
        <f>ROUND(E549*$D549,0)</f>
        <v>87000</v>
      </c>
      <c r="I549" s="182">
        <f>$I$481</f>
        <v>83</v>
      </c>
      <c r="J549" s="207"/>
      <c r="K549" s="205">
        <f>ROUND(I549*$D549,0)</f>
        <v>96280</v>
      </c>
    </row>
    <row r="550" spans="1:11">
      <c r="A550" s="207" t="s">
        <v>411</v>
      </c>
      <c r="B550" s="1"/>
      <c r="C550" s="203">
        <f>12+12+665</f>
        <v>689</v>
      </c>
      <c r="D550" s="203">
        <v>672</v>
      </c>
      <c r="E550" s="182">
        <v>150</v>
      </c>
      <c r="F550" s="209"/>
      <c r="G550" s="205">
        <f>ROUND(E550*$C550,0)</f>
        <v>103350</v>
      </c>
      <c r="H550" s="205">
        <f>ROUND(E550*$D550,0)</f>
        <v>100800</v>
      </c>
      <c r="I550" s="182">
        <f>$I$482</f>
        <v>166</v>
      </c>
      <c r="J550" s="209"/>
      <c r="K550" s="205">
        <f>ROUND(I550*$D550,0)</f>
        <v>111552</v>
      </c>
    </row>
    <row r="551" spans="1:11">
      <c r="A551" s="207" t="s">
        <v>382</v>
      </c>
      <c r="B551" s="1"/>
      <c r="C551" s="203">
        <f>SUM(C548:C550)</f>
        <v>1889</v>
      </c>
      <c r="D551" s="203">
        <f>SUM(D548:D550)</f>
        <v>1843</v>
      </c>
      <c r="E551" s="182"/>
      <c r="F551" s="207"/>
      <c r="G551" s="205"/>
      <c r="H551" s="205"/>
      <c r="I551" s="182"/>
      <c r="J551" s="207"/>
      <c r="K551" s="205"/>
    </row>
    <row r="552" spans="1:11">
      <c r="A552" s="207" t="s">
        <v>410</v>
      </c>
      <c r="B552" s="1"/>
      <c r="C552" s="203">
        <f>53027+1380+148527</f>
        <v>202934</v>
      </c>
      <c r="D552" s="203">
        <f>ROUND(($D$574/'Blocking - detail'!$C$574)*C552,0)</f>
        <v>204561</v>
      </c>
      <c r="E552" s="182">
        <v>1.38</v>
      </c>
      <c r="F552" s="207" t="s">
        <v>31</v>
      </c>
      <c r="G552" s="205">
        <f>ROUND(E552*$C552,0)</f>
        <v>280049</v>
      </c>
      <c r="H552" s="205">
        <f>ROUND(E552*$D552,0)</f>
        <v>282294</v>
      </c>
      <c r="I552" s="182">
        <f>$I$484</f>
        <v>1.47</v>
      </c>
      <c r="J552" s="207" t="s">
        <v>31</v>
      </c>
      <c r="K552" s="205">
        <f>ROUND(I552*$D552,0)</f>
        <v>300705</v>
      </c>
    </row>
    <row r="553" spans="1:11">
      <c r="A553" s="207" t="s">
        <v>411</v>
      </c>
      <c r="B553" s="1"/>
      <c r="C553" s="203">
        <f>3665+7817+380790</f>
        <v>392272</v>
      </c>
      <c r="D553" s="203">
        <f>ROUND(($D$574/'Blocking - detail'!$C$574)*C553,0)</f>
        <v>395416</v>
      </c>
      <c r="E553" s="182">
        <v>1.1299999999999999</v>
      </c>
      <c r="F553" s="207" t="s">
        <v>31</v>
      </c>
      <c r="G553" s="205">
        <f>ROUND(E553*$C553,0)</f>
        <v>443267</v>
      </c>
      <c r="H553" s="205">
        <f>ROUND(E553*$D553,0)</f>
        <v>446820</v>
      </c>
      <c r="I553" s="182">
        <f>$I$485</f>
        <v>1.2</v>
      </c>
      <c r="J553" s="207" t="s">
        <v>31</v>
      </c>
      <c r="K553" s="205">
        <f>ROUND(I553*$D553,0)</f>
        <v>474499</v>
      </c>
    </row>
    <row r="554" spans="1:11">
      <c r="A554" s="193" t="s">
        <v>412</v>
      </c>
      <c r="B554" s="1"/>
      <c r="C554" s="203"/>
      <c r="D554" s="203"/>
      <c r="E554" s="239"/>
      <c r="F554" s="207"/>
      <c r="G554" s="205"/>
      <c r="H554" s="205"/>
      <c r="I554" s="239"/>
      <c r="J554" s="207"/>
      <c r="K554" s="205"/>
    </row>
    <row r="555" spans="1:11">
      <c r="A555" s="193" t="s">
        <v>413</v>
      </c>
      <c r="B555" s="1"/>
      <c r="C555" s="203">
        <f>31+16993+1024+1380+6927+349+121488+297368</f>
        <v>445560</v>
      </c>
      <c r="D555" s="203">
        <f>ROUND(($D$574/'Blocking - detail'!$C$574)*C555,0)</f>
        <v>449132</v>
      </c>
      <c r="E555" s="182">
        <v>3.64</v>
      </c>
      <c r="F555" s="207"/>
      <c r="G555" s="205">
        <f>ROUND(E555*$C555,0)</f>
        <v>1621838</v>
      </c>
      <c r="H555" s="205">
        <f>ROUND(E555*$D555,0)</f>
        <v>1634840</v>
      </c>
      <c r="I555" s="182">
        <f>$I$487</f>
        <v>3.75</v>
      </c>
      <c r="J555" s="207"/>
      <c r="K555" s="205">
        <f>ROUND(I555*$D555,0)</f>
        <v>1684245</v>
      </c>
    </row>
    <row r="556" spans="1:11">
      <c r="A556" s="193" t="s">
        <v>429</v>
      </c>
      <c r="B556" s="1"/>
      <c r="C556" s="203">
        <f>69+6778+239+102+1209+318</f>
        <v>8715</v>
      </c>
      <c r="D556" s="203">
        <f>ROUND(($D$574/'Blocking - detail'!$C$574)*C556,0)</f>
        <v>8785</v>
      </c>
      <c r="E556" s="253">
        <f>E555</f>
        <v>3.64</v>
      </c>
      <c r="F556" s="207"/>
      <c r="G556" s="205">
        <f>ROUND(E556*$C556,0)</f>
        <v>31723</v>
      </c>
      <c r="H556" s="205">
        <f>ROUND(E556*$D556,0)</f>
        <v>31977</v>
      </c>
      <c r="I556" s="253">
        <f>I555</f>
        <v>3.75</v>
      </c>
      <c r="J556" s="207"/>
      <c r="K556" s="205">
        <f>ROUND(I556*$D556,0)</f>
        <v>32944</v>
      </c>
    </row>
    <row r="557" spans="1:11">
      <c r="A557" s="207" t="s">
        <v>414</v>
      </c>
      <c r="B557" s="1"/>
      <c r="C557" s="203"/>
      <c r="D557" s="203"/>
      <c r="E557" s="182"/>
      <c r="F557" s="207"/>
      <c r="G557" s="205"/>
      <c r="H557" s="205"/>
      <c r="I557" s="182"/>
      <c r="J557" s="207"/>
      <c r="K557" s="205"/>
    </row>
    <row r="558" spans="1:11">
      <c r="A558" s="207" t="s">
        <v>415</v>
      </c>
      <c r="B558" s="1"/>
      <c r="C558" s="203">
        <f>10240+2853225+81440+478667+480000+55800+25725353+25475253</f>
        <v>55159978</v>
      </c>
      <c r="D558" s="203">
        <f>ROUND(($D$574/'Blocking - detail'!$C$574)*C558,0)</f>
        <v>55602144</v>
      </c>
      <c r="E558" s="254">
        <v>3.9809999999999999</v>
      </c>
      <c r="F558" s="207" t="s">
        <v>362</v>
      </c>
      <c r="G558" s="205">
        <f>ROUND(E558*$C558/100,0)</f>
        <v>2195919</v>
      </c>
      <c r="H558" s="205">
        <f>ROUND(E558*$D558/100,0)</f>
        <v>2213521</v>
      </c>
      <c r="I558" s="254">
        <f>$I$490</f>
        <v>4.3570000000000002</v>
      </c>
      <c r="J558" s="207" t="s">
        <v>362</v>
      </c>
      <c r="K558" s="205">
        <f>ROUND(I558*$D558/100,0)</f>
        <v>2422585</v>
      </c>
    </row>
    <row r="559" spans="1:11">
      <c r="A559" s="207" t="s">
        <v>387</v>
      </c>
      <c r="B559" s="1"/>
      <c r="C559" s="203">
        <f>10240+3545465+133120+979200+4096800+55800+34983239+101812255-C558</f>
        <v>90456141</v>
      </c>
      <c r="D559" s="203">
        <f>ROUND(($D$574/'Blocking - detail'!$C$574)*C559,0)</f>
        <v>91181243</v>
      </c>
      <c r="E559" s="254">
        <v>3.649</v>
      </c>
      <c r="F559" s="207" t="s">
        <v>362</v>
      </c>
      <c r="G559" s="205">
        <f>ROUND(E559*$C559/100,0)</f>
        <v>3300745</v>
      </c>
      <c r="H559" s="205">
        <f>ROUND(E559*$D559/100,0)</f>
        <v>3327204</v>
      </c>
      <c r="I559" s="254">
        <f>$I$491</f>
        <v>3.9930000000000003</v>
      </c>
      <c r="J559" s="207" t="s">
        <v>362</v>
      </c>
      <c r="K559" s="205">
        <f>ROUND(I559*$D559/100,0)</f>
        <v>3640867</v>
      </c>
    </row>
    <row r="560" spans="1:11">
      <c r="A560" s="207" t="s">
        <v>388</v>
      </c>
      <c r="B560" s="1"/>
      <c r="C560" s="203">
        <f>14+5104+263+1145+2693+4+38848+100112</f>
        <v>148183</v>
      </c>
      <c r="D560" s="203">
        <f>ROUND(($D$574/'Blocking - detail'!$C$574)*C560,0)</f>
        <v>149371</v>
      </c>
      <c r="E560" s="223">
        <v>45</v>
      </c>
      <c r="F560" s="207" t="s">
        <v>362</v>
      </c>
      <c r="G560" s="205">
        <f>ROUND(E560*$C560/100,0)</f>
        <v>66682</v>
      </c>
      <c r="H560" s="205">
        <f>ROUND(E560*$D560/100,0)</f>
        <v>67217</v>
      </c>
      <c r="I560" s="223">
        <f>$I$492</f>
        <v>45</v>
      </c>
      <c r="J560" s="207" t="s">
        <v>362</v>
      </c>
      <c r="K560" s="205">
        <f>ROUND(I560*$D560/100,0)</f>
        <v>67217</v>
      </c>
    </row>
    <row r="561" spans="1:15">
      <c r="A561" s="244" t="s">
        <v>389</v>
      </c>
      <c r="B561" s="1"/>
      <c r="C561" s="203"/>
      <c r="D561" s="203"/>
      <c r="E561" s="216">
        <v>-0.01</v>
      </c>
      <c r="F561" s="2"/>
      <c r="G561" s="205"/>
      <c r="H561" s="205"/>
      <c r="I561" s="216">
        <f>$I$493</f>
        <v>-0.01</v>
      </c>
      <c r="J561" s="1"/>
      <c r="K561" s="205"/>
    </row>
    <row r="562" spans="1:15">
      <c r="A562" s="207" t="s">
        <v>409</v>
      </c>
      <c r="B562" s="1"/>
      <c r="C562" s="203">
        <v>0</v>
      </c>
      <c r="D562" s="203">
        <v>0</v>
      </c>
      <c r="E562" s="188">
        <f>E548</f>
        <v>205</v>
      </c>
      <c r="F562" s="248"/>
      <c r="G562" s="205">
        <f>ROUND(E562*$C562*E561,0)</f>
        <v>0</v>
      </c>
      <c r="H562" s="205">
        <f>ROUND(E562*$D562*E561,0)</f>
        <v>0</v>
      </c>
      <c r="I562" s="188">
        <f>I548</f>
        <v>225</v>
      </c>
      <c r="J562" s="177"/>
      <c r="K562" s="205">
        <f>ROUND(I562*$D562*I561,0)</f>
        <v>0</v>
      </c>
    </row>
    <row r="563" spans="1:15">
      <c r="A563" s="207" t="s">
        <v>410</v>
      </c>
      <c r="B563" s="1"/>
      <c r="C563" s="203">
        <f>12</f>
        <v>12</v>
      </c>
      <c r="D563" s="203">
        <v>12</v>
      </c>
      <c r="E563" s="188">
        <f>E549</f>
        <v>75</v>
      </c>
      <c r="F563" s="248"/>
      <c r="G563" s="205">
        <f>ROUND(E563*$C563*E561,0)</f>
        <v>-9</v>
      </c>
      <c r="H563" s="205">
        <f>ROUND(E563*$D563*E561,0)</f>
        <v>-9</v>
      </c>
      <c r="I563" s="188">
        <f>I549</f>
        <v>83</v>
      </c>
      <c r="J563" s="177"/>
      <c r="K563" s="205">
        <f>ROUND(I563*$D563*I561,0)</f>
        <v>-10</v>
      </c>
    </row>
    <row r="564" spans="1:15">
      <c r="A564" s="207" t="s">
        <v>411</v>
      </c>
      <c r="B564" s="1"/>
      <c r="C564" s="203">
        <f>12</f>
        <v>12</v>
      </c>
      <c r="D564" s="203">
        <v>12</v>
      </c>
      <c r="E564" s="188">
        <f>E550</f>
        <v>150</v>
      </c>
      <c r="F564" s="256"/>
      <c r="G564" s="205">
        <f>ROUND(E564*$C564*E561,0)</f>
        <v>-18</v>
      </c>
      <c r="H564" s="205">
        <f>ROUND(E564*$D564*E561,0)</f>
        <v>-18</v>
      </c>
      <c r="I564" s="188">
        <f>I550</f>
        <v>166</v>
      </c>
      <c r="J564" s="257"/>
      <c r="K564" s="205">
        <f>ROUND(I564*$D564*I561,0)</f>
        <v>-20</v>
      </c>
    </row>
    <row r="565" spans="1:15">
      <c r="A565" s="207" t="s">
        <v>410</v>
      </c>
      <c r="B565" s="1"/>
      <c r="C565" s="203">
        <f>1487</f>
        <v>1487</v>
      </c>
      <c r="D565" s="203">
        <f>ROUND(($D$574/'Blocking - detail'!$C$574)*C565,0)</f>
        <v>1499</v>
      </c>
      <c r="E565" s="188">
        <f>E552</f>
        <v>1.38</v>
      </c>
      <c r="F565" s="248"/>
      <c r="G565" s="205">
        <f>ROUND(E565*$C565*E561,0)</f>
        <v>-21</v>
      </c>
      <c r="H565" s="205">
        <f>ROUND(E565*$D565*E561,0)</f>
        <v>-21</v>
      </c>
      <c r="I565" s="188">
        <f>I552</f>
        <v>1.47</v>
      </c>
      <c r="J565" s="177"/>
      <c r="K565" s="205">
        <f>ROUND(I565*$D565*I561,0)</f>
        <v>-22</v>
      </c>
    </row>
    <row r="566" spans="1:15">
      <c r="A566" s="207" t="s">
        <v>411</v>
      </c>
      <c r="B566" s="1"/>
      <c r="C566" s="203">
        <v>7817</v>
      </c>
      <c r="D566" s="203">
        <f>ROUND(($D$574/'Blocking - detail'!$C$574)*C566,0)</f>
        <v>7880</v>
      </c>
      <c r="E566" s="188">
        <f>E553</f>
        <v>1.1299999999999999</v>
      </c>
      <c r="F566" s="248" t="s">
        <v>31</v>
      </c>
      <c r="G566" s="205">
        <f>ROUND(E566*$C566*E561,0)</f>
        <v>-88</v>
      </c>
      <c r="H566" s="205">
        <f>ROUND(E566*$D566*E561,0)</f>
        <v>-89</v>
      </c>
      <c r="I566" s="188">
        <f>I553</f>
        <v>1.2</v>
      </c>
      <c r="J566" s="177"/>
      <c r="K566" s="205">
        <f>ROUND(I566*$D566*I561,0)</f>
        <v>-95</v>
      </c>
    </row>
    <row r="567" spans="1:15">
      <c r="A567" s="193" t="s">
        <v>413</v>
      </c>
      <c r="B567" s="1"/>
      <c r="C567" s="203">
        <f>1487+6927</f>
        <v>8414</v>
      </c>
      <c r="D567" s="203">
        <f>ROUND(($D$574/'Blocking - detail'!$C$574)*C567,0)</f>
        <v>8481</v>
      </c>
      <c r="E567" s="188">
        <f>E555</f>
        <v>3.64</v>
      </c>
      <c r="F567" s="248" t="s">
        <v>31</v>
      </c>
      <c r="G567" s="205">
        <f>ROUND(E567*$C567*E561,0)</f>
        <v>-306</v>
      </c>
      <c r="H567" s="205">
        <f>ROUND(E567*$D567*E561,0)</f>
        <v>-309</v>
      </c>
      <c r="I567" s="188">
        <f>I555</f>
        <v>3.75</v>
      </c>
      <c r="J567" s="177"/>
      <c r="K567" s="205">
        <f>ROUND(I567*$D567*I561,0)</f>
        <v>-318</v>
      </c>
    </row>
    <row r="568" spans="1:15">
      <c r="A568" s="193" t="s">
        <v>429</v>
      </c>
      <c r="B568" s="1"/>
      <c r="C568" s="203">
        <v>0</v>
      </c>
      <c r="D568" s="203">
        <f>ROUND(($D$574/'Blocking - detail'!$C$574)*C568,0)</f>
        <v>0</v>
      </c>
      <c r="E568" s="188">
        <f>E556</f>
        <v>3.64</v>
      </c>
      <c r="F568" s="248" t="s">
        <v>31</v>
      </c>
      <c r="G568" s="205">
        <f>ROUND(E568*$C568*E561,0)</f>
        <v>0</v>
      </c>
      <c r="H568" s="205">
        <f>ROUND(E568*$D568*E561,0)</f>
        <v>0</v>
      </c>
      <c r="I568" s="188">
        <f>I556</f>
        <v>3.75</v>
      </c>
      <c r="J568" s="177"/>
      <c r="K568" s="205">
        <f>ROUND(I568*$D568*I561,0)</f>
        <v>0</v>
      </c>
    </row>
    <row r="569" spans="1:15">
      <c r="A569" s="207" t="s">
        <v>415</v>
      </c>
      <c r="B569" s="1"/>
      <c r="C569" s="203">
        <f>478667+480000</f>
        <v>958667</v>
      </c>
      <c r="D569" s="203">
        <f>ROUND(($D$574/'Blocking - detail'!$C$574)*C569,0)</f>
        <v>966352</v>
      </c>
      <c r="E569" s="258">
        <f>E558</f>
        <v>3.9809999999999999</v>
      </c>
      <c r="F569" s="205" t="s">
        <v>362</v>
      </c>
      <c r="G569" s="205">
        <f>ROUND(E569*$C569/100*E561,0)</f>
        <v>-382</v>
      </c>
      <c r="H569" s="205">
        <f>ROUND(E569*$D569/100*E561,0)</f>
        <v>-385</v>
      </c>
      <c r="I569" s="258">
        <f>I558</f>
        <v>4.3570000000000002</v>
      </c>
      <c r="J569" s="207" t="s">
        <v>362</v>
      </c>
      <c r="K569" s="205">
        <f>ROUND(I569*$D569/100*I561,0)</f>
        <v>-421</v>
      </c>
    </row>
    <row r="570" spans="1:15">
      <c r="A570" s="207" t="s">
        <v>387</v>
      </c>
      <c r="B570" s="1"/>
      <c r="C570" s="203">
        <f>979200+4096800-C569</f>
        <v>4117333</v>
      </c>
      <c r="D570" s="203">
        <f>ROUND(($D$574/'Blocking - detail'!$C$574)*C570,0)</f>
        <v>4150338</v>
      </c>
      <c r="E570" s="258">
        <f>E559</f>
        <v>3.649</v>
      </c>
      <c r="F570" s="205" t="s">
        <v>362</v>
      </c>
      <c r="G570" s="205">
        <f>ROUND(E570*$C570/100*E561,0)</f>
        <v>-1502</v>
      </c>
      <c r="H570" s="205">
        <f>ROUND(E570*$D570/100*E561,0)</f>
        <v>-1514</v>
      </c>
      <c r="I570" s="258">
        <f>I559</f>
        <v>3.9930000000000003</v>
      </c>
      <c r="J570" s="207" t="s">
        <v>362</v>
      </c>
      <c r="K570" s="205">
        <f>ROUND(I570*$D570/100*I561,0)</f>
        <v>-1657</v>
      </c>
    </row>
    <row r="571" spans="1:15">
      <c r="A571" s="207" t="s">
        <v>388</v>
      </c>
      <c r="B571" s="1"/>
      <c r="C571" s="203">
        <f>0</f>
        <v>0</v>
      </c>
      <c r="D571" s="203">
        <f>ROUND(($D$574/'Blocking - detail'!$C$574)*C571,0)</f>
        <v>0</v>
      </c>
      <c r="E571" s="259">
        <f>E560</f>
        <v>45</v>
      </c>
      <c r="F571" s="205" t="s">
        <v>362</v>
      </c>
      <c r="G571" s="205">
        <f>ROUND(E571*$C571/100*E561,0)</f>
        <v>0</v>
      </c>
      <c r="H571" s="205">
        <f>ROUND(E571*$D571/100*E561,0)</f>
        <v>0</v>
      </c>
      <c r="I571" s="259">
        <f>I560</f>
        <v>45</v>
      </c>
      <c r="J571" s="207" t="s">
        <v>362</v>
      </c>
      <c r="K571" s="205">
        <f>ROUND(I571*$D571/100*I561,0)</f>
        <v>0</v>
      </c>
    </row>
    <row r="572" spans="1:15">
      <c r="A572" s="207" t="s">
        <v>431</v>
      </c>
      <c r="B572" s="1"/>
      <c r="C572" s="203">
        <f>C563+C564</f>
        <v>24</v>
      </c>
      <c r="D572" s="203">
        <v>23</v>
      </c>
      <c r="E572" s="182">
        <v>60</v>
      </c>
      <c r="F572" s="248" t="s">
        <v>31</v>
      </c>
      <c r="G572" s="205">
        <f>ROUND(E572*$C572,0)</f>
        <v>1440</v>
      </c>
      <c r="H572" s="205">
        <f>ROUND(E572*$D572,0)</f>
        <v>1380</v>
      </c>
      <c r="I572" s="182">
        <f>$I$504</f>
        <v>60</v>
      </c>
      <c r="J572" s="1"/>
      <c r="K572" s="205">
        <f>ROUND(I572*$D572,0)</f>
        <v>1380</v>
      </c>
    </row>
    <row r="573" spans="1:15">
      <c r="A573" s="207" t="s">
        <v>432</v>
      </c>
      <c r="B573" s="1"/>
      <c r="C573" s="203">
        <f>C565+C566</f>
        <v>9304</v>
      </c>
      <c r="D573" s="203">
        <f>ROUND(($D$574/'Blocking - detail'!$C$574)*C573,0)</f>
        <v>9379</v>
      </c>
      <c r="E573" s="223">
        <v>-30</v>
      </c>
      <c r="F573" s="205" t="s">
        <v>362</v>
      </c>
      <c r="G573" s="205">
        <f>ROUND(E573*$C573/100,0)</f>
        <v>-2791</v>
      </c>
      <c r="H573" s="205">
        <f>ROUND(E573*$D573/100,0)</f>
        <v>-2814</v>
      </c>
      <c r="I573" s="223">
        <v>-30</v>
      </c>
      <c r="J573" s="205" t="s">
        <v>362</v>
      </c>
      <c r="K573" s="205">
        <f>ROUND(I573*$D573/100,0)</f>
        <v>-2814</v>
      </c>
    </row>
    <row r="574" spans="1:15">
      <c r="A574" s="1" t="s">
        <v>369</v>
      </c>
      <c r="B574" s="1"/>
      <c r="C574" s="203">
        <f>SUM(C558:C559)</f>
        <v>145616119</v>
      </c>
      <c r="D574" s="203">
        <v>146783387.35514688</v>
      </c>
      <c r="E574" s="214"/>
      <c r="F574" s="2"/>
      <c r="G574" s="2">
        <f>SUM(G548:G573)</f>
        <v>8131326</v>
      </c>
      <c r="H574" s="2">
        <f>SUM(H548:H573)</f>
        <v>8190149</v>
      </c>
      <c r="I574" s="214"/>
      <c r="J574" s="1"/>
      <c r="K574" s="2">
        <f>SUM(K548:K573)</f>
        <v>8829392</v>
      </c>
    </row>
    <row r="575" spans="1:15">
      <c r="A575" s="1" t="s">
        <v>351</v>
      </c>
      <c r="B575" s="1"/>
      <c r="C575" s="233">
        <v>-3267381.4452911569</v>
      </c>
      <c r="D575" s="224">
        <v>0</v>
      </c>
      <c r="E575" s="193"/>
      <c r="F575" s="193"/>
      <c r="G575" s="194">
        <v>-154650.03199032659</v>
      </c>
      <c r="H575" s="194">
        <v>0</v>
      </c>
      <c r="I575" s="193"/>
      <c r="J575" s="193"/>
      <c r="K575" s="194">
        <v>0</v>
      </c>
      <c r="M575" s="173"/>
      <c r="N575" s="173"/>
      <c r="O575" s="174"/>
    </row>
    <row r="576" spans="1:15" ht="16.5" thickBot="1">
      <c r="A576" s="1" t="s">
        <v>370</v>
      </c>
      <c r="B576" s="1"/>
      <c r="C576" s="250">
        <f>SUM(C574)+C575</f>
        <v>142348737.55470884</v>
      </c>
      <c r="D576" s="250">
        <f>SUM(D558:D559)+D575</f>
        <v>146783387</v>
      </c>
      <c r="E576" s="226"/>
      <c r="F576" s="227"/>
      <c r="G576" s="228">
        <f>G574+G575</f>
        <v>7976675.9680096731</v>
      </c>
      <c r="H576" s="228">
        <f>H574+H575</f>
        <v>8190149</v>
      </c>
      <c r="I576" s="226"/>
      <c r="J576" s="229"/>
      <c r="K576" s="228">
        <f>K574+K575</f>
        <v>8829392</v>
      </c>
      <c r="M576" s="175"/>
      <c r="N576" s="175"/>
      <c r="O576" s="176"/>
    </row>
    <row r="577" spans="1:21" ht="16.5" thickTop="1">
      <c r="A577" s="187"/>
      <c r="B577" s="262"/>
      <c r="C577" s="187"/>
      <c r="D577" s="187"/>
      <c r="E577" s="21"/>
      <c r="F577" s="21"/>
      <c r="G577" s="263"/>
      <c r="H577" s="263"/>
      <c r="I577" s="187"/>
      <c r="J577" s="187"/>
      <c r="K577" s="187"/>
    </row>
    <row r="578" spans="1:21">
      <c r="A578" s="177" t="s">
        <v>435</v>
      </c>
      <c r="B578" s="1"/>
      <c r="C578" s="21"/>
      <c r="D578" s="21"/>
      <c r="E578" s="221"/>
      <c r="F578" s="2"/>
      <c r="G578" s="2"/>
      <c r="H578" s="2"/>
      <c r="I578" s="221"/>
      <c r="J578" s="1"/>
      <c r="K578" s="2"/>
    </row>
    <row r="579" spans="1:21">
      <c r="A579" s="193" t="s">
        <v>436</v>
      </c>
      <c r="B579" s="1"/>
      <c r="C579" s="21"/>
      <c r="D579" s="21"/>
      <c r="E579" s="221"/>
      <c r="F579" s="2"/>
      <c r="G579" s="2"/>
      <c r="H579" s="2"/>
      <c r="I579" s="221"/>
      <c r="J579" s="1"/>
      <c r="K579" s="2"/>
    </row>
    <row r="580" spans="1:21">
      <c r="A580" s="207"/>
      <c r="B580" s="1"/>
      <c r="C580" s="21"/>
      <c r="D580" s="21"/>
      <c r="E580" s="221"/>
      <c r="F580" s="2"/>
      <c r="G580" s="264"/>
      <c r="H580" s="264"/>
      <c r="I580" s="221"/>
      <c r="J580" s="1"/>
      <c r="K580" s="265"/>
    </row>
    <row r="581" spans="1:21">
      <c r="A581" s="193" t="s">
        <v>437</v>
      </c>
      <c r="B581" s="1"/>
      <c r="C581" s="203"/>
      <c r="D581" s="203"/>
      <c r="E581" s="2" t="s">
        <v>31</v>
      </c>
      <c r="F581" s="2"/>
      <c r="G581" s="1"/>
      <c r="H581" s="1"/>
      <c r="I581" s="2" t="s">
        <v>31</v>
      </c>
      <c r="J581" s="1"/>
      <c r="K581" s="1"/>
      <c r="R581" s="3">
        <v>50</v>
      </c>
      <c r="S581" s="3">
        <v>51</v>
      </c>
      <c r="T581" s="3">
        <v>300</v>
      </c>
      <c r="U581" s="3">
        <v>301</v>
      </c>
    </row>
    <row r="582" spans="1:21">
      <c r="A582" s="193" t="s">
        <v>438</v>
      </c>
      <c r="B582" s="1"/>
      <c r="C582" s="203">
        <f>C633+C684</f>
        <v>1046</v>
      </c>
      <c r="D582" s="203">
        <f>D633+D684</f>
        <v>1055</v>
      </c>
      <c r="E582" s="221">
        <v>0</v>
      </c>
      <c r="F582" s="208"/>
      <c r="G582" s="205">
        <f>G633+G684</f>
        <v>0</v>
      </c>
      <c r="H582" s="205">
        <f>H633+H684</f>
        <v>0</v>
      </c>
      <c r="I582" s="221">
        <v>0</v>
      </c>
      <c r="J582" s="208"/>
      <c r="K582" s="205">
        <f>K633+K684</f>
        <v>0</v>
      </c>
      <c r="M582" s="81">
        <f>I582*D582</f>
        <v>0</v>
      </c>
      <c r="O582" s="14"/>
      <c r="P582" s="66" t="s">
        <v>31</v>
      </c>
      <c r="Q582" s="3" t="s">
        <v>359</v>
      </c>
      <c r="R582" s="213">
        <f>E584+(E593*50)</f>
        <v>907.49999999999989</v>
      </c>
      <c r="S582" s="213">
        <f>E585+(E594*51)</f>
        <v>907.4</v>
      </c>
      <c r="T582" s="213">
        <f>E585+(E594*300)</f>
        <v>3995</v>
      </c>
      <c r="U582" s="213">
        <f>E586+(E595*301)</f>
        <v>4014.65</v>
      </c>
    </row>
    <row r="583" spans="1:21">
      <c r="A583" s="193" t="s">
        <v>439</v>
      </c>
      <c r="B583" s="1"/>
      <c r="C583" s="203"/>
      <c r="D583" s="203"/>
      <c r="E583" s="221"/>
      <c r="F583" s="208"/>
      <c r="G583" s="205"/>
      <c r="H583" s="205"/>
      <c r="I583" s="221"/>
      <c r="J583" s="208"/>
      <c r="K583" s="205"/>
      <c r="Q583" s="3" t="s">
        <v>295</v>
      </c>
      <c r="R583" s="213">
        <f>I584+(I593*50)</f>
        <v>993.5</v>
      </c>
      <c r="S583" s="213">
        <f>I585+(I594*51)</f>
        <v>996.64</v>
      </c>
      <c r="T583" s="213">
        <f>I585+(I594*300)</f>
        <v>4393</v>
      </c>
      <c r="U583" s="213">
        <f>I586+(I595*301)</f>
        <v>4411.62</v>
      </c>
    </row>
    <row r="584" spans="1:21">
      <c r="A584" s="193" t="s">
        <v>440</v>
      </c>
      <c r="B584" s="1"/>
      <c r="C584" s="203">
        <f t="shared" ref="C584:D589" si="49">C635+C686</f>
        <v>3810</v>
      </c>
      <c r="D584" s="203">
        <f t="shared" si="49"/>
        <v>3832</v>
      </c>
      <c r="E584" s="221">
        <v>0</v>
      </c>
      <c r="F584" s="208"/>
      <c r="G584" s="205">
        <f t="shared" ref="G584:H586" si="50">G635+G686</f>
        <v>0</v>
      </c>
      <c r="H584" s="205">
        <f t="shared" si="50"/>
        <v>0</v>
      </c>
      <c r="I584" s="221">
        <v>0</v>
      </c>
      <c r="J584" s="208"/>
      <c r="K584" s="205">
        <f>K635+K686</f>
        <v>0</v>
      </c>
      <c r="M584" s="81">
        <f>I584*D584</f>
        <v>0</v>
      </c>
      <c r="N584" s="52"/>
    </row>
    <row r="585" spans="1:21">
      <c r="A585" s="193" t="s">
        <v>441</v>
      </c>
      <c r="B585" s="1"/>
      <c r="C585" s="203">
        <f t="shared" si="49"/>
        <v>391</v>
      </c>
      <c r="D585" s="203">
        <f t="shared" si="49"/>
        <v>394</v>
      </c>
      <c r="E585" s="221">
        <v>275</v>
      </c>
      <c r="F585" s="208"/>
      <c r="G585" s="205">
        <f t="shared" si="50"/>
        <v>107525</v>
      </c>
      <c r="H585" s="205">
        <f t="shared" si="50"/>
        <v>108350</v>
      </c>
      <c r="I585" s="221">
        <v>301</v>
      </c>
      <c r="J585" s="208"/>
      <c r="K585" s="205">
        <f>K636+K687</f>
        <v>118594</v>
      </c>
      <c r="M585" s="81">
        <f>I585*D585</f>
        <v>118594</v>
      </c>
      <c r="N585" s="128"/>
      <c r="O585" s="14">
        <f>(I585-E585)/E585</f>
        <v>9.4545454545454544E-2</v>
      </c>
      <c r="S585" s="213">
        <f>S583-R583</f>
        <v>3.1399999999999864</v>
      </c>
      <c r="U585" s="213">
        <f>U583-T583</f>
        <v>18.619999999999891</v>
      </c>
    </row>
    <row r="586" spans="1:21">
      <c r="A586" s="193" t="s">
        <v>442</v>
      </c>
      <c r="B586" s="1"/>
      <c r="C586" s="203">
        <f t="shared" si="49"/>
        <v>12</v>
      </c>
      <c r="D586" s="203">
        <f t="shared" si="49"/>
        <v>12</v>
      </c>
      <c r="E586" s="221">
        <v>1110</v>
      </c>
      <c r="F586" s="208"/>
      <c r="G586" s="205">
        <f t="shared" si="50"/>
        <v>13320</v>
      </c>
      <c r="H586" s="205">
        <f t="shared" si="50"/>
        <v>13320</v>
      </c>
      <c r="I586" s="221">
        <v>1215</v>
      </c>
      <c r="J586" s="208"/>
      <c r="K586" s="205">
        <f>K637+K688</f>
        <v>14580</v>
      </c>
      <c r="M586" s="81">
        <f>I586*D586</f>
        <v>14580</v>
      </c>
      <c r="N586" s="128"/>
      <c r="O586" s="14">
        <f>(I586-E586)/E586</f>
        <v>9.45945945945946E-2</v>
      </c>
    </row>
    <row r="587" spans="1:21">
      <c r="A587" s="193" t="s">
        <v>350</v>
      </c>
      <c r="B587" s="1"/>
      <c r="C587" s="203">
        <f t="shared" si="49"/>
        <v>5259</v>
      </c>
      <c r="D587" s="203">
        <f t="shared" si="49"/>
        <v>5292.9166666666661</v>
      </c>
      <c r="E587" s="221"/>
      <c r="F587" s="208"/>
      <c r="G587" s="205"/>
      <c r="H587" s="205"/>
      <c r="I587" s="221"/>
      <c r="J587" s="208"/>
      <c r="K587" s="205"/>
      <c r="M587" s="66"/>
      <c r="N587" s="66"/>
      <c r="O587" s="204"/>
      <c r="S587" s="213">
        <f>I593</f>
        <v>19.87</v>
      </c>
      <c r="U587" s="213">
        <f>I595</f>
        <v>10.62</v>
      </c>
    </row>
    <row r="588" spans="1:21">
      <c r="A588" s="193" t="s">
        <v>443</v>
      </c>
      <c r="B588" s="1"/>
      <c r="C588" s="203">
        <f t="shared" si="49"/>
        <v>34292</v>
      </c>
      <c r="D588" s="203">
        <f t="shared" si="49"/>
        <v>34530</v>
      </c>
      <c r="E588" s="221"/>
      <c r="F588" s="208"/>
      <c r="G588" s="205"/>
      <c r="H588" s="205"/>
      <c r="I588" s="221"/>
      <c r="J588" s="208"/>
      <c r="K588" s="205"/>
      <c r="M588" s="66"/>
      <c r="N588" s="66"/>
      <c r="O588" s="204"/>
    </row>
    <row r="589" spans="1:21">
      <c r="A589" s="193" t="s">
        <v>104</v>
      </c>
      <c r="B589" s="1"/>
      <c r="C589" s="203">
        <f t="shared" si="49"/>
        <v>5714</v>
      </c>
      <c r="D589" s="203">
        <f t="shared" si="49"/>
        <v>5752</v>
      </c>
      <c r="E589" s="221"/>
      <c r="F589" s="205"/>
      <c r="G589" s="205"/>
      <c r="H589" s="205"/>
      <c r="I589" s="221"/>
      <c r="J589" s="205"/>
      <c r="K589" s="205"/>
      <c r="M589" s="66"/>
      <c r="N589" s="66"/>
      <c r="O589" s="204"/>
      <c r="P589" s="178"/>
    </row>
    <row r="590" spans="1:21">
      <c r="A590" s="193" t="s">
        <v>444</v>
      </c>
      <c r="B590" s="1"/>
      <c r="C590" s="203"/>
      <c r="D590" s="203"/>
      <c r="E590" s="221"/>
      <c r="F590" s="208"/>
      <c r="G590" s="205"/>
      <c r="H590" s="205"/>
      <c r="I590" s="221"/>
      <c r="J590" s="208"/>
      <c r="K590" s="205"/>
      <c r="M590" s="66"/>
      <c r="N590" s="66"/>
      <c r="O590" s="204"/>
    </row>
    <row r="591" spans="1:21">
      <c r="A591" s="193" t="s">
        <v>445</v>
      </c>
      <c r="B591" s="1"/>
      <c r="C591" s="203">
        <f>C642+C693</f>
        <v>4094</v>
      </c>
      <c r="D591" s="203">
        <f>D642+D693</f>
        <v>3767</v>
      </c>
      <c r="E591" s="221">
        <v>18.149999999999999</v>
      </c>
      <c r="F591" s="208"/>
      <c r="G591" s="205">
        <f>G642+G693</f>
        <v>74306</v>
      </c>
      <c r="H591" s="205">
        <f>H642+H693</f>
        <v>68371</v>
      </c>
      <c r="I591" s="221">
        <v>19.87</v>
      </c>
      <c r="J591" s="208"/>
      <c r="K591" s="205">
        <f>K642+K693</f>
        <v>74851</v>
      </c>
      <c r="M591" s="81">
        <f>I591*D591</f>
        <v>74850.290000000008</v>
      </c>
      <c r="N591" s="128"/>
      <c r="O591" s="14">
        <f>(I591-E591)/E591</f>
        <v>9.4765840220385811E-2</v>
      </c>
      <c r="R591" s="3" t="s">
        <v>359</v>
      </c>
      <c r="S591" s="3" t="s">
        <v>295</v>
      </c>
      <c r="T591" s="3" t="s">
        <v>360</v>
      </c>
      <c r="U591" s="3" t="s">
        <v>304</v>
      </c>
    </row>
    <row r="592" spans="1:21">
      <c r="A592" s="193" t="s">
        <v>446</v>
      </c>
      <c r="B592" s="1"/>
      <c r="C592" s="203"/>
      <c r="D592" s="203"/>
      <c r="E592" s="221"/>
      <c r="F592" s="208"/>
      <c r="G592" s="205"/>
      <c r="H592" s="205"/>
      <c r="I592" s="221"/>
      <c r="J592" s="208"/>
      <c r="K592" s="205"/>
      <c r="M592" s="260"/>
      <c r="N592" s="260"/>
      <c r="O592" s="204"/>
      <c r="Q592" s="3" t="s">
        <v>430</v>
      </c>
      <c r="R592" s="81">
        <f>SUM(H582:H597)</f>
        <v>1668109</v>
      </c>
      <c r="S592" s="81">
        <f>SUM(K582:K597)</f>
        <v>1828655</v>
      </c>
      <c r="T592" s="103">
        <v>2708270.4985879958</v>
      </c>
      <c r="U592" s="128">
        <f>S592/T592</f>
        <v>0.67521135756321282</v>
      </c>
    </row>
    <row r="593" spans="1:21">
      <c r="A593" s="193" t="s">
        <v>440</v>
      </c>
      <c r="B593" s="1"/>
      <c r="C593" s="203">
        <f t="shared" ref="C593:D597" si="51">C644+C695</f>
        <v>53610</v>
      </c>
      <c r="D593" s="203">
        <f t="shared" si="51"/>
        <v>49068</v>
      </c>
      <c r="E593" s="221">
        <f>E591</f>
        <v>18.149999999999999</v>
      </c>
      <c r="F593" s="208"/>
      <c r="G593" s="205">
        <f t="shared" ref="G593:H597" si="52">G644+G695</f>
        <v>973021</v>
      </c>
      <c r="H593" s="205">
        <f t="shared" si="52"/>
        <v>890585</v>
      </c>
      <c r="I593" s="221">
        <f>I591</f>
        <v>19.87</v>
      </c>
      <c r="J593" s="208"/>
      <c r="K593" s="205">
        <f>K644+K695</f>
        <v>974981</v>
      </c>
      <c r="M593" s="81">
        <f>I593*D593</f>
        <v>974981.16</v>
      </c>
      <c r="N593" s="128"/>
      <c r="O593" s="14">
        <f>(I593-E593)/E593</f>
        <v>9.4765840220385811E-2</v>
      </c>
      <c r="Q593" s="3" t="s">
        <v>447</v>
      </c>
      <c r="R593" s="81">
        <f>H602</f>
        <v>7542243</v>
      </c>
      <c r="S593" s="81">
        <f>K602</f>
        <v>8116487</v>
      </c>
      <c r="T593" s="103">
        <v>8051434.7234117109</v>
      </c>
      <c r="U593" s="128">
        <f>S593/T593</f>
        <v>1.0080795881508089</v>
      </c>
    </row>
    <row r="594" spans="1:21">
      <c r="A594" s="193" t="s">
        <v>441</v>
      </c>
      <c r="B594" s="1"/>
      <c r="C594" s="203">
        <f t="shared" si="51"/>
        <v>37992</v>
      </c>
      <c r="D594" s="203">
        <f t="shared" si="51"/>
        <v>34737</v>
      </c>
      <c r="E594" s="221">
        <v>12.4</v>
      </c>
      <c r="F594" s="208"/>
      <c r="G594" s="205">
        <f t="shared" si="52"/>
        <v>471100</v>
      </c>
      <c r="H594" s="205">
        <f t="shared" si="52"/>
        <v>430738</v>
      </c>
      <c r="I594" s="221">
        <v>13.64</v>
      </c>
      <c r="J594" s="208"/>
      <c r="K594" s="205">
        <f>K645+K696</f>
        <v>473813</v>
      </c>
      <c r="M594" s="81">
        <f>I594*D594</f>
        <v>473812.68</v>
      </c>
      <c r="N594" s="128"/>
      <c r="O594" s="14">
        <f>(I594-E594)/E594</f>
        <v>0.10000000000000002</v>
      </c>
      <c r="R594" s="81"/>
      <c r="S594" s="81"/>
      <c r="T594" s="103"/>
      <c r="U594" s="128"/>
    </row>
    <row r="595" spans="1:21">
      <c r="A595" s="193" t="s">
        <v>442</v>
      </c>
      <c r="B595" s="1"/>
      <c r="C595" s="203">
        <f t="shared" si="51"/>
        <v>4634</v>
      </c>
      <c r="D595" s="203">
        <f t="shared" si="51"/>
        <v>4281</v>
      </c>
      <c r="E595" s="221">
        <v>9.65</v>
      </c>
      <c r="F595" s="208"/>
      <c r="G595" s="205">
        <f t="shared" si="52"/>
        <v>44718</v>
      </c>
      <c r="H595" s="205">
        <f t="shared" si="52"/>
        <v>41312</v>
      </c>
      <c r="I595" s="221">
        <v>10.62</v>
      </c>
      <c r="J595" s="208"/>
      <c r="K595" s="205">
        <f>K646+K697</f>
        <v>45464</v>
      </c>
      <c r="M595" s="81">
        <f>I595*D595</f>
        <v>45464.219999999994</v>
      </c>
      <c r="N595" s="128"/>
      <c r="O595" s="14">
        <f>(I595-E595)/E595</f>
        <v>0.10051813471502578</v>
      </c>
    </row>
    <row r="596" spans="1:21">
      <c r="A596" s="193" t="s">
        <v>448</v>
      </c>
      <c r="B596" s="1"/>
      <c r="C596" s="203">
        <f t="shared" si="51"/>
        <v>402</v>
      </c>
      <c r="D596" s="203">
        <f t="shared" si="51"/>
        <v>368</v>
      </c>
      <c r="E596" s="221">
        <v>54.45</v>
      </c>
      <c r="F596" s="208"/>
      <c r="G596" s="205">
        <f t="shared" si="52"/>
        <v>21889</v>
      </c>
      <c r="H596" s="205">
        <f t="shared" si="52"/>
        <v>20037</v>
      </c>
      <c r="I596" s="221">
        <f>I591*3</f>
        <v>59.61</v>
      </c>
      <c r="J596" s="208"/>
      <c r="K596" s="205">
        <f>K647+K698</f>
        <v>21936</v>
      </c>
      <c r="M596" s="81">
        <f>I596*D596</f>
        <v>21936.48</v>
      </c>
      <c r="N596" s="128"/>
      <c r="O596" s="14">
        <f>(I596-E596)/E596</f>
        <v>9.4765840220385603E-2</v>
      </c>
    </row>
    <row r="597" spans="1:21">
      <c r="A597" s="193" t="s">
        <v>449</v>
      </c>
      <c r="B597" s="1"/>
      <c r="C597" s="203">
        <f t="shared" si="51"/>
        <v>960</v>
      </c>
      <c r="D597" s="203">
        <f t="shared" si="51"/>
        <v>876</v>
      </c>
      <c r="E597" s="221">
        <v>108.9</v>
      </c>
      <c r="F597" s="208"/>
      <c r="G597" s="205">
        <f t="shared" si="52"/>
        <v>104544</v>
      </c>
      <c r="H597" s="205">
        <f t="shared" si="52"/>
        <v>95396</v>
      </c>
      <c r="I597" s="221">
        <f>I591*6</f>
        <v>119.22</v>
      </c>
      <c r="J597" s="208"/>
      <c r="K597" s="205">
        <f>K648+K699</f>
        <v>104436</v>
      </c>
      <c r="M597" s="81">
        <f>I597*D597</f>
        <v>104436.72</v>
      </c>
      <c r="N597" s="128"/>
      <c r="O597" s="14">
        <f>(I597-E597)/E597</f>
        <v>9.4765840220385603E-2</v>
      </c>
    </row>
    <row r="598" spans="1:21">
      <c r="A598" s="193" t="s">
        <v>450</v>
      </c>
      <c r="B598" s="1"/>
      <c r="C598" s="203"/>
      <c r="D598" s="203"/>
      <c r="E598" s="221"/>
      <c r="F598" s="208"/>
      <c r="G598" s="205"/>
      <c r="H598" s="205"/>
      <c r="I598" s="221"/>
      <c r="J598" s="208"/>
      <c r="K598" s="205"/>
      <c r="M598" s="66"/>
      <c r="N598" s="66"/>
      <c r="O598" s="3"/>
    </row>
    <row r="599" spans="1:21">
      <c r="A599" s="193" t="s">
        <v>445</v>
      </c>
      <c r="B599" s="1"/>
      <c r="C599" s="203">
        <f>C650+C701</f>
        <v>566</v>
      </c>
      <c r="D599" s="203">
        <f>D650+D701</f>
        <v>518</v>
      </c>
      <c r="E599" s="247">
        <f>-E591</f>
        <v>-18.149999999999999</v>
      </c>
      <c r="F599" s="208"/>
      <c r="G599" s="205">
        <f>G650+G701</f>
        <v>-10273</v>
      </c>
      <c r="H599" s="205">
        <f>H650+H701</f>
        <v>-9402</v>
      </c>
      <c r="I599" s="247">
        <f>-I591</f>
        <v>-19.87</v>
      </c>
      <c r="J599" s="208"/>
      <c r="K599" s="205">
        <f>K650+K701</f>
        <v>-10293</v>
      </c>
      <c r="M599" s="81">
        <f>I599*D599</f>
        <v>-10292.66</v>
      </c>
      <c r="N599" s="66"/>
      <c r="O599" s="3"/>
    </row>
    <row r="600" spans="1:21">
      <c r="A600" s="193" t="s">
        <v>451</v>
      </c>
      <c r="B600" s="1"/>
      <c r="C600" s="203">
        <f>C651+C702</f>
        <v>2194</v>
      </c>
      <c r="D600" s="203">
        <f>D651+D702</f>
        <v>2004</v>
      </c>
      <c r="E600" s="247">
        <f>-E593</f>
        <v>-18.149999999999999</v>
      </c>
      <c r="F600" s="208"/>
      <c r="G600" s="205">
        <f>G651+G702</f>
        <v>-39821</v>
      </c>
      <c r="H600" s="205">
        <f>H651+H702</f>
        <v>-36373</v>
      </c>
      <c r="I600" s="247">
        <f>-I593</f>
        <v>-19.87</v>
      </c>
      <c r="J600" s="208"/>
      <c r="K600" s="205">
        <f>K651+K702</f>
        <v>-39820</v>
      </c>
      <c r="M600" s="81">
        <f>I600*D600</f>
        <v>-39819.480000000003</v>
      </c>
      <c r="N600" s="66"/>
      <c r="O600" s="3"/>
    </row>
    <row r="601" spans="1:21">
      <c r="A601" s="207" t="s">
        <v>414</v>
      </c>
      <c r="B601" s="1"/>
      <c r="C601" s="203"/>
      <c r="D601" s="203"/>
      <c r="E601" s="221"/>
      <c r="F601" s="205"/>
      <c r="G601" s="205"/>
      <c r="H601" s="205"/>
      <c r="I601" s="221"/>
      <c r="J601" s="205"/>
      <c r="K601" s="205"/>
      <c r="M601" s="66"/>
      <c r="N601" s="66"/>
      <c r="O601" s="3"/>
      <c r="Q601" s="3" t="s">
        <v>31</v>
      </c>
    </row>
    <row r="602" spans="1:21">
      <c r="A602" s="193" t="s">
        <v>452</v>
      </c>
      <c r="B602" s="1"/>
      <c r="C602" s="203">
        <f>C653+C704</f>
        <v>165066044</v>
      </c>
      <c r="D602" s="203">
        <f>D653+D704</f>
        <v>151116862</v>
      </c>
      <c r="E602" s="266">
        <v>4.9909999999999997</v>
      </c>
      <c r="F602" s="205" t="s">
        <v>362</v>
      </c>
      <c r="G602" s="205">
        <f>G653+G704</f>
        <v>8238447</v>
      </c>
      <c r="H602" s="205">
        <f>H653+H704</f>
        <v>7542243</v>
      </c>
      <c r="I602" s="267">
        <v>5.3710000000000004</v>
      </c>
      <c r="J602" s="205" t="s">
        <v>362</v>
      </c>
      <c r="K602" s="205">
        <f>K653+K704</f>
        <v>8116487</v>
      </c>
      <c r="M602" s="81">
        <f>(I602/100)*D602</f>
        <v>8116486.6580200009</v>
      </c>
      <c r="N602" s="128"/>
      <c r="O602" s="14">
        <f>(I602-E602)/E602</f>
        <v>7.6137046684031415E-2</v>
      </c>
    </row>
    <row r="603" spans="1:21">
      <c r="A603" s="207" t="s">
        <v>388</v>
      </c>
      <c r="B603" s="1"/>
      <c r="C603" s="203">
        <f>C654+C705</f>
        <v>28780</v>
      </c>
      <c r="D603" s="203">
        <f>D654+D705</f>
        <v>26281</v>
      </c>
      <c r="E603" s="223">
        <v>45</v>
      </c>
      <c r="F603" s="207" t="s">
        <v>362</v>
      </c>
      <c r="G603" s="205">
        <f>G654+G705</f>
        <v>12951</v>
      </c>
      <c r="H603" s="205">
        <f>H654+H705</f>
        <v>11826</v>
      </c>
      <c r="I603" s="223">
        <v>45</v>
      </c>
      <c r="J603" s="207" t="s">
        <v>362</v>
      </c>
      <c r="K603" s="205">
        <f>K654+K705</f>
        <v>11826</v>
      </c>
      <c r="M603" s="81">
        <f>(I603/100)*D603</f>
        <v>11826.45</v>
      </c>
      <c r="N603" s="128"/>
      <c r="O603" s="14">
        <f>(I603-E603)/E603</f>
        <v>0</v>
      </c>
    </row>
    <row r="604" spans="1:21">
      <c r="A604" s="244" t="s">
        <v>389</v>
      </c>
      <c r="B604" s="1"/>
      <c r="C604" s="203"/>
      <c r="D604" s="203"/>
      <c r="E604" s="216">
        <v>-0.01</v>
      </c>
      <c r="F604" s="2"/>
      <c r="G604" s="205"/>
      <c r="H604" s="205"/>
      <c r="I604" s="216">
        <v>-0.01</v>
      </c>
      <c r="J604" s="1"/>
      <c r="K604" s="205"/>
    </row>
    <row r="605" spans="1:21">
      <c r="A605" s="193" t="s">
        <v>378</v>
      </c>
      <c r="B605" s="1"/>
      <c r="C605" s="203">
        <f>C656+C707</f>
        <v>0</v>
      </c>
      <c r="D605" s="203">
        <f>D656+D707</f>
        <v>0</v>
      </c>
      <c r="E605" s="268">
        <f>E582</f>
        <v>0</v>
      </c>
      <c r="F605" s="208"/>
      <c r="G605" s="205">
        <f>G656+G707</f>
        <v>0</v>
      </c>
      <c r="H605" s="205">
        <f>H656+H707</f>
        <v>0</v>
      </c>
      <c r="I605" s="268">
        <f>I582</f>
        <v>0</v>
      </c>
      <c r="J605" s="208"/>
      <c r="K605" s="205">
        <f>K656+K707</f>
        <v>0</v>
      </c>
      <c r="M605" s="81">
        <f>-(I605/100)*D605</f>
        <v>0</v>
      </c>
    </row>
    <row r="606" spans="1:21">
      <c r="A606" s="193" t="s">
        <v>379</v>
      </c>
      <c r="B606" s="1"/>
      <c r="C606" s="203"/>
      <c r="D606" s="203"/>
      <c r="E606" s="268"/>
      <c r="F606" s="208"/>
      <c r="G606" s="205"/>
      <c r="H606" s="205"/>
      <c r="I606" s="268"/>
      <c r="J606" s="208"/>
      <c r="K606" s="205"/>
    </row>
    <row r="607" spans="1:21">
      <c r="A607" s="193" t="s">
        <v>440</v>
      </c>
      <c r="B607" s="1"/>
      <c r="C607" s="203">
        <f t="shared" ref="C607:D610" si="53">C658+C709</f>
        <v>1</v>
      </c>
      <c r="D607" s="203">
        <f t="shared" si="53"/>
        <v>1</v>
      </c>
      <c r="E607" s="268">
        <f>E584</f>
        <v>0</v>
      </c>
      <c r="F607" s="208"/>
      <c r="G607" s="205">
        <f t="shared" ref="G607:H610" si="54">G658+G709</f>
        <v>0</v>
      </c>
      <c r="H607" s="205">
        <f t="shared" si="54"/>
        <v>0</v>
      </c>
      <c r="I607" s="268">
        <f>I584</f>
        <v>0</v>
      </c>
      <c r="J607" s="208"/>
      <c r="K607" s="205">
        <f>K658+K709</f>
        <v>0</v>
      </c>
      <c r="M607" s="81">
        <f>-(I607/100)*D607</f>
        <v>0</v>
      </c>
    </row>
    <row r="608" spans="1:21">
      <c r="A608" s="193" t="s">
        <v>441</v>
      </c>
      <c r="B608" s="1"/>
      <c r="C608" s="203">
        <f t="shared" si="53"/>
        <v>0</v>
      </c>
      <c r="D608" s="203">
        <f t="shared" si="53"/>
        <v>0</v>
      </c>
      <c r="E608" s="268">
        <f>E585</f>
        <v>275</v>
      </c>
      <c r="F608" s="208"/>
      <c r="G608" s="205">
        <f t="shared" si="54"/>
        <v>0</v>
      </c>
      <c r="H608" s="205">
        <f t="shared" si="54"/>
        <v>0</v>
      </c>
      <c r="I608" s="268">
        <f>I585</f>
        <v>301</v>
      </c>
      <c r="J608" s="208"/>
      <c r="K608" s="205">
        <f>K659+K710</f>
        <v>0</v>
      </c>
      <c r="M608" s="81">
        <f>-(I608/100)*D608</f>
        <v>0</v>
      </c>
    </row>
    <row r="609" spans="1:13">
      <c r="A609" s="193" t="s">
        <v>442</v>
      </c>
      <c r="B609" s="1"/>
      <c r="C609" s="203">
        <f t="shared" si="53"/>
        <v>0</v>
      </c>
      <c r="D609" s="203">
        <f t="shared" si="53"/>
        <v>0</v>
      </c>
      <c r="E609" s="268">
        <f>E586</f>
        <v>1110</v>
      </c>
      <c r="F609" s="208"/>
      <c r="G609" s="205">
        <f t="shared" si="54"/>
        <v>0</v>
      </c>
      <c r="H609" s="205">
        <f t="shared" si="54"/>
        <v>0</v>
      </c>
      <c r="I609" s="268">
        <f>I586</f>
        <v>1215</v>
      </c>
      <c r="J609" s="208"/>
      <c r="K609" s="205">
        <f>K660+K711</f>
        <v>0</v>
      </c>
      <c r="M609" s="81">
        <f>-(I609/100)*D609</f>
        <v>0</v>
      </c>
    </row>
    <row r="610" spans="1:13">
      <c r="A610" s="193" t="s">
        <v>378</v>
      </c>
      <c r="B610" s="1"/>
      <c r="C610" s="203">
        <f t="shared" si="53"/>
        <v>0</v>
      </c>
      <c r="D610" s="203">
        <f t="shared" si="53"/>
        <v>0</v>
      </c>
      <c r="E610" s="268">
        <f>E591</f>
        <v>18.149999999999999</v>
      </c>
      <c r="F610" s="208"/>
      <c r="G610" s="205">
        <f t="shared" si="54"/>
        <v>0</v>
      </c>
      <c r="H610" s="205">
        <f t="shared" si="54"/>
        <v>0</v>
      </c>
      <c r="I610" s="268">
        <f>I591</f>
        <v>19.87</v>
      </c>
      <c r="J610" s="208"/>
      <c r="K610" s="205">
        <f>K661+K712</f>
        <v>0</v>
      </c>
      <c r="M610" s="81">
        <f>-(I610/100)*D610</f>
        <v>0</v>
      </c>
    </row>
    <row r="611" spans="1:13">
      <c r="A611" s="193" t="s">
        <v>379</v>
      </c>
      <c r="B611" s="1"/>
      <c r="C611" s="203"/>
      <c r="D611" s="203"/>
      <c r="E611" s="268"/>
      <c r="F611" s="208"/>
      <c r="G611" s="205"/>
      <c r="H611" s="205"/>
      <c r="I611" s="268"/>
      <c r="J611" s="208"/>
      <c r="K611" s="205"/>
    </row>
    <row r="612" spans="1:13">
      <c r="A612" s="193" t="s">
        <v>440</v>
      </c>
      <c r="B612" s="1"/>
      <c r="C612" s="203">
        <f t="shared" ref="C612:D616" si="55">C663+C714</f>
        <v>40</v>
      </c>
      <c r="D612" s="203">
        <f t="shared" si="55"/>
        <v>39</v>
      </c>
      <c r="E612" s="268">
        <f>E593</f>
        <v>18.149999999999999</v>
      </c>
      <c r="F612" s="208"/>
      <c r="G612" s="205">
        <f t="shared" ref="G612:H616" si="56">G663+G714</f>
        <v>-7</v>
      </c>
      <c r="H612" s="205">
        <f t="shared" si="56"/>
        <v>-7</v>
      </c>
      <c r="I612" s="268">
        <f>I593</f>
        <v>19.87</v>
      </c>
      <c r="J612" s="208"/>
      <c r="K612" s="205">
        <f>K663+K714</f>
        <v>-8</v>
      </c>
      <c r="M612" s="81">
        <f>-(I612/100)*D612</f>
        <v>-7.7493000000000007</v>
      </c>
    </row>
    <row r="613" spans="1:13">
      <c r="A613" s="193" t="s">
        <v>441</v>
      </c>
      <c r="B613" s="1"/>
      <c r="C613" s="203">
        <f t="shared" si="55"/>
        <v>0</v>
      </c>
      <c r="D613" s="203">
        <f t="shared" si="55"/>
        <v>0</v>
      </c>
      <c r="E613" s="268">
        <f>E594</f>
        <v>12.4</v>
      </c>
      <c r="F613" s="208"/>
      <c r="G613" s="205">
        <f t="shared" si="56"/>
        <v>0</v>
      </c>
      <c r="H613" s="205">
        <f t="shared" si="56"/>
        <v>0</v>
      </c>
      <c r="I613" s="268">
        <f>I594</f>
        <v>13.64</v>
      </c>
      <c r="J613" s="208"/>
      <c r="K613" s="205">
        <f>K664+K715</f>
        <v>0</v>
      </c>
      <c r="M613" s="81">
        <f>-(I613/100)*D613</f>
        <v>0</v>
      </c>
    </row>
    <row r="614" spans="1:13">
      <c r="A614" s="193" t="s">
        <v>442</v>
      </c>
      <c r="B614" s="1"/>
      <c r="C614" s="203">
        <f t="shared" si="55"/>
        <v>0</v>
      </c>
      <c r="D614" s="203">
        <f t="shared" si="55"/>
        <v>0</v>
      </c>
      <c r="E614" s="268">
        <f>E595</f>
        <v>9.65</v>
      </c>
      <c r="F614" s="208"/>
      <c r="G614" s="205">
        <f t="shared" si="56"/>
        <v>0</v>
      </c>
      <c r="H614" s="205">
        <f t="shared" si="56"/>
        <v>0</v>
      </c>
      <c r="I614" s="268">
        <f>I595</f>
        <v>10.62</v>
      </c>
      <c r="J614" s="208"/>
      <c r="K614" s="205">
        <f>K665+K716</f>
        <v>0</v>
      </c>
      <c r="M614" s="81">
        <f>-(I614/100)*D614</f>
        <v>0</v>
      </c>
    </row>
    <row r="615" spans="1:13">
      <c r="A615" s="193" t="s">
        <v>453</v>
      </c>
      <c r="B615" s="1"/>
      <c r="C615" s="203">
        <f t="shared" si="55"/>
        <v>0</v>
      </c>
      <c r="D615" s="203">
        <f t="shared" si="55"/>
        <v>0</v>
      </c>
      <c r="E615" s="237">
        <f>E596</f>
        <v>54.45</v>
      </c>
      <c r="F615" s="208"/>
      <c r="G615" s="205">
        <f t="shared" si="56"/>
        <v>0</v>
      </c>
      <c r="H615" s="205">
        <f t="shared" si="56"/>
        <v>0</v>
      </c>
      <c r="I615" s="237">
        <f>I596</f>
        <v>59.61</v>
      </c>
      <c r="J615" s="208"/>
      <c r="K615" s="205">
        <f>K666+K717</f>
        <v>0</v>
      </c>
      <c r="M615" s="81">
        <f>-(I615/100)*D615</f>
        <v>0</v>
      </c>
    </row>
    <row r="616" spans="1:13">
      <c r="A616" s="193" t="s">
        <v>454</v>
      </c>
      <c r="B616" s="1"/>
      <c r="C616" s="203">
        <f t="shared" si="55"/>
        <v>0</v>
      </c>
      <c r="D616" s="203">
        <f t="shared" si="55"/>
        <v>0</v>
      </c>
      <c r="E616" s="237">
        <f>E597</f>
        <v>108.9</v>
      </c>
      <c r="F616" s="208"/>
      <c r="G616" s="205">
        <f t="shared" si="56"/>
        <v>0</v>
      </c>
      <c r="H616" s="205">
        <f t="shared" si="56"/>
        <v>0</v>
      </c>
      <c r="I616" s="237">
        <f>I597</f>
        <v>119.22</v>
      </c>
      <c r="J616" s="208"/>
      <c r="K616" s="205">
        <f>K667+K718</f>
        <v>0</v>
      </c>
      <c r="M616" s="81">
        <f>-(I616/100)*D616</f>
        <v>0</v>
      </c>
    </row>
    <row r="617" spans="1:13">
      <c r="A617" s="193" t="s">
        <v>450</v>
      </c>
      <c r="B617" s="1"/>
      <c r="C617" s="203"/>
      <c r="D617" s="203"/>
      <c r="E617" s="221"/>
      <c r="F617" s="208"/>
      <c r="G617" s="205"/>
      <c r="H617" s="205"/>
      <c r="I617" s="221"/>
      <c r="J617" s="208"/>
      <c r="K617" s="205"/>
    </row>
    <row r="618" spans="1:13">
      <c r="A618" s="193" t="s">
        <v>445</v>
      </c>
      <c r="B618" s="1"/>
      <c r="C618" s="203">
        <f>C669+C720</f>
        <v>0</v>
      </c>
      <c r="D618" s="203">
        <f>D669+D720</f>
        <v>0</v>
      </c>
      <c r="E618" s="247">
        <f>E599</f>
        <v>-18.149999999999999</v>
      </c>
      <c r="F618" s="208"/>
      <c r="G618" s="205">
        <f>G669+G720</f>
        <v>0</v>
      </c>
      <c r="H618" s="205">
        <f>H669+H720</f>
        <v>0</v>
      </c>
      <c r="I618" s="247">
        <f>I599</f>
        <v>-19.87</v>
      </c>
      <c r="J618" s="208"/>
      <c r="K618" s="205">
        <f>K669+K720</f>
        <v>0</v>
      </c>
      <c r="M618" s="81">
        <f>-(I618/100)*D618</f>
        <v>0</v>
      </c>
    </row>
    <row r="619" spans="1:13">
      <c r="A619" s="193" t="s">
        <v>451</v>
      </c>
      <c r="B619" s="1"/>
      <c r="C619" s="203">
        <f>C670+C721</f>
        <v>0</v>
      </c>
      <c r="D619" s="203">
        <f>D670+D721</f>
        <v>0</v>
      </c>
      <c r="E619" s="247">
        <f>E600</f>
        <v>-18.149999999999999</v>
      </c>
      <c r="F619" s="208"/>
      <c r="G619" s="205">
        <f>G670+G721</f>
        <v>0</v>
      </c>
      <c r="H619" s="205">
        <f>H670+H721</f>
        <v>0</v>
      </c>
      <c r="I619" s="247">
        <f>I600</f>
        <v>-19.87</v>
      </c>
      <c r="J619" s="208"/>
      <c r="K619" s="205">
        <f>K670+K721</f>
        <v>0</v>
      </c>
      <c r="M619" s="81">
        <f>-(I619/100)*D619</f>
        <v>0</v>
      </c>
    </row>
    <row r="620" spans="1:13">
      <c r="A620" s="207" t="s">
        <v>414</v>
      </c>
      <c r="B620" s="1"/>
      <c r="C620" s="203"/>
      <c r="D620" s="203"/>
      <c r="E620" s="268"/>
      <c r="F620" s="205"/>
      <c r="G620" s="205"/>
      <c r="H620" s="205"/>
      <c r="I620" s="268"/>
      <c r="J620" s="205"/>
      <c r="K620" s="205"/>
    </row>
    <row r="621" spans="1:13">
      <c r="A621" s="193" t="s">
        <v>452</v>
      </c>
      <c r="B621" s="1"/>
      <c r="C621" s="203">
        <f t="shared" ref="C621:D626" si="57">C672+C723</f>
        <v>38079</v>
      </c>
      <c r="D621" s="203">
        <f t="shared" si="57"/>
        <v>36727</v>
      </c>
      <c r="E621" s="269">
        <f>E602</f>
        <v>4.9909999999999997</v>
      </c>
      <c r="F621" s="205" t="s">
        <v>362</v>
      </c>
      <c r="G621" s="205">
        <f t="shared" ref="G621:H626" si="58">G672+G723</f>
        <v>-19</v>
      </c>
      <c r="H621" s="205">
        <f t="shared" si="58"/>
        <v>-18</v>
      </c>
      <c r="I621" s="269">
        <f>I602</f>
        <v>5.3710000000000004</v>
      </c>
      <c r="J621" s="205" t="s">
        <v>362</v>
      </c>
      <c r="K621" s="205">
        <f t="shared" ref="K621:K626" si="59">K672+K723</f>
        <v>-20</v>
      </c>
      <c r="M621" s="81">
        <f>-((I621/100)*D621)/100</f>
        <v>-19.726071700000002</v>
      </c>
    </row>
    <row r="622" spans="1:13">
      <c r="A622" s="207" t="s">
        <v>388</v>
      </c>
      <c r="B622" s="1"/>
      <c r="C622" s="203">
        <f t="shared" si="57"/>
        <v>0</v>
      </c>
      <c r="D622" s="203">
        <f t="shared" si="57"/>
        <v>0</v>
      </c>
      <c r="E622" s="259">
        <f>E603</f>
        <v>45</v>
      </c>
      <c r="F622" s="205" t="s">
        <v>362</v>
      </c>
      <c r="G622" s="205">
        <f t="shared" si="58"/>
        <v>0</v>
      </c>
      <c r="H622" s="205">
        <f t="shared" si="58"/>
        <v>0</v>
      </c>
      <c r="I622" s="259">
        <f>I603</f>
        <v>45</v>
      </c>
      <c r="J622" s="207" t="s">
        <v>362</v>
      </c>
      <c r="K622" s="205">
        <f t="shared" si="59"/>
        <v>0</v>
      </c>
      <c r="M622" s="81">
        <f>-((I622/100)*D622)/100</f>
        <v>0</v>
      </c>
    </row>
    <row r="623" spans="1:13">
      <c r="A623" s="207" t="s">
        <v>431</v>
      </c>
      <c r="B623" s="1"/>
      <c r="C623" s="203">
        <f t="shared" si="57"/>
        <v>12</v>
      </c>
      <c r="D623" s="203">
        <f t="shared" si="57"/>
        <v>13</v>
      </c>
      <c r="E623" s="182">
        <v>60</v>
      </c>
      <c r="F623" s="248" t="s">
        <v>31</v>
      </c>
      <c r="G623" s="205">
        <f t="shared" si="58"/>
        <v>720</v>
      </c>
      <c r="H623" s="205">
        <f t="shared" si="58"/>
        <v>780</v>
      </c>
      <c r="I623" s="182">
        <v>60</v>
      </c>
      <c r="J623" s="1"/>
      <c r="K623" s="205">
        <f t="shared" si="59"/>
        <v>780</v>
      </c>
      <c r="M623" s="81">
        <f>I623*D623</f>
        <v>780</v>
      </c>
    </row>
    <row r="624" spans="1:13">
      <c r="A624" s="207" t="s">
        <v>432</v>
      </c>
      <c r="B624" s="1"/>
      <c r="C624" s="203">
        <f t="shared" si="57"/>
        <v>280</v>
      </c>
      <c r="D624" s="203">
        <f t="shared" si="57"/>
        <v>270</v>
      </c>
      <c r="E624" s="223">
        <v>-30</v>
      </c>
      <c r="F624" s="205" t="s">
        <v>362</v>
      </c>
      <c r="G624" s="205">
        <f t="shared" si="58"/>
        <v>-84</v>
      </c>
      <c r="H624" s="205">
        <f t="shared" si="58"/>
        <v>-81</v>
      </c>
      <c r="I624" s="223">
        <v>-30</v>
      </c>
      <c r="J624" s="205" t="s">
        <v>362</v>
      </c>
      <c r="K624" s="205">
        <f t="shared" si="59"/>
        <v>-81</v>
      </c>
      <c r="M624" s="81">
        <f>(I624/100)*D624</f>
        <v>-81</v>
      </c>
    </row>
    <row r="625" spans="1:16">
      <c r="A625" s="1" t="s">
        <v>369</v>
      </c>
      <c r="B625" s="1"/>
      <c r="C625" s="203">
        <f t="shared" si="57"/>
        <v>165066044</v>
      </c>
      <c r="D625" s="203">
        <f t="shared" si="57"/>
        <v>151116862.53785235</v>
      </c>
      <c r="E625" s="214"/>
      <c r="F625" s="2"/>
      <c r="G625" s="2">
        <f t="shared" si="58"/>
        <v>10012337</v>
      </c>
      <c r="H625" s="2">
        <f t="shared" si="58"/>
        <v>9177077</v>
      </c>
      <c r="I625" s="2"/>
      <c r="J625" s="207"/>
      <c r="K625" s="2">
        <f t="shared" si="59"/>
        <v>9907526</v>
      </c>
      <c r="M625" s="81">
        <f>SUM(M582:M624)</f>
        <v>9907528.0426483005</v>
      </c>
      <c r="P625" s="160"/>
    </row>
    <row r="626" spans="1:16">
      <c r="A626" s="1" t="s">
        <v>351</v>
      </c>
      <c r="B626" s="1"/>
      <c r="C626" s="224">
        <f t="shared" si="57"/>
        <v>2967000</v>
      </c>
      <c r="D626" s="224">
        <f t="shared" si="57"/>
        <v>0</v>
      </c>
      <c r="E626" s="193"/>
      <c r="F626" s="193"/>
      <c r="G626" s="194">
        <f t="shared" si="58"/>
        <v>128000.00000000003</v>
      </c>
      <c r="H626" s="194">
        <f t="shared" si="58"/>
        <v>0</v>
      </c>
      <c r="I626" s="193"/>
      <c r="J626" s="193"/>
      <c r="K626" s="194">
        <f t="shared" si="59"/>
        <v>0</v>
      </c>
    </row>
    <row r="627" spans="1:16" ht="16.5" thickBot="1">
      <c r="A627" s="1" t="s">
        <v>370</v>
      </c>
      <c r="B627" s="1"/>
      <c r="C627" s="250">
        <f>SUM(C625:C626)</f>
        <v>168033044</v>
      </c>
      <c r="D627" s="250">
        <f>SUM(D625:D626)</f>
        <v>151116862.53785235</v>
      </c>
      <c r="E627" s="226"/>
      <c r="F627" s="227"/>
      <c r="G627" s="228">
        <f>G625+G626</f>
        <v>10140337</v>
      </c>
      <c r="H627" s="228">
        <f>H625+H626</f>
        <v>9177077</v>
      </c>
      <c r="I627" s="226"/>
      <c r="J627" s="229"/>
      <c r="K627" s="228">
        <f>K625+K626</f>
        <v>9907526</v>
      </c>
      <c r="N627" s="3" t="s">
        <v>352</v>
      </c>
      <c r="O627" s="66" t="e">
        <f>#REF!*1000</f>
        <v>#REF!</v>
      </c>
    </row>
    <row r="628" spans="1:16" ht="16.5" thickTop="1">
      <c r="A628" s="1"/>
      <c r="B628" s="1"/>
      <c r="C628" s="25"/>
      <c r="D628" s="25"/>
      <c r="E628" s="235"/>
      <c r="F628" s="236"/>
      <c r="G628" s="206"/>
      <c r="H628" s="206"/>
      <c r="I628" s="270" t="s">
        <v>31</v>
      </c>
      <c r="J628" s="23"/>
      <c r="K628" s="156" t="s">
        <v>31</v>
      </c>
      <c r="N628" s="3" t="s">
        <v>256</v>
      </c>
      <c r="O628" s="66" t="e">
        <f>O627-K627</f>
        <v>#REF!</v>
      </c>
      <c r="P628" s="198" t="e">
        <f>(O627-K627)/(K627-K603-K623-K624)</f>
        <v>#REF!</v>
      </c>
    </row>
    <row r="629" spans="1:16">
      <c r="A629" s="177" t="s">
        <v>435</v>
      </c>
      <c r="B629" s="1"/>
      <c r="C629" s="21"/>
      <c r="D629" s="21"/>
      <c r="E629" s="221"/>
      <c r="F629" s="2"/>
      <c r="G629" s="2"/>
      <c r="H629" s="2"/>
      <c r="I629" s="221"/>
      <c r="J629" s="1"/>
      <c r="K629" s="2"/>
    </row>
    <row r="630" spans="1:16">
      <c r="A630" s="193" t="s">
        <v>189</v>
      </c>
      <c r="B630" s="1"/>
      <c r="C630" s="21"/>
      <c r="D630" s="21"/>
      <c r="E630" s="221"/>
      <c r="F630" s="2"/>
      <c r="G630" s="2"/>
      <c r="H630" s="2"/>
      <c r="I630" s="221"/>
      <c r="J630" s="1"/>
      <c r="K630" s="2"/>
      <c r="M630" s="81">
        <f>K627-H627</f>
        <v>730449</v>
      </c>
      <c r="N630" s="81"/>
      <c r="O630" s="230" t="e">
        <f>O628/(K585+K586+K591+K593+K594+K595+K596+K597+K599+K600)</f>
        <v>#REF!</v>
      </c>
      <c r="P630" s="128"/>
    </row>
    <row r="631" spans="1:16">
      <c r="A631" s="207"/>
      <c r="B631" s="1"/>
      <c r="C631" s="21"/>
      <c r="D631" s="21"/>
      <c r="E631" s="221"/>
      <c r="F631" s="2"/>
      <c r="G631" s="264"/>
      <c r="H631" s="264"/>
      <c r="I631" s="221"/>
      <c r="J631" s="1"/>
      <c r="K631" s="265"/>
      <c r="M631" s="213"/>
      <c r="N631" s="178">
        <v>0.46249872649158752</v>
      </c>
    </row>
    <row r="632" spans="1:16">
      <c r="A632" s="193" t="s">
        <v>437</v>
      </c>
      <c r="B632" s="1"/>
      <c r="C632" s="203"/>
      <c r="D632" s="203"/>
      <c r="E632" s="2" t="s">
        <v>31</v>
      </c>
      <c r="F632" s="2"/>
      <c r="G632" s="1"/>
      <c r="H632" s="1"/>
      <c r="I632" s="2" t="s">
        <v>31</v>
      </c>
      <c r="J632" s="1"/>
      <c r="K632" s="1"/>
    </row>
    <row r="633" spans="1:16">
      <c r="A633" s="193" t="s">
        <v>438</v>
      </c>
      <c r="B633" s="1"/>
      <c r="C633" s="203">
        <f>895</f>
        <v>895</v>
      </c>
      <c r="D633" s="203">
        <v>894</v>
      </c>
      <c r="E633" s="221">
        <v>0</v>
      </c>
      <c r="F633" s="208"/>
      <c r="G633" s="205">
        <f>ROUND(E633*$C633,0)</f>
        <v>0</v>
      </c>
      <c r="H633" s="205">
        <f>ROUND(E633*$D633,0)</f>
        <v>0</v>
      </c>
      <c r="I633" s="221">
        <f>$I$582</f>
        <v>0</v>
      </c>
      <c r="J633" s="208"/>
      <c r="K633" s="205">
        <f>ROUND(I633*$D633,0)</f>
        <v>0</v>
      </c>
    </row>
    <row r="634" spans="1:16">
      <c r="A634" s="193" t="s">
        <v>439</v>
      </c>
      <c r="B634" s="1"/>
      <c r="C634" s="203"/>
      <c r="D634" s="203"/>
      <c r="E634" s="221"/>
      <c r="F634" s="208"/>
      <c r="G634" s="205"/>
      <c r="H634" s="205"/>
      <c r="I634" s="221"/>
      <c r="J634" s="208"/>
      <c r="K634" s="205"/>
    </row>
    <row r="635" spans="1:16">
      <c r="A635" s="193" t="s">
        <v>440</v>
      </c>
      <c r="B635" s="1"/>
      <c r="C635" s="203">
        <f>3431</f>
        <v>3431</v>
      </c>
      <c r="D635" s="203">
        <v>3428</v>
      </c>
      <c r="E635" s="221">
        <v>0</v>
      </c>
      <c r="F635" s="208"/>
      <c r="G635" s="205">
        <f>ROUND(E635*$C635,0)</f>
        <v>0</v>
      </c>
      <c r="H635" s="205">
        <f>ROUND(E635*$D635,0)</f>
        <v>0</v>
      </c>
      <c r="I635" s="221">
        <f>$I$584</f>
        <v>0</v>
      </c>
      <c r="J635" s="208"/>
      <c r="K635" s="205">
        <f>ROUND(I635*$D635,0)</f>
        <v>0</v>
      </c>
    </row>
    <row r="636" spans="1:16">
      <c r="A636" s="193" t="s">
        <v>441</v>
      </c>
      <c r="B636" s="1"/>
      <c r="C636" s="203">
        <f>353</f>
        <v>353</v>
      </c>
      <c r="D636" s="203">
        <v>353</v>
      </c>
      <c r="E636" s="221">
        <v>275</v>
      </c>
      <c r="F636" s="208"/>
      <c r="G636" s="205">
        <f>ROUND(E636*$C636,0)</f>
        <v>97075</v>
      </c>
      <c r="H636" s="205">
        <f>ROUND(E636*$D636,0)</f>
        <v>97075</v>
      </c>
      <c r="I636" s="221">
        <f>$I$585</f>
        <v>301</v>
      </c>
      <c r="J636" s="208"/>
      <c r="K636" s="205">
        <f>ROUND(I636*$D636,0)</f>
        <v>106253</v>
      </c>
    </row>
    <row r="637" spans="1:16">
      <c r="A637" s="193" t="s">
        <v>442</v>
      </c>
      <c r="B637" s="1"/>
      <c r="C637" s="203">
        <f>9</f>
        <v>9</v>
      </c>
      <c r="D637" s="203">
        <v>9</v>
      </c>
      <c r="E637" s="221">
        <v>1110</v>
      </c>
      <c r="F637" s="208"/>
      <c r="G637" s="205">
        <f>ROUND(E637*$C637,0)</f>
        <v>9990</v>
      </c>
      <c r="H637" s="205">
        <f>ROUND(E637*$D637,0)</f>
        <v>9990</v>
      </c>
      <c r="I637" s="221">
        <f>$I$586</f>
        <v>1215</v>
      </c>
      <c r="J637" s="208"/>
      <c r="K637" s="205">
        <f>ROUND(I637*$D637,0)</f>
        <v>10935</v>
      </c>
    </row>
    <row r="638" spans="1:16">
      <c r="A638" s="193" t="s">
        <v>350</v>
      </c>
      <c r="B638" s="1"/>
      <c r="C638" s="203">
        <f>SUM(C633:C637)</f>
        <v>4688</v>
      </c>
      <c r="D638" s="203">
        <v>4683.9852262627228</v>
      </c>
      <c r="E638" s="221"/>
      <c r="F638" s="208"/>
      <c r="G638" s="205"/>
      <c r="H638" s="205"/>
      <c r="I638" s="221"/>
      <c r="J638" s="208"/>
      <c r="K638" s="205"/>
    </row>
    <row r="639" spans="1:16">
      <c r="A639" s="193" t="s">
        <v>443</v>
      </c>
      <c r="B639" s="1"/>
      <c r="C639" s="203">
        <f>5792+21967+2495+65</f>
        <v>30319</v>
      </c>
      <c r="D639" s="203">
        <v>30293</v>
      </c>
      <c r="E639" s="221"/>
      <c r="F639" s="205"/>
      <c r="G639" s="205"/>
      <c r="H639" s="205"/>
      <c r="I639" s="221"/>
      <c r="J639" s="205"/>
      <c r="K639" s="205"/>
    </row>
    <row r="640" spans="1:16">
      <c r="A640" s="193" t="s">
        <v>104</v>
      </c>
      <c r="B640" s="1"/>
      <c r="C640" s="203">
        <f>966+3743+364+9</f>
        <v>5082</v>
      </c>
      <c r="D640" s="203">
        <v>5078</v>
      </c>
      <c r="E640" s="221"/>
      <c r="F640" s="205"/>
      <c r="G640" s="205"/>
      <c r="H640" s="205"/>
      <c r="I640" s="221"/>
      <c r="J640" s="205"/>
      <c r="K640" s="205"/>
    </row>
    <row r="641" spans="1:11">
      <c r="A641" s="193" t="s">
        <v>444</v>
      </c>
      <c r="B641" s="1"/>
      <c r="C641" s="203"/>
      <c r="D641" s="203"/>
      <c r="E641" s="221"/>
      <c r="F641" s="208"/>
      <c r="G641" s="205"/>
      <c r="H641" s="205"/>
      <c r="I641" s="221"/>
      <c r="J641" s="208"/>
      <c r="K641" s="205"/>
    </row>
    <row r="642" spans="1:11">
      <c r="A642" s="193" t="s">
        <v>445</v>
      </c>
      <c r="B642" s="1"/>
      <c r="C642" s="203">
        <f>3278</f>
        <v>3278</v>
      </c>
      <c r="D642" s="203">
        <v>2980</v>
      </c>
      <c r="E642" s="221">
        <v>18.149999999999999</v>
      </c>
      <c r="F642" s="208"/>
      <c r="G642" s="205">
        <f>ROUND(E642*$C642,0)</f>
        <v>59496</v>
      </c>
      <c r="H642" s="205">
        <f>ROUND(E642*$D642,0)</f>
        <v>54087</v>
      </c>
      <c r="I642" s="221">
        <f>$I$591</f>
        <v>19.87</v>
      </c>
      <c r="J642" s="208"/>
      <c r="K642" s="205">
        <f>ROUND(I642*$D642,0)</f>
        <v>59213</v>
      </c>
    </row>
    <row r="643" spans="1:11">
      <c r="A643" s="193" t="s">
        <v>446</v>
      </c>
      <c r="B643" s="1"/>
      <c r="C643" s="203"/>
      <c r="D643" s="203"/>
      <c r="E643" s="221"/>
      <c r="F643" s="208"/>
      <c r="G643" s="205"/>
      <c r="H643" s="205"/>
      <c r="I643" s="221"/>
      <c r="J643" s="208"/>
      <c r="K643" s="205"/>
    </row>
    <row r="644" spans="1:11">
      <c r="A644" s="193" t="s">
        <v>440</v>
      </c>
      <c r="B644" s="1"/>
      <c r="C644" s="203">
        <f>47509</f>
        <v>47509</v>
      </c>
      <c r="D644" s="203">
        <v>43184</v>
      </c>
      <c r="E644" s="221">
        <v>18.149999999999999</v>
      </c>
      <c r="F644" s="208"/>
      <c r="G644" s="205">
        <f>ROUND(E644*$C644,0)</f>
        <v>862288</v>
      </c>
      <c r="H644" s="205">
        <f>ROUND(E644*$D644,0)</f>
        <v>783790</v>
      </c>
      <c r="I644" s="221">
        <f>$I$593</f>
        <v>19.87</v>
      </c>
      <c r="J644" s="208"/>
      <c r="K644" s="205">
        <f>ROUND(I644*$D644,0)</f>
        <v>858066</v>
      </c>
    </row>
    <row r="645" spans="1:11">
      <c r="A645" s="193" t="s">
        <v>441</v>
      </c>
      <c r="B645" s="1"/>
      <c r="C645" s="203">
        <f>34331</f>
        <v>34331</v>
      </c>
      <c r="D645" s="203">
        <v>31206</v>
      </c>
      <c r="E645" s="221">
        <v>12.4</v>
      </c>
      <c r="F645" s="208"/>
      <c r="G645" s="205">
        <f>ROUND(E645*$C645,0)</f>
        <v>425704</v>
      </c>
      <c r="H645" s="205">
        <f>ROUND(E645*$D645,0)</f>
        <v>386954</v>
      </c>
      <c r="I645" s="221">
        <f>$I$594</f>
        <v>13.64</v>
      </c>
      <c r="J645" s="208"/>
      <c r="K645" s="205">
        <f>ROUND(I645*$D645,0)</f>
        <v>425650</v>
      </c>
    </row>
    <row r="646" spans="1:11">
      <c r="A646" s="193" t="s">
        <v>442</v>
      </c>
      <c r="B646" s="1"/>
      <c r="C646" s="203">
        <f>3399</f>
        <v>3399</v>
      </c>
      <c r="D646" s="203">
        <v>3090</v>
      </c>
      <c r="E646" s="221">
        <v>9.65</v>
      </c>
      <c r="F646" s="208"/>
      <c r="G646" s="205">
        <f>ROUND(E646*$C646,0)</f>
        <v>32800</v>
      </c>
      <c r="H646" s="205">
        <f>ROUND(E646*$D646,0)</f>
        <v>29819</v>
      </c>
      <c r="I646" s="221">
        <f>$I$595</f>
        <v>10.62</v>
      </c>
      <c r="J646" s="208"/>
      <c r="K646" s="205">
        <f>ROUND(I646*$D646,0)</f>
        <v>32816</v>
      </c>
    </row>
    <row r="647" spans="1:11">
      <c r="A647" s="193" t="s">
        <v>448</v>
      </c>
      <c r="B647" s="1"/>
      <c r="C647" s="203">
        <f>355</f>
        <v>355</v>
      </c>
      <c r="D647" s="203">
        <v>323</v>
      </c>
      <c r="E647" s="221">
        <v>54.45</v>
      </c>
      <c r="F647" s="208"/>
      <c r="G647" s="205">
        <f>ROUND(E647*$C647,0)</f>
        <v>19330</v>
      </c>
      <c r="H647" s="205">
        <f>ROUND(E647*$D647,0)</f>
        <v>17587</v>
      </c>
      <c r="I647" s="221">
        <f>$I$596</f>
        <v>59.61</v>
      </c>
      <c r="J647" s="208"/>
      <c r="K647" s="205">
        <f>ROUND(I647*$D647,0)</f>
        <v>19254</v>
      </c>
    </row>
    <row r="648" spans="1:11">
      <c r="A648" s="193" t="s">
        <v>449</v>
      </c>
      <c r="B648" s="1"/>
      <c r="C648" s="203">
        <f>887</f>
        <v>887</v>
      </c>
      <c r="D648" s="203">
        <v>806</v>
      </c>
      <c r="E648" s="221">
        <v>108.9</v>
      </c>
      <c r="F648" s="208"/>
      <c r="G648" s="205">
        <f>ROUND(E648*$C648,0)</f>
        <v>96594</v>
      </c>
      <c r="H648" s="205">
        <f>ROUND(E648*$D648,0)</f>
        <v>87773</v>
      </c>
      <c r="I648" s="221">
        <f>$I$597</f>
        <v>119.22</v>
      </c>
      <c r="J648" s="208"/>
      <c r="K648" s="205">
        <f>ROUND(I648*$D648,0)</f>
        <v>96091</v>
      </c>
    </row>
    <row r="649" spans="1:11">
      <c r="A649" s="193" t="s">
        <v>450</v>
      </c>
      <c r="B649" s="1"/>
      <c r="C649" s="203"/>
      <c r="D649" s="203"/>
      <c r="E649" s="221"/>
      <c r="F649" s="208"/>
      <c r="G649" s="205"/>
      <c r="H649" s="205"/>
      <c r="I649" s="221"/>
      <c r="J649" s="208"/>
      <c r="K649" s="205"/>
    </row>
    <row r="650" spans="1:11">
      <c r="A650" s="193" t="s">
        <v>445</v>
      </c>
      <c r="B650" s="1"/>
      <c r="C650" s="203">
        <f>510</f>
        <v>510</v>
      </c>
      <c r="D650" s="203">
        <f>ROUND(($D$676/$C$676)*C650,0)</f>
        <v>464</v>
      </c>
      <c r="E650" s="247">
        <f>-E642</f>
        <v>-18.149999999999999</v>
      </c>
      <c r="F650" s="208"/>
      <c r="G650" s="205">
        <f>ROUND(E650*$C650,0)</f>
        <v>-9257</v>
      </c>
      <c r="H650" s="205">
        <f>ROUND(E650*$D650,0)</f>
        <v>-8422</v>
      </c>
      <c r="I650" s="247">
        <f>-I642</f>
        <v>-19.87</v>
      </c>
      <c r="J650" s="208"/>
      <c r="K650" s="205">
        <f>ROUND(I650*$D650,0)</f>
        <v>-9220</v>
      </c>
    </row>
    <row r="651" spans="1:11">
      <c r="A651" s="193" t="s">
        <v>451</v>
      </c>
      <c r="B651" s="1"/>
      <c r="C651" s="203">
        <f>2023</f>
        <v>2023</v>
      </c>
      <c r="D651" s="203">
        <f>ROUND(($D$676/$C$676)*C651,0)</f>
        <v>1839</v>
      </c>
      <c r="E651" s="247">
        <f>-E644</f>
        <v>-18.149999999999999</v>
      </c>
      <c r="F651" s="208"/>
      <c r="G651" s="205">
        <f>ROUND(E651*$C651,0)</f>
        <v>-36717</v>
      </c>
      <c r="H651" s="205">
        <f>ROUND(E651*$D651,0)</f>
        <v>-33378</v>
      </c>
      <c r="I651" s="247">
        <f>-I644</f>
        <v>-19.87</v>
      </c>
      <c r="J651" s="208"/>
      <c r="K651" s="205">
        <f>ROUND(I651*$D651,0)</f>
        <v>-36541</v>
      </c>
    </row>
    <row r="652" spans="1:11">
      <c r="A652" s="207" t="s">
        <v>414</v>
      </c>
      <c r="B652" s="1"/>
      <c r="C652" s="203"/>
      <c r="D652" s="203"/>
      <c r="E652" s="221"/>
      <c r="F652" s="205"/>
      <c r="G652" s="205"/>
      <c r="H652" s="205"/>
      <c r="I652" s="221"/>
      <c r="J652" s="205"/>
      <c r="K652" s="205"/>
    </row>
    <row r="653" spans="1:11">
      <c r="A653" s="193" t="s">
        <v>452</v>
      </c>
      <c r="B653" s="1"/>
      <c r="C653" s="203">
        <f>4946862+75987313+57989268+6739320</f>
        <v>145662763</v>
      </c>
      <c r="D653" s="203">
        <f>ROUND(($D$676/$C$676)*C653,0)</f>
        <v>132402479</v>
      </c>
      <c r="E653" s="266">
        <v>4.9909999999999997</v>
      </c>
      <c r="F653" s="205" t="s">
        <v>362</v>
      </c>
      <c r="G653" s="205">
        <f>ROUND(E653/100*$C653,0)</f>
        <v>7270029</v>
      </c>
      <c r="H653" s="205">
        <f>ROUND(E653/100*$D653,0)</f>
        <v>6608208</v>
      </c>
      <c r="I653" s="266">
        <f>$I$602</f>
        <v>5.3710000000000004</v>
      </c>
      <c r="J653" s="205" t="s">
        <v>362</v>
      </c>
      <c r="K653" s="205">
        <f>ROUND(I653/100*$D653,0)</f>
        <v>7111337</v>
      </c>
    </row>
    <row r="654" spans="1:11">
      <c r="A654" s="207" t="s">
        <v>388</v>
      </c>
      <c r="B654" s="1"/>
      <c r="C654" s="159">
        <f>1187+21863+3555</f>
        <v>26605</v>
      </c>
      <c r="D654" s="203">
        <f>ROUND(($D$676/$C$676)*C654,0)</f>
        <v>24183</v>
      </c>
      <c r="E654" s="223">
        <v>45</v>
      </c>
      <c r="F654" s="207" t="s">
        <v>362</v>
      </c>
      <c r="G654" s="205">
        <f>ROUND(E654*$C654/100,0)</f>
        <v>11972</v>
      </c>
      <c r="H654" s="205">
        <f>ROUND(E654*$D654/100,0)</f>
        <v>10882</v>
      </c>
      <c r="I654" s="223">
        <f>$I$603</f>
        <v>45</v>
      </c>
      <c r="J654" s="207" t="s">
        <v>362</v>
      </c>
      <c r="K654" s="205">
        <f>ROUND(I654*$D654/100,0)</f>
        <v>10882</v>
      </c>
    </row>
    <row r="655" spans="1:11">
      <c r="A655" s="244" t="s">
        <v>389</v>
      </c>
      <c r="B655" s="1"/>
      <c r="C655" s="203"/>
      <c r="D655" s="203"/>
      <c r="E655" s="216">
        <v>-0.01</v>
      </c>
      <c r="F655" s="2"/>
      <c r="G655" s="205"/>
      <c r="H655" s="205"/>
      <c r="I655" s="216">
        <f>$I$604</f>
        <v>-0.01</v>
      </c>
      <c r="J655" s="1"/>
      <c r="K655" s="205"/>
    </row>
    <row r="656" spans="1:11">
      <c r="A656" s="193" t="s">
        <v>378</v>
      </c>
      <c r="B656" s="1"/>
      <c r="C656" s="203">
        <v>0</v>
      </c>
      <c r="D656" s="203">
        <v>0</v>
      </c>
      <c r="E656" s="268">
        <f>E633</f>
        <v>0</v>
      </c>
      <c r="F656" s="208"/>
      <c r="G656" s="205">
        <f>ROUND(E656*$C656*$E$604,0)</f>
        <v>0</v>
      </c>
      <c r="H656" s="205">
        <f>ROUND(E656*$D656*$E$604,0)</f>
        <v>0</v>
      </c>
      <c r="I656" s="268">
        <f>I633</f>
        <v>0</v>
      </c>
      <c r="J656" s="208"/>
      <c r="K656" s="205">
        <f>ROUND(I656*$D656*$E$604,0)</f>
        <v>0</v>
      </c>
    </row>
    <row r="657" spans="1:11">
      <c r="A657" s="193" t="s">
        <v>379</v>
      </c>
      <c r="B657" s="1"/>
      <c r="C657" s="203"/>
      <c r="D657" s="203"/>
      <c r="E657" s="268"/>
      <c r="F657" s="208"/>
      <c r="G657" s="205"/>
      <c r="H657" s="205"/>
      <c r="I657" s="268"/>
      <c r="J657" s="208"/>
      <c r="K657" s="205"/>
    </row>
    <row r="658" spans="1:11">
      <c r="A658" s="193" t="s">
        <v>440</v>
      </c>
      <c r="B658" s="1"/>
      <c r="C658" s="203">
        <v>0</v>
      </c>
      <c r="D658" s="203">
        <v>0</v>
      </c>
      <c r="E658" s="268">
        <f>E635</f>
        <v>0</v>
      </c>
      <c r="F658" s="208"/>
      <c r="G658" s="205">
        <f>ROUND(E658*$C658*$E$604,0)</f>
        <v>0</v>
      </c>
      <c r="H658" s="205">
        <f>ROUND(E658*$D658*$E$604,0)</f>
        <v>0</v>
      </c>
      <c r="I658" s="268">
        <f>I635</f>
        <v>0</v>
      </c>
      <c r="J658" s="208"/>
      <c r="K658" s="205">
        <f>ROUND(I658*$D658*$E$604,0)</f>
        <v>0</v>
      </c>
    </row>
    <row r="659" spans="1:11">
      <c r="A659" s="193" t="s">
        <v>441</v>
      </c>
      <c r="B659" s="1"/>
      <c r="C659" s="203">
        <v>0</v>
      </c>
      <c r="D659" s="203">
        <v>0</v>
      </c>
      <c r="E659" s="268">
        <f>E636</f>
        <v>275</v>
      </c>
      <c r="F659" s="208"/>
      <c r="G659" s="205">
        <f>ROUND(E659*$C659*$E$604,0)</f>
        <v>0</v>
      </c>
      <c r="H659" s="205">
        <f>ROUND(E659*$D659*$E$604,0)</f>
        <v>0</v>
      </c>
      <c r="I659" s="268">
        <f>I636</f>
        <v>301</v>
      </c>
      <c r="J659" s="208"/>
      <c r="K659" s="205">
        <f>ROUND(I659*$D659*$E$604,0)</f>
        <v>0</v>
      </c>
    </row>
    <row r="660" spans="1:11">
      <c r="A660" s="193" t="s">
        <v>442</v>
      </c>
      <c r="B660" s="1"/>
      <c r="C660" s="203">
        <v>0</v>
      </c>
      <c r="D660" s="203">
        <v>0</v>
      </c>
      <c r="E660" s="268">
        <f>E637</f>
        <v>1110</v>
      </c>
      <c r="F660" s="208"/>
      <c r="G660" s="205">
        <f>ROUND(E660*$C660*$E$604,0)</f>
        <v>0</v>
      </c>
      <c r="H660" s="205">
        <f>ROUND(E660*$D660*$E$604,0)</f>
        <v>0</v>
      </c>
      <c r="I660" s="268">
        <f>I637</f>
        <v>1215</v>
      </c>
      <c r="J660" s="208"/>
      <c r="K660" s="205">
        <f>ROUND(I660*$D660*$E$604,0)</f>
        <v>0</v>
      </c>
    </row>
    <row r="661" spans="1:11">
      <c r="A661" s="193" t="s">
        <v>378</v>
      </c>
      <c r="B661" s="1"/>
      <c r="C661" s="203">
        <v>0</v>
      </c>
      <c r="D661" s="203">
        <v>0</v>
      </c>
      <c r="E661" s="268">
        <f>E642</f>
        <v>18.149999999999999</v>
      </c>
      <c r="F661" s="208"/>
      <c r="G661" s="205">
        <f>ROUND(E661*$C661*$E$604,0)</f>
        <v>0</v>
      </c>
      <c r="H661" s="205">
        <f>ROUND(E661*$D661*$E$604,0)</f>
        <v>0</v>
      </c>
      <c r="I661" s="268">
        <f>I642</f>
        <v>19.87</v>
      </c>
      <c r="J661" s="208"/>
      <c r="K661" s="205">
        <f>ROUND(I661*$D661*$E$604,0)</f>
        <v>0</v>
      </c>
    </row>
    <row r="662" spans="1:11">
      <c r="A662" s="193" t="s">
        <v>379</v>
      </c>
      <c r="B662" s="1"/>
      <c r="C662" s="203"/>
      <c r="D662" s="203"/>
      <c r="E662" s="268"/>
      <c r="F662" s="208"/>
      <c r="G662" s="205"/>
      <c r="H662" s="205"/>
      <c r="I662" s="268"/>
      <c r="J662" s="208"/>
      <c r="K662" s="205"/>
    </row>
    <row r="663" spans="1:11">
      <c r="A663" s="193" t="s">
        <v>440</v>
      </c>
      <c r="B663" s="1"/>
      <c r="C663" s="203">
        <v>0</v>
      </c>
      <c r="D663" s="203">
        <f>ROUND(($D$676/$C$676)*C663,0)</f>
        <v>0</v>
      </c>
      <c r="E663" s="268">
        <f>E644</f>
        <v>18.149999999999999</v>
      </c>
      <c r="F663" s="208"/>
      <c r="G663" s="205">
        <f>ROUND(E663*$C663*$E$604,0)</f>
        <v>0</v>
      </c>
      <c r="H663" s="205">
        <f>ROUND(E663*$D663*$E$604,0)</f>
        <v>0</v>
      </c>
      <c r="I663" s="268">
        <f>I644</f>
        <v>19.87</v>
      </c>
      <c r="J663" s="208"/>
      <c r="K663" s="205">
        <f>ROUND(I663*$D663*$E$604,0)</f>
        <v>0</v>
      </c>
    </row>
    <row r="664" spans="1:11">
      <c r="A664" s="193" t="s">
        <v>441</v>
      </c>
      <c r="B664" s="1"/>
      <c r="C664" s="203">
        <v>0</v>
      </c>
      <c r="D664" s="203">
        <f>ROUND(($D$676/$C$676)*C664,0)</f>
        <v>0</v>
      </c>
      <c r="E664" s="268">
        <f>E645</f>
        <v>12.4</v>
      </c>
      <c r="F664" s="208"/>
      <c r="G664" s="205">
        <f>ROUND(E664*$C664*$E$604,0)</f>
        <v>0</v>
      </c>
      <c r="H664" s="205">
        <f>ROUND(E664*$D664*$E$604,0)</f>
        <v>0</v>
      </c>
      <c r="I664" s="268">
        <f>I645</f>
        <v>13.64</v>
      </c>
      <c r="J664" s="208"/>
      <c r="K664" s="205">
        <f>ROUND(I664*$D664*$E$604,0)</f>
        <v>0</v>
      </c>
    </row>
    <row r="665" spans="1:11">
      <c r="A665" s="193" t="s">
        <v>442</v>
      </c>
      <c r="B665" s="1"/>
      <c r="C665" s="203">
        <v>0</v>
      </c>
      <c r="D665" s="203">
        <f>ROUND(($D$676/$C$676)*C665,0)</f>
        <v>0</v>
      </c>
      <c r="E665" s="268">
        <f>E646</f>
        <v>9.65</v>
      </c>
      <c r="F665" s="208"/>
      <c r="G665" s="205">
        <f>ROUND(E665*$C665*$E$604,0)</f>
        <v>0</v>
      </c>
      <c r="H665" s="205">
        <f>ROUND(E665*$D665*$E$604,0)</f>
        <v>0</v>
      </c>
      <c r="I665" s="268">
        <f>I646</f>
        <v>10.62</v>
      </c>
      <c r="J665" s="208"/>
      <c r="K665" s="205">
        <f>ROUND(I665*$D665*$E$604,0)</f>
        <v>0</v>
      </c>
    </row>
    <row r="666" spans="1:11">
      <c r="A666" s="193" t="s">
        <v>453</v>
      </c>
      <c r="B666" s="1"/>
      <c r="C666" s="203">
        <v>0</v>
      </c>
      <c r="D666" s="203">
        <v>0</v>
      </c>
      <c r="E666" s="237">
        <f>E647</f>
        <v>54.45</v>
      </c>
      <c r="F666" s="208"/>
      <c r="G666" s="205">
        <f>ROUND(E666*$C666*$E$604,0)</f>
        <v>0</v>
      </c>
      <c r="H666" s="205">
        <f>ROUND(E666*$D666*$E$604,0)</f>
        <v>0</v>
      </c>
      <c r="I666" s="237">
        <f>I647</f>
        <v>59.61</v>
      </c>
      <c r="J666" s="208"/>
      <c r="K666" s="205">
        <f>ROUND(I666*$D666*$E$604,0)</f>
        <v>0</v>
      </c>
    </row>
    <row r="667" spans="1:11">
      <c r="A667" s="193" t="s">
        <v>454</v>
      </c>
      <c r="B667" s="1"/>
      <c r="C667" s="203">
        <v>0</v>
      </c>
      <c r="D667" s="203">
        <v>0</v>
      </c>
      <c r="E667" s="237">
        <f>E648</f>
        <v>108.9</v>
      </c>
      <c r="F667" s="208"/>
      <c r="G667" s="205">
        <f>ROUND(E667*$C667*$E$604,0)</f>
        <v>0</v>
      </c>
      <c r="H667" s="205">
        <f>ROUND(E667*$D667*$E$604,0)</f>
        <v>0</v>
      </c>
      <c r="I667" s="237">
        <f>I648</f>
        <v>119.22</v>
      </c>
      <c r="J667" s="208"/>
      <c r="K667" s="205">
        <f>ROUND(I667*$D667*$E$604,0)</f>
        <v>0</v>
      </c>
    </row>
    <row r="668" spans="1:11">
      <c r="A668" s="193" t="s">
        <v>450</v>
      </c>
      <c r="B668" s="1"/>
      <c r="C668" s="203"/>
      <c r="D668" s="203"/>
      <c r="E668" s="221"/>
      <c r="F668" s="208"/>
      <c r="G668" s="205"/>
      <c r="H668" s="205"/>
      <c r="I668" s="221"/>
      <c r="J668" s="208"/>
      <c r="K668" s="205"/>
    </row>
    <row r="669" spans="1:11">
      <c r="A669" s="193" t="s">
        <v>445</v>
      </c>
      <c r="B669" s="1"/>
      <c r="C669" s="203">
        <v>0</v>
      </c>
      <c r="D669" s="203">
        <f>ROUND(($D$676/$C$676)*C669,0)</f>
        <v>0</v>
      </c>
      <c r="E669" s="247">
        <f>E650</f>
        <v>-18.149999999999999</v>
      </c>
      <c r="F669" s="208"/>
      <c r="G669" s="205">
        <f>ROUND(E669*$C669*$E$604,0)</f>
        <v>0</v>
      </c>
      <c r="H669" s="205">
        <f>ROUND(E669*$D669*$E$604,0)</f>
        <v>0</v>
      </c>
      <c r="I669" s="247">
        <f>I650</f>
        <v>-19.87</v>
      </c>
      <c r="J669" s="208"/>
      <c r="K669" s="205">
        <f>ROUND(I669*$D669*$E$604,0)</f>
        <v>0</v>
      </c>
    </row>
    <row r="670" spans="1:11">
      <c r="A670" s="193" t="s">
        <v>451</v>
      </c>
      <c r="B670" s="1"/>
      <c r="C670" s="203">
        <v>0</v>
      </c>
      <c r="D670" s="203">
        <f>ROUND(($D$676/$C$676)*C670,0)</f>
        <v>0</v>
      </c>
      <c r="E670" s="247">
        <f>E651</f>
        <v>-18.149999999999999</v>
      </c>
      <c r="F670" s="208"/>
      <c r="G670" s="205">
        <f>ROUND(E670*$C670*$E$604,0)</f>
        <v>0</v>
      </c>
      <c r="H670" s="205">
        <f>ROUND(E670*$D670*$E$604,0)</f>
        <v>0</v>
      </c>
      <c r="I670" s="247">
        <f>I651</f>
        <v>-19.87</v>
      </c>
      <c r="J670" s="208"/>
      <c r="K670" s="205">
        <f>ROUND(I670*$D670*$E$604,0)</f>
        <v>0</v>
      </c>
    </row>
    <row r="671" spans="1:11">
      <c r="A671" s="207" t="s">
        <v>414</v>
      </c>
      <c r="B671" s="1"/>
      <c r="C671" s="203"/>
      <c r="D671" s="203"/>
      <c r="E671" s="268"/>
      <c r="F671" s="205"/>
      <c r="G671" s="205"/>
      <c r="H671" s="205"/>
      <c r="I671" s="268"/>
      <c r="J671" s="205"/>
      <c r="K671" s="205"/>
    </row>
    <row r="672" spans="1:11">
      <c r="A672" s="193" t="s">
        <v>452</v>
      </c>
      <c r="B672" s="1"/>
      <c r="C672" s="203">
        <v>0</v>
      </c>
      <c r="D672" s="203">
        <f>ROUND(($D$676/$C$676)*C672,0)</f>
        <v>0</v>
      </c>
      <c r="E672" s="269">
        <f>E653</f>
        <v>4.9909999999999997</v>
      </c>
      <c r="F672" s="205" t="s">
        <v>362</v>
      </c>
      <c r="G672" s="205">
        <f>ROUND(E672/100*$C672*$E$604,0)</f>
        <v>0</v>
      </c>
      <c r="H672" s="205">
        <f>ROUND(E672/100*$D672*$E$604,0)</f>
        <v>0</v>
      </c>
      <c r="I672" s="269">
        <f>I653</f>
        <v>5.3710000000000004</v>
      </c>
      <c r="J672" s="205" t="s">
        <v>362</v>
      </c>
      <c r="K672" s="205">
        <f>ROUND(I672/100*$D672*$E$604,0)</f>
        <v>0</v>
      </c>
    </row>
    <row r="673" spans="1:15">
      <c r="A673" s="207" t="s">
        <v>388</v>
      </c>
      <c r="B673" s="1"/>
      <c r="C673" s="203">
        <v>0</v>
      </c>
      <c r="D673" s="203">
        <f>ROUND(($D$676/$C$676)*C673,0)</f>
        <v>0</v>
      </c>
      <c r="E673" s="259">
        <f>E654</f>
        <v>45</v>
      </c>
      <c r="F673" s="205" t="s">
        <v>362</v>
      </c>
      <c r="G673" s="205">
        <f>ROUND(E673/100*$C673*$E$604,0)</f>
        <v>0</v>
      </c>
      <c r="H673" s="205">
        <f>ROUND(E673/100*$D673*$E$604,0)</f>
        <v>0</v>
      </c>
      <c r="I673" s="259">
        <f>I654</f>
        <v>45</v>
      </c>
      <c r="J673" s="207" t="s">
        <v>362</v>
      </c>
      <c r="K673" s="205">
        <f>ROUND(I673/100*$D673*$E$604,0)</f>
        <v>0</v>
      </c>
    </row>
    <row r="674" spans="1:15">
      <c r="A674" s="207" t="s">
        <v>431</v>
      </c>
      <c r="B674" s="1"/>
      <c r="C674" s="203">
        <v>0</v>
      </c>
      <c r="D674" s="203">
        <v>0</v>
      </c>
      <c r="E674" s="182">
        <v>60</v>
      </c>
      <c r="F674" s="248" t="s">
        <v>31</v>
      </c>
      <c r="G674" s="205">
        <f>ROUND(E674*$C674,0)</f>
        <v>0</v>
      </c>
      <c r="H674" s="205">
        <f>ROUND(E674*$D674,0)</f>
        <v>0</v>
      </c>
      <c r="I674" s="182">
        <f>$I$623</f>
        <v>60</v>
      </c>
      <c r="J674" s="1"/>
      <c r="K674" s="205">
        <f>ROUND(I674*$D674,0)</f>
        <v>0</v>
      </c>
    </row>
    <row r="675" spans="1:15">
      <c r="A675" s="207" t="s">
        <v>432</v>
      </c>
      <c r="B675" s="1"/>
      <c r="C675" s="203">
        <v>0</v>
      </c>
      <c r="D675" s="203">
        <f>ROUND(($D$676/$C$676)*C675,0)</f>
        <v>0</v>
      </c>
      <c r="E675" s="223">
        <v>-30</v>
      </c>
      <c r="F675" s="205" t="s">
        <v>362</v>
      </c>
      <c r="G675" s="205">
        <f>ROUND(E675*$C675,0)</f>
        <v>0</v>
      </c>
      <c r="H675" s="205">
        <f>ROUND(E675*$D675,0)</f>
        <v>0</v>
      </c>
      <c r="I675" s="223">
        <f>$I$624</f>
        <v>-30</v>
      </c>
      <c r="J675" s="205" t="s">
        <v>362</v>
      </c>
      <c r="K675" s="205">
        <f>ROUND(I675*$D675,0)</f>
        <v>0</v>
      </c>
    </row>
    <row r="676" spans="1:15">
      <c r="A676" s="1" t="s">
        <v>369</v>
      </c>
      <c r="B676" s="1"/>
      <c r="C676" s="203">
        <f>SUM(C653:C653)</f>
        <v>145662763</v>
      </c>
      <c r="D676" s="203">
        <v>132402479.40697747</v>
      </c>
      <c r="E676" s="214"/>
      <c r="F676" s="2"/>
      <c r="G676" s="2">
        <f>SUM(G633:G675)</f>
        <v>8839304</v>
      </c>
      <c r="H676" s="2">
        <f>SUM(H633:H675)</f>
        <v>8044365</v>
      </c>
      <c r="I676" s="214"/>
      <c r="J676" s="207"/>
      <c r="K676" s="2">
        <f>SUM(K633:K675)</f>
        <v>8684736</v>
      </c>
    </row>
    <row r="677" spans="1:15">
      <c r="A677" s="1" t="s">
        <v>351</v>
      </c>
      <c r="B677" s="1"/>
      <c r="C677" s="233">
        <v>2620112.272300011</v>
      </c>
      <c r="D677" s="233">
        <v>0</v>
      </c>
      <c r="E677" s="193"/>
      <c r="F677" s="193"/>
      <c r="G677" s="194">
        <v>110373.78308932934</v>
      </c>
      <c r="H677" s="194">
        <v>0</v>
      </c>
      <c r="I677" s="193"/>
      <c r="J677" s="193"/>
      <c r="K677" s="194">
        <v>0</v>
      </c>
      <c r="M677" s="173"/>
      <c r="N677" s="173"/>
      <c r="O677" s="174"/>
    </row>
    <row r="678" spans="1:15" ht="16.5" thickBot="1">
      <c r="A678" s="1" t="s">
        <v>370</v>
      </c>
      <c r="B678" s="1"/>
      <c r="C678" s="250">
        <f>SUM(C676:C677)</f>
        <v>148282875.2723</v>
      </c>
      <c r="D678" s="250">
        <f>SUM(D676:D677)</f>
        <v>132402479.40697747</v>
      </c>
      <c r="E678" s="226"/>
      <c r="F678" s="227"/>
      <c r="G678" s="228">
        <f>G676+G677</f>
        <v>8949677.7830893286</v>
      </c>
      <c r="H678" s="228">
        <f>H676+H677</f>
        <v>8044365</v>
      </c>
      <c r="I678" s="226"/>
      <c r="J678" s="229"/>
      <c r="K678" s="228">
        <f>K676+K677</f>
        <v>8684736</v>
      </c>
      <c r="M678" s="175"/>
      <c r="N678" s="175"/>
      <c r="O678" s="176"/>
    </row>
    <row r="679" spans="1:15" ht="16.5" thickTop="1">
      <c r="A679" s="1"/>
      <c r="B679" s="1"/>
      <c r="C679" s="25"/>
      <c r="D679" s="25"/>
      <c r="E679" s="235"/>
      <c r="F679" s="236"/>
      <c r="G679" s="206"/>
      <c r="H679" s="206"/>
      <c r="I679" s="270" t="s">
        <v>31</v>
      </c>
      <c r="J679" s="23"/>
      <c r="K679" s="156" t="s">
        <v>31</v>
      </c>
    </row>
    <row r="680" spans="1:15">
      <c r="A680" s="177" t="s">
        <v>455</v>
      </c>
      <c r="B680" s="1"/>
      <c r="C680" s="21"/>
      <c r="D680" s="21"/>
      <c r="E680" s="221"/>
      <c r="F680" s="2"/>
      <c r="G680" s="2"/>
      <c r="H680" s="2"/>
      <c r="I680" s="221"/>
      <c r="J680" s="1"/>
      <c r="K680" s="2"/>
    </row>
    <row r="681" spans="1:15">
      <c r="A681" s="193" t="s">
        <v>456</v>
      </c>
      <c r="B681" s="1"/>
      <c r="C681" s="21"/>
      <c r="D681" s="21"/>
      <c r="E681" s="221"/>
      <c r="F681" s="2"/>
      <c r="G681" s="2"/>
      <c r="H681" s="2"/>
      <c r="I681" s="221"/>
      <c r="J681" s="1"/>
      <c r="K681" s="2"/>
    </row>
    <row r="682" spans="1:15">
      <c r="A682" s="207"/>
      <c r="B682" s="1"/>
      <c r="C682" s="21"/>
      <c r="D682" s="21"/>
      <c r="E682" s="221"/>
      <c r="F682" s="2"/>
      <c r="G682" s="264"/>
      <c r="H682" s="264"/>
      <c r="I682" s="221"/>
      <c r="J682" s="1"/>
      <c r="K682" s="265"/>
    </row>
    <row r="683" spans="1:15">
      <c r="A683" s="193" t="s">
        <v>437</v>
      </c>
      <c r="B683" s="1"/>
      <c r="C683" s="203"/>
      <c r="D683" s="203"/>
      <c r="E683" s="2" t="s">
        <v>31</v>
      </c>
      <c r="F683" s="2"/>
      <c r="G683" s="1"/>
      <c r="H683" s="1"/>
      <c r="I683" s="2" t="s">
        <v>31</v>
      </c>
      <c r="J683" s="1"/>
      <c r="K683" s="1"/>
    </row>
    <row r="684" spans="1:15">
      <c r="A684" s="193" t="s">
        <v>438</v>
      </c>
      <c r="B684" s="1"/>
      <c r="C684" s="203">
        <v>151</v>
      </c>
      <c r="D684" s="203">
        <v>161</v>
      </c>
      <c r="E684" s="221">
        <v>0</v>
      </c>
      <c r="F684" s="208"/>
      <c r="G684" s="205">
        <f>ROUND(E684*$C684,0)</f>
        <v>0</v>
      </c>
      <c r="H684" s="205">
        <f>ROUND(E684*$D684,0)</f>
        <v>0</v>
      </c>
      <c r="I684" s="221">
        <f>$I$582</f>
        <v>0</v>
      </c>
      <c r="J684" s="208"/>
      <c r="K684" s="205">
        <f>ROUND(I684*$D684,0)</f>
        <v>0</v>
      </c>
    </row>
    <row r="685" spans="1:15">
      <c r="A685" s="193" t="s">
        <v>439</v>
      </c>
      <c r="B685" s="1"/>
      <c r="C685" s="203"/>
      <c r="D685" s="203"/>
      <c r="E685" s="221"/>
      <c r="F685" s="208"/>
      <c r="G685" s="205"/>
      <c r="H685" s="205"/>
      <c r="I685" s="221"/>
      <c r="J685" s="208"/>
      <c r="K685" s="205"/>
    </row>
    <row r="686" spans="1:15">
      <c r="A686" s="193" t="s">
        <v>440</v>
      </c>
      <c r="B686" s="1"/>
      <c r="C686" s="203">
        <f>1+378</f>
        <v>379</v>
      </c>
      <c r="D686" s="203">
        <v>404</v>
      </c>
      <c r="E686" s="221">
        <v>0</v>
      </c>
      <c r="F686" s="208"/>
      <c r="G686" s="205">
        <f>ROUND(E686*$C686,0)</f>
        <v>0</v>
      </c>
      <c r="H686" s="205">
        <f>ROUND(E686*$D686,0)</f>
        <v>0</v>
      </c>
      <c r="I686" s="221">
        <f>$I$584</f>
        <v>0</v>
      </c>
      <c r="J686" s="208"/>
      <c r="K686" s="205">
        <f>ROUND(I686*$D686,0)</f>
        <v>0</v>
      </c>
    </row>
    <row r="687" spans="1:15">
      <c r="A687" s="193" t="s">
        <v>441</v>
      </c>
      <c r="B687" s="1"/>
      <c r="C687" s="203">
        <f>38</f>
        <v>38</v>
      </c>
      <c r="D687" s="203">
        <v>41</v>
      </c>
      <c r="E687" s="221">
        <v>275</v>
      </c>
      <c r="F687" s="208"/>
      <c r="G687" s="205">
        <f>ROUND(E687*$C687,0)</f>
        <v>10450</v>
      </c>
      <c r="H687" s="205">
        <f>ROUND(E687*$D687,0)</f>
        <v>11275</v>
      </c>
      <c r="I687" s="221">
        <f>$I$585</f>
        <v>301</v>
      </c>
      <c r="J687" s="208"/>
      <c r="K687" s="205">
        <f>ROUND(I687*$D687,0)</f>
        <v>12341</v>
      </c>
    </row>
    <row r="688" spans="1:15">
      <c r="A688" s="193" t="s">
        <v>442</v>
      </c>
      <c r="B688" s="1"/>
      <c r="C688" s="203">
        <f>3</f>
        <v>3</v>
      </c>
      <c r="D688" s="203">
        <v>3</v>
      </c>
      <c r="E688" s="221">
        <v>1110</v>
      </c>
      <c r="F688" s="208"/>
      <c r="G688" s="205">
        <f>ROUND(E688*$C688,0)</f>
        <v>3330</v>
      </c>
      <c r="H688" s="205">
        <f>ROUND(E688*$D688,0)</f>
        <v>3330</v>
      </c>
      <c r="I688" s="221">
        <f>$I$586</f>
        <v>1215</v>
      </c>
      <c r="J688" s="208"/>
      <c r="K688" s="205">
        <f>ROUND(I688*$D688,0)</f>
        <v>3645</v>
      </c>
    </row>
    <row r="689" spans="1:11">
      <c r="A689" s="193" t="s">
        <v>350</v>
      </c>
      <c r="B689" s="1"/>
      <c r="C689" s="203">
        <f>SUM(C684:C688)</f>
        <v>571</v>
      </c>
      <c r="D689" s="203">
        <v>608.93144040394361</v>
      </c>
      <c r="E689" s="221"/>
      <c r="F689" s="208"/>
      <c r="G689" s="205"/>
      <c r="H689" s="205"/>
      <c r="I689" s="221"/>
      <c r="J689" s="208"/>
      <c r="K689" s="205"/>
    </row>
    <row r="690" spans="1:11">
      <c r="A690" s="193" t="s">
        <v>443</v>
      </c>
      <c r="B690" s="1"/>
      <c r="C690" s="203">
        <f>5+7+1001+2657+283+20</f>
        <v>3973</v>
      </c>
      <c r="D690" s="203">
        <v>4237</v>
      </c>
      <c r="E690" s="221"/>
      <c r="F690" s="205"/>
      <c r="G690" s="205"/>
      <c r="H690" s="205"/>
      <c r="I690" s="221"/>
      <c r="J690" s="205"/>
      <c r="K690" s="205"/>
    </row>
    <row r="691" spans="1:11">
      <c r="A691" s="193" t="s">
        <v>104</v>
      </c>
      <c r="B691" s="1"/>
      <c r="C691" s="203">
        <f>1+1+167+421+39+3</f>
        <v>632</v>
      </c>
      <c r="D691" s="203">
        <v>674</v>
      </c>
      <c r="E691" s="221"/>
      <c r="F691" s="205"/>
      <c r="G691" s="205"/>
      <c r="H691" s="205"/>
      <c r="I691" s="221"/>
      <c r="J691" s="205"/>
      <c r="K691" s="205"/>
    </row>
    <row r="692" spans="1:11">
      <c r="A692" s="193" t="s">
        <v>444</v>
      </c>
      <c r="B692" s="1"/>
      <c r="C692" s="203"/>
      <c r="D692" s="203"/>
      <c r="E692" s="221"/>
      <c r="F692" s="208"/>
      <c r="G692" s="205"/>
      <c r="H692" s="205"/>
      <c r="I692" s="221"/>
      <c r="J692" s="208"/>
      <c r="K692" s="205"/>
    </row>
    <row r="693" spans="1:11">
      <c r="A693" s="193" t="s">
        <v>445</v>
      </c>
      <c r="B693" s="1"/>
      <c r="C693" s="203">
        <f>816</f>
        <v>816</v>
      </c>
      <c r="D693" s="203">
        <f>ROUND(($D$727/$C$727)*C693,0)</f>
        <v>787</v>
      </c>
      <c r="E693" s="221">
        <v>18.149999999999999</v>
      </c>
      <c r="F693" s="208"/>
      <c r="G693" s="205">
        <f>ROUND(E693*$C693,0)</f>
        <v>14810</v>
      </c>
      <c r="H693" s="205">
        <f>ROUND(E693*$D693,0)</f>
        <v>14284</v>
      </c>
      <c r="I693" s="221">
        <f>$I$591</f>
        <v>19.87</v>
      </c>
      <c r="J693" s="208"/>
      <c r="K693" s="205">
        <f>ROUND(I693*$D693,0)</f>
        <v>15638</v>
      </c>
    </row>
    <row r="694" spans="1:11">
      <c r="A694" s="193" t="s">
        <v>446</v>
      </c>
      <c r="B694" s="1"/>
      <c r="C694" s="203"/>
      <c r="D694" s="203"/>
      <c r="E694" s="221"/>
      <c r="F694" s="208"/>
      <c r="G694" s="205"/>
      <c r="H694" s="205"/>
      <c r="I694" s="221"/>
      <c r="J694" s="208"/>
      <c r="K694" s="205"/>
    </row>
    <row r="695" spans="1:11">
      <c r="A695" s="193" t="s">
        <v>440</v>
      </c>
      <c r="B695" s="1"/>
      <c r="C695" s="203">
        <f>6061+40</f>
        <v>6101</v>
      </c>
      <c r="D695" s="203">
        <f>ROUND(($D$727/$C$727)*C695,0)</f>
        <v>5884</v>
      </c>
      <c r="E695" s="221">
        <v>18.149999999999999</v>
      </c>
      <c r="F695" s="208"/>
      <c r="G695" s="205">
        <f>ROUND(E695*$C695,0)</f>
        <v>110733</v>
      </c>
      <c r="H695" s="205">
        <f>ROUND(E695*$D695,0)</f>
        <v>106795</v>
      </c>
      <c r="I695" s="221">
        <f>$I$593</f>
        <v>19.87</v>
      </c>
      <c r="J695" s="208"/>
      <c r="K695" s="205">
        <f>ROUND(I695*$D695,0)</f>
        <v>116915</v>
      </c>
    </row>
    <row r="696" spans="1:11">
      <c r="A696" s="193" t="s">
        <v>441</v>
      </c>
      <c r="B696" s="1"/>
      <c r="C696" s="203">
        <f>3661</f>
        <v>3661</v>
      </c>
      <c r="D696" s="203">
        <f>ROUND(($D$727/$C$727)*C696,0)</f>
        <v>3531</v>
      </c>
      <c r="E696" s="221">
        <v>12.4</v>
      </c>
      <c r="F696" s="208"/>
      <c r="G696" s="205">
        <f>ROUND(E696*$C696,0)</f>
        <v>45396</v>
      </c>
      <c r="H696" s="205">
        <f>ROUND(E696*$D696,0)</f>
        <v>43784</v>
      </c>
      <c r="I696" s="221">
        <f>$I$594</f>
        <v>13.64</v>
      </c>
      <c r="J696" s="208"/>
      <c r="K696" s="205">
        <f>ROUND(I696*$D696,0)</f>
        <v>48163</v>
      </c>
    </row>
    <row r="697" spans="1:11">
      <c r="A697" s="193" t="s">
        <v>442</v>
      </c>
      <c r="B697" s="1"/>
      <c r="C697" s="203">
        <f>1235</f>
        <v>1235</v>
      </c>
      <c r="D697" s="203">
        <f>ROUND(($D$727/$C$727)*C697,0)</f>
        <v>1191</v>
      </c>
      <c r="E697" s="221">
        <v>9.65</v>
      </c>
      <c r="F697" s="208"/>
      <c r="G697" s="205">
        <f>ROUND(E697*$C697,0)</f>
        <v>11918</v>
      </c>
      <c r="H697" s="205">
        <f>ROUND(E697*$D697,0)</f>
        <v>11493</v>
      </c>
      <c r="I697" s="221">
        <f>$I$595</f>
        <v>10.62</v>
      </c>
      <c r="J697" s="208"/>
      <c r="K697" s="205">
        <f>ROUND(I697*$D697,0)</f>
        <v>12648</v>
      </c>
    </row>
    <row r="698" spans="1:11">
      <c r="A698" s="193" t="s">
        <v>448</v>
      </c>
      <c r="B698" s="1"/>
      <c r="C698" s="203">
        <f>47</f>
        <v>47</v>
      </c>
      <c r="D698" s="203">
        <v>45</v>
      </c>
      <c r="E698" s="221">
        <v>54.45</v>
      </c>
      <c r="F698" s="208"/>
      <c r="G698" s="205">
        <f>ROUND(E698*$C698,0)</f>
        <v>2559</v>
      </c>
      <c r="H698" s="205">
        <f>ROUND(E698*$D698,0)</f>
        <v>2450</v>
      </c>
      <c r="I698" s="221">
        <f>$I$596</f>
        <v>59.61</v>
      </c>
      <c r="J698" s="208"/>
      <c r="K698" s="205">
        <f>ROUND(I698*$D698,0)</f>
        <v>2682</v>
      </c>
    </row>
    <row r="699" spans="1:11">
      <c r="A699" s="193" t="s">
        <v>449</v>
      </c>
      <c r="B699" s="1"/>
      <c r="C699" s="203">
        <f>73</f>
        <v>73</v>
      </c>
      <c r="D699" s="203">
        <v>70</v>
      </c>
      <c r="E699" s="221">
        <v>108.9</v>
      </c>
      <c r="F699" s="208"/>
      <c r="G699" s="205">
        <f>ROUND(E699*$C699,0)</f>
        <v>7950</v>
      </c>
      <c r="H699" s="205">
        <f>ROUND(E699*$D699,0)</f>
        <v>7623</v>
      </c>
      <c r="I699" s="221">
        <f>$I$597</f>
        <v>119.22</v>
      </c>
      <c r="J699" s="208"/>
      <c r="K699" s="205">
        <f>ROUND(I699*$D699,0)</f>
        <v>8345</v>
      </c>
    </row>
    <row r="700" spans="1:11">
      <c r="A700" s="193" t="s">
        <v>450</v>
      </c>
      <c r="B700" s="1"/>
      <c r="C700" s="203"/>
      <c r="D700" s="203"/>
      <c r="E700" s="221"/>
      <c r="F700" s="208"/>
      <c r="G700" s="205"/>
      <c r="H700" s="205"/>
      <c r="I700" s="221"/>
      <c r="J700" s="208"/>
      <c r="K700" s="205"/>
    </row>
    <row r="701" spans="1:11">
      <c r="A701" s="193" t="s">
        <v>445</v>
      </c>
      <c r="B701" s="1"/>
      <c r="C701" s="203">
        <f>56</f>
        <v>56</v>
      </c>
      <c r="D701" s="203">
        <f>ROUND(($D$727/$C$727)*C701,0)</f>
        <v>54</v>
      </c>
      <c r="E701" s="247">
        <f>-E693</f>
        <v>-18.149999999999999</v>
      </c>
      <c r="F701" s="208"/>
      <c r="G701" s="205">
        <f>ROUND(E701*$C701,0)</f>
        <v>-1016</v>
      </c>
      <c r="H701" s="205">
        <f>ROUND(E701*$D701,0)</f>
        <v>-980</v>
      </c>
      <c r="I701" s="247">
        <f>-I693</f>
        <v>-19.87</v>
      </c>
      <c r="J701" s="208"/>
      <c r="K701" s="205">
        <f>ROUND(I701*$D701,0)</f>
        <v>-1073</v>
      </c>
    </row>
    <row r="702" spans="1:11">
      <c r="A702" s="193" t="s">
        <v>451</v>
      </c>
      <c r="B702" s="1"/>
      <c r="C702" s="203">
        <f>171</f>
        <v>171</v>
      </c>
      <c r="D702" s="203">
        <f>ROUND(($D$727/$C$727)*C702,0)</f>
        <v>165</v>
      </c>
      <c r="E702" s="247">
        <f>-E695</f>
        <v>-18.149999999999999</v>
      </c>
      <c r="F702" s="208"/>
      <c r="G702" s="205">
        <f>ROUND(E702*$C702,0)</f>
        <v>-3104</v>
      </c>
      <c r="H702" s="205">
        <f>ROUND(E702*$D702,0)</f>
        <v>-2995</v>
      </c>
      <c r="I702" s="247">
        <f>-I695</f>
        <v>-19.87</v>
      </c>
      <c r="J702" s="208"/>
      <c r="K702" s="205">
        <f>ROUND(I702*$D702,0)</f>
        <v>-3279</v>
      </c>
    </row>
    <row r="703" spans="1:11">
      <c r="A703" s="207" t="s">
        <v>414</v>
      </c>
      <c r="B703" s="1"/>
      <c r="C703" s="203"/>
      <c r="D703" s="203"/>
      <c r="E703" s="221"/>
      <c r="F703" s="205"/>
      <c r="G703" s="205"/>
      <c r="H703" s="205"/>
      <c r="I703" s="221"/>
      <c r="J703" s="205"/>
      <c r="K703" s="205"/>
    </row>
    <row r="704" spans="1:11">
      <c r="A704" s="193" t="s">
        <v>452</v>
      </c>
      <c r="B704" s="1"/>
      <c r="C704" s="203">
        <f>38079+1034717+10521120+5534245+2275120</f>
        <v>19403281</v>
      </c>
      <c r="D704" s="203">
        <f>ROUND(($D$727/$C$727)*C704,0)</f>
        <v>18714383</v>
      </c>
      <c r="E704" s="266">
        <v>4.9909999999999997</v>
      </c>
      <c r="F704" s="205" t="s">
        <v>362</v>
      </c>
      <c r="G704" s="205">
        <f>ROUND(E704/100*$C704,0)</f>
        <v>968418</v>
      </c>
      <c r="H704" s="205">
        <f>ROUND(E704/100*$D704,0)</f>
        <v>934035</v>
      </c>
      <c r="I704" s="266">
        <f>$I$602</f>
        <v>5.3710000000000004</v>
      </c>
      <c r="J704" s="205" t="s">
        <v>362</v>
      </c>
      <c r="K704" s="205">
        <f>ROUND(I704/100*$D704,0)</f>
        <v>1005150</v>
      </c>
    </row>
    <row r="705" spans="1:11">
      <c r="A705" s="207" t="s">
        <v>388</v>
      </c>
      <c r="B705" s="1"/>
      <c r="C705" s="203">
        <f>52+1904+219</f>
        <v>2175</v>
      </c>
      <c r="D705" s="203">
        <f>ROUND(($D$727/$C$727)*C705,0)</f>
        <v>2098</v>
      </c>
      <c r="E705" s="223">
        <v>45</v>
      </c>
      <c r="F705" s="207" t="s">
        <v>362</v>
      </c>
      <c r="G705" s="205">
        <f>ROUND(E705*$C705/100,0)</f>
        <v>979</v>
      </c>
      <c r="H705" s="205">
        <f>ROUND(E705*$D705/100,0)</f>
        <v>944</v>
      </c>
      <c r="I705" s="223">
        <f>$I$603</f>
        <v>45</v>
      </c>
      <c r="J705" s="207" t="s">
        <v>362</v>
      </c>
      <c r="K705" s="205">
        <f>ROUND(I705*$D705/100,0)</f>
        <v>944</v>
      </c>
    </row>
    <row r="706" spans="1:11">
      <c r="A706" s="244" t="s">
        <v>389</v>
      </c>
      <c r="B706" s="1"/>
      <c r="C706" s="203"/>
      <c r="D706" s="203"/>
      <c r="E706" s="216">
        <v>-0.01</v>
      </c>
      <c r="F706" s="2"/>
      <c r="G706" s="205"/>
      <c r="H706" s="205"/>
      <c r="I706" s="216">
        <f>$I$604</f>
        <v>-0.01</v>
      </c>
      <c r="J706" s="1"/>
      <c r="K706" s="205"/>
    </row>
    <row r="707" spans="1:11">
      <c r="A707" s="193" t="s">
        <v>378</v>
      </c>
      <c r="B707" s="1"/>
      <c r="C707" s="203">
        <v>0</v>
      </c>
      <c r="D707" s="203">
        <v>0</v>
      </c>
      <c r="E707" s="268">
        <f>E684</f>
        <v>0</v>
      </c>
      <c r="F707" s="208"/>
      <c r="G707" s="205">
        <f>ROUND(E707*$C707*$E$604,0)</f>
        <v>0</v>
      </c>
      <c r="H707" s="205">
        <f>ROUND(E707*$D707*$E$604,0)</f>
        <v>0</v>
      </c>
      <c r="I707" s="268">
        <f>I684</f>
        <v>0</v>
      </c>
      <c r="J707" s="208"/>
      <c r="K707" s="205">
        <f>ROUND(I707*$D707*$E$604,0)</f>
        <v>0</v>
      </c>
    </row>
    <row r="708" spans="1:11">
      <c r="A708" s="193" t="s">
        <v>379</v>
      </c>
      <c r="B708" s="1"/>
      <c r="C708" s="203"/>
      <c r="D708" s="203"/>
      <c r="E708" s="268"/>
      <c r="F708" s="208"/>
      <c r="G708" s="205"/>
      <c r="H708" s="205"/>
      <c r="I708" s="268"/>
      <c r="J708" s="208"/>
      <c r="K708" s="205"/>
    </row>
    <row r="709" spans="1:11">
      <c r="A709" s="193" t="s">
        <v>440</v>
      </c>
      <c r="B709" s="1"/>
      <c r="C709" s="203">
        <v>1</v>
      </c>
      <c r="D709" s="203">
        <v>1</v>
      </c>
      <c r="E709" s="268">
        <f>E686</f>
        <v>0</v>
      </c>
      <c r="F709" s="208"/>
      <c r="G709" s="205">
        <f>ROUND(E709*$C709*$E$604,0)</f>
        <v>0</v>
      </c>
      <c r="H709" s="205">
        <f>ROUND(E709*$D709*$E$604,0)</f>
        <v>0</v>
      </c>
      <c r="I709" s="268">
        <f>I686</f>
        <v>0</v>
      </c>
      <c r="J709" s="208"/>
      <c r="K709" s="205">
        <f>ROUND(I709*$D709*$E$604,0)</f>
        <v>0</v>
      </c>
    </row>
    <row r="710" spans="1:11">
      <c r="A710" s="193" t="s">
        <v>441</v>
      </c>
      <c r="B710" s="1"/>
      <c r="C710" s="203">
        <v>0</v>
      </c>
      <c r="D710" s="203">
        <v>0</v>
      </c>
      <c r="E710" s="268">
        <f>E687</f>
        <v>275</v>
      </c>
      <c r="F710" s="208"/>
      <c r="G710" s="205">
        <f>ROUND(E710*$C710*$E$604,0)</f>
        <v>0</v>
      </c>
      <c r="H710" s="205">
        <f>ROUND(E710*$D710*$E$604,0)</f>
        <v>0</v>
      </c>
      <c r="I710" s="268">
        <f>I687</f>
        <v>301</v>
      </c>
      <c r="J710" s="208"/>
      <c r="K710" s="205">
        <f>ROUND(I710*$D710*$E$604,0)</f>
        <v>0</v>
      </c>
    </row>
    <row r="711" spans="1:11">
      <c r="A711" s="193" t="s">
        <v>442</v>
      </c>
      <c r="B711" s="1"/>
      <c r="C711" s="203">
        <v>0</v>
      </c>
      <c r="D711" s="203">
        <v>0</v>
      </c>
      <c r="E711" s="268">
        <f>E688</f>
        <v>1110</v>
      </c>
      <c r="F711" s="208"/>
      <c r="G711" s="205">
        <f>ROUND(E711*$C711*$E$604,0)</f>
        <v>0</v>
      </c>
      <c r="H711" s="205">
        <f>ROUND(E711*$D711*$E$604,0)</f>
        <v>0</v>
      </c>
      <c r="I711" s="268">
        <f>I688</f>
        <v>1215</v>
      </c>
      <c r="J711" s="208"/>
      <c r="K711" s="205">
        <f>ROUND(I711*$D711*$E$604,0)</f>
        <v>0</v>
      </c>
    </row>
    <row r="712" spans="1:11">
      <c r="A712" s="193" t="s">
        <v>378</v>
      </c>
      <c r="B712" s="1"/>
      <c r="C712" s="203">
        <v>0</v>
      </c>
      <c r="D712" s="203">
        <f>ROUND(($D$727/$C$727)*C712,0)</f>
        <v>0</v>
      </c>
      <c r="E712" s="268">
        <f>E693</f>
        <v>18.149999999999999</v>
      </c>
      <c r="F712" s="208"/>
      <c r="G712" s="205">
        <f>ROUND(E712*$C712*$E$604,0)</f>
        <v>0</v>
      </c>
      <c r="H712" s="205">
        <f>ROUND(E712*$D712*$E$604,0)</f>
        <v>0</v>
      </c>
      <c r="I712" s="268">
        <f>I693</f>
        <v>19.87</v>
      </c>
      <c r="J712" s="208"/>
      <c r="K712" s="205">
        <f>ROUND(I712*$D712*$E$604,0)</f>
        <v>0</v>
      </c>
    </row>
    <row r="713" spans="1:11">
      <c r="A713" s="193" t="s">
        <v>379</v>
      </c>
      <c r="B713" s="1"/>
      <c r="C713" s="203"/>
      <c r="D713" s="203"/>
      <c r="E713" s="268"/>
      <c r="F713" s="208"/>
      <c r="G713" s="205"/>
      <c r="H713" s="205"/>
      <c r="I713" s="268"/>
      <c r="J713" s="208"/>
      <c r="K713" s="205"/>
    </row>
    <row r="714" spans="1:11">
      <c r="A714" s="193" t="s">
        <v>440</v>
      </c>
      <c r="B714" s="1"/>
      <c r="C714" s="203">
        <v>40</v>
      </c>
      <c r="D714" s="203">
        <f>ROUND(($D$727/$C$727)*C714,0)</f>
        <v>39</v>
      </c>
      <c r="E714" s="268">
        <f>E695</f>
        <v>18.149999999999999</v>
      </c>
      <c r="F714" s="208"/>
      <c r="G714" s="205">
        <f>ROUND(E714*$C714*$E$604,0)</f>
        <v>-7</v>
      </c>
      <c r="H714" s="205">
        <f>ROUND(E714*$D714*$E$604,0)</f>
        <v>-7</v>
      </c>
      <c r="I714" s="268">
        <f>I695</f>
        <v>19.87</v>
      </c>
      <c r="J714" s="208"/>
      <c r="K714" s="205">
        <f>ROUND(I714*$D714*$E$604,0)</f>
        <v>-8</v>
      </c>
    </row>
    <row r="715" spans="1:11">
      <c r="A715" s="193" t="s">
        <v>441</v>
      </c>
      <c r="B715" s="1"/>
      <c r="C715" s="203">
        <v>0</v>
      </c>
      <c r="D715" s="203">
        <f>ROUND(($D$727/$C$727)*C715,0)</f>
        <v>0</v>
      </c>
      <c r="E715" s="268">
        <f>E696</f>
        <v>12.4</v>
      </c>
      <c r="F715" s="208"/>
      <c r="G715" s="205">
        <f>ROUND(E715*$C715*$E$604,0)</f>
        <v>0</v>
      </c>
      <c r="H715" s="205">
        <f>ROUND(E715*$D715*$E$604,0)</f>
        <v>0</v>
      </c>
      <c r="I715" s="268">
        <f>I696</f>
        <v>13.64</v>
      </c>
      <c r="J715" s="208"/>
      <c r="K715" s="205">
        <f>ROUND(I715*$D715*$E$604,0)</f>
        <v>0</v>
      </c>
    </row>
    <row r="716" spans="1:11">
      <c r="A716" s="193" t="s">
        <v>442</v>
      </c>
      <c r="B716" s="1"/>
      <c r="C716" s="203">
        <v>0</v>
      </c>
      <c r="D716" s="203">
        <f>ROUND(($D$727/$C$727)*C716,0)</f>
        <v>0</v>
      </c>
      <c r="E716" s="268">
        <f>E697</f>
        <v>9.65</v>
      </c>
      <c r="F716" s="208"/>
      <c r="G716" s="205">
        <f>ROUND(E716*$C716*$E$604,0)</f>
        <v>0</v>
      </c>
      <c r="H716" s="205">
        <f>ROUND(E716*$D716*$E$604,0)</f>
        <v>0</v>
      </c>
      <c r="I716" s="268">
        <f>I697</f>
        <v>10.62</v>
      </c>
      <c r="J716" s="208"/>
      <c r="K716" s="205">
        <f>ROUND(I716*$D716*$E$604,0)</f>
        <v>0</v>
      </c>
    </row>
    <row r="717" spans="1:11">
      <c r="A717" s="193" t="s">
        <v>453</v>
      </c>
      <c r="B717" s="1"/>
      <c r="C717" s="203">
        <v>0</v>
      </c>
      <c r="D717" s="203">
        <v>0</v>
      </c>
      <c r="E717" s="237">
        <f>E698</f>
        <v>54.45</v>
      </c>
      <c r="F717" s="208"/>
      <c r="G717" s="205">
        <f>ROUND(E717*$C717*$E$604,0)</f>
        <v>0</v>
      </c>
      <c r="H717" s="205">
        <f>ROUND(E717*$D717*$E$604,0)</f>
        <v>0</v>
      </c>
      <c r="I717" s="237">
        <f>I698</f>
        <v>59.61</v>
      </c>
      <c r="J717" s="208"/>
      <c r="K717" s="205">
        <f>ROUND(I717*$D717*$E$604,0)</f>
        <v>0</v>
      </c>
    </row>
    <row r="718" spans="1:11">
      <c r="A718" s="193" t="s">
        <v>454</v>
      </c>
      <c r="B718" s="1"/>
      <c r="C718" s="203">
        <v>0</v>
      </c>
      <c r="D718" s="203">
        <v>0</v>
      </c>
      <c r="E718" s="237">
        <f>E699</f>
        <v>108.9</v>
      </c>
      <c r="F718" s="208"/>
      <c r="G718" s="205">
        <f>ROUND(E718*$C718*$E$604,0)</f>
        <v>0</v>
      </c>
      <c r="H718" s="205">
        <f>ROUND(E718*$D718*$E$604,0)</f>
        <v>0</v>
      </c>
      <c r="I718" s="237">
        <f>I699</f>
        <v>119.22</v>
      </c>
      <c r="J718" s="208"/>
      <c r="K718" s="205">
        <f>ROUND(I718*$D718*$E$604,0)</f>
        <v>0</v>
      </c>
    </row>
    <row r="719" spans="1:11">
      <c r="A719" s="193" t="s">
        <v>450</v>
      </c>
      <c r="B719" s="1"/>
      <c r="C719" s="203"/>
      <c r="D719" s="203"/>
      <c r="E719" s="221"/>
      <c r="F719" s="208"/>
      <c r="G719" s="205"/>
      <c r="H719" s="205"/>
      <c r="I719" s="221"/>
      <c r="J719" s="208"/>
      <c r="K719" s="205"/>
    </row>
    <row r="720" spans="1:11">
      <c r="A720" s="193" t="s">
        <v>445</v>
      </c>
      <c r="B720" s="1"/>
      <c r="C720" s="203">
        <v>0</v>
      </c>
      <c r="D720" s="203">
        <f>ROUND(($D$727/$C$727)*C720,0)</f>
        <v>0</v>
      </c>
      <c r="E720" s="247">
        <f>E701</f>
        <v>-18.149999999999999</v>
      </c>
      <c r="F720" s="208"/>
      <c r="G720" s="205">
        <f>ROUND(E720*$C720*$E$604,0)</f>
        <v>0</v>
      </c>
      <c r="H720" s="205">
        <f>ROUND(E720*$D720*$E$604,0)</f>
        <v>0</v>
      </c>
      <c r="I720" s="247">
        <f>I701</f>
        <v>-19.87</v>
      </c>
      <c r="J720" s="208"/>
      <c r="K720" s="205">
        <f>ROUND(I720*$D720*$E$604,0)</f>
        <v>0</v>
      </c>
    </row>
    <row r="721" spans="1:15">
      <c r="A721" s="193" t="s">
        <v>451</v>
      </c>
      <c r="B721" s="1"/>
      <c r="C721" s="203">
        <v>0</v>
      </c>
      <c r="D721" s="203">
        <f>ROUND(($D$727/$C$727)*C721,0)</f>
        <v>0</v>
      </c>
      <c r="E721" s="247">
        <f>E702</f>
        <v>-18.149999999999999</v>
      </c>
      <c r="F721" s="208"/>
      <c r="G721" s="205">
        <f>ROUND(E721*$C721*$E$604,0)</f>
        <v>0</v>
      </c>
      <c r="H721" s="205">
        <f>ROUND(E721*$D721*$E$604,0)</f>
        <v>0</v>
      </c>
      <c r="I721" s="247">
        <f>I702</f>
        <v>-19.87</v>
      </c>
      <c r="J721" s="208"/>
      <c r="K721" s="205">
        <f>ROUND(I721*$D721*$E$604,0)</f>
        <v>0</v>
      </c>
    </row>
    <row r="722" spans="1:15">
      <c r="A722" s="207" t="s">
        <v>414</v>
      </c>
      <c r="B722" s="1"/>
      <c r="C722" s="203"/>
      <c r="D722" s="203"/>
      <c r="E722" s="268"/>
      <c r="F722" s="205"/>
      <c r="G722" s="205"/>
      <c r="H722" s="205"/>
      <c r="I722" s="268"/>
      <c r="J722" s="205"/>
      <c r="K722" s="205"/>
    </row>
    <row r="723" spans="1:15">
      <c r="A723" s="193" t="s">
        <v>452</v>
      </c>
      <c r="B723" s="1"/>
      <c r="C723" s="203">
        <f>38079</f>
        <v>38079</v>
      </c>
      <c r="D723" s="203">
        <f>ROUND(($D$727/$C$727)*C723,0)</f>
        <v>36727</v>
      </c>
      <c r="E723" s="269">
        <f>E704</f>
        <v>4.9909999999999997</v>
      </c>
      <c r="F723" s="205" t="s">
        <v>362</v>
      </c>
      <c r="G723" s="205">
        <f>ROUND(E723/100*$C723*$E$604,0)</f>
        <v>-19</v>
      </c>
      <c r="H723" s="205">
        <f>ROUND(E723/100*$D723*$E$604,0)</f>
        <v>-18</v>
      </c>
      <c r="I723" s="269">
        <f>I704</f>
        <v>5.3710000000000004</v>
      </c>
      <c r="J723" s="205" t="s">
        <v>362</v>
      </c>
      <c r="K723" s="205">
        <f>ROUND(I723/100*$D723*$E$604,0)</f>
        <v>-20</v>
      </c>
    </row>
    <row r="724" spans="1:15">
      <c r="A724" s="207" t="s">
        <v>388</v>
      </c>
      <c r="B724" s="1"/>
      <c r="C724" s="203">
        <v>0</v>
      </c>
      <c r="D724" s="203">
        <f>ROUND(($D$727/$C$727)*C724,0)</f>
        <v>0</v>
      </c>
      <c r="E724" s="259">
        <f>E705</f>
        <v>45</v>
      </c>
      <c r="F724" s="205" t="s">
        <v>362</v>
      </c>
      <c r="G724" s="205">
        <f>ROUND(E724/100*$C724*$E$604,0)</f>
        <v>0</v>
      </c>
      <c r="H724" s="205">
        <f>ROUND(E724/100*$D724*$E$604,0)</f>
        <v>0</v>
      </c>
      <c r="I724" s="259">
        <f>I705</f>
        <v>45</v>
      </c>
      <c r="J724" s="207" t="s">
        <v>362</v>
      </c>
      <c r="K724" s="205">
        <f>ROUND(I724/100*$D724*$E$604,0)</f>
        <v>0</v>
      </c>
    </row>
    <row r="725" spans="1:15">
      <c r="A725" s="207" t="s">
        <v>431</v>
      </c>
      <c r="B725" s="1"/>
      <c r="C725" s="203">
        <f>5+7</f>
        <v>12</v>
      </c>
      <c r="D725" s="203">
        <v>13</v>
      </c>
      <c r="E725" s="182">
        <v>60</v>
      </c>
      <c r="F725" s="248" t="s">
        <v>31</v>
      </c>
      <c r="G725" s="205">
        <f>ROUND(E725*$C725,0)</f>
        <v>720</v>
      </c>
      <c r="H725" s="205">
        <f>ROUND(E725*$D725,0)</f>
        <v>780</v>
      </c>
      <c r="I725" s="182">
        <f>$I$623</f>
        <v>60</v>
      </c>
      <c r="J725" s="1"/>
      <c r="K725" s="205">
        <f>ROUND(I725*$D725,0)</f>
        <v>780</v>
      </c>
    </row>
    <row r="726" spans="1:15">
      <c r="A726" s="207" t="s">
        <v>432</v>
      </c>
      <c r="B726" s="1"/>
      <c r="C726" s="203">
        <f>7*C714</f>
        <v>280</v>
      </c>
      <c r="D726" s="203">
        <f>ROUND(($D$727/$C$727)*C726,0)</f>
        <v>270</v>
      </c>
      <c r="E726" s="223">
        <v>-30</v>
      </c>
      <c r="F726" s="205" t="s">
        <v>362</v>
      </c>
      <c r="G726" s="205">
        <f>ROUND(E726*$C726/100,0)</f>
        <v>-84</v>
      </c>
      <c r="H726" s="205">
        <f>ROUND(E726*$D726/100,0)</f>
        <v>-81</v>
      </c>
      <c r="I726" s="223">
        <f>$I$624</f>
        <v>-30</v>
      </c>
      <c r="J726" s="205" t="s">
        <v>362</v>
      </c>
      <c r="K726" s="205">
        <f>ROUND(I726*$D726/100,0)</f>
        <v>-81</v>
      </c>
    </row>
    <row r="727" spans="1:15">
      <c r="A727" s="1" t="s">
        <v>369</v>
      </c>
      <c r="B727" s="1"/>
      <c r="C727" s="203">
        <f>SUM(C704:C704)</f>
        <v>19403281</v>
      </c>
      <c r="D727" s="203">
        <v>18714383.130874861</v>
      </c>
      <c r="E727" s="214"/>
      <c r="F727" s="2"/>
      <c r="G727" s="2">
        <f>SUM(G684:G726)</f>
        <v>1173033</v>
      </c>
      <c r="H727" s="2">
        <f>SUM(H684:H726)</f>
        <v>1132712</v>
      </c>
      <c r="I727" s="214"/>
      <c r="J727" s="207"/>
      <c r="K727" s="2">
        <f>SUM(K684:K726)</f>
        <v>1222790</v>
      </c>
    </row>
    <row r="728" spans="1:15">
      <c r="A728" s="1" t="s">
        <v>351</v>
      </c>
      <c r="B728" s="1"/>
      <c r="C728" s="233">
        <v>346887.72769998875</v>
      </c>
      <c r="D728" s="233">
        <v>0</v>
      </c>
      <c r="E728" s="193"/>
      <c r="F728" s="193"/>
      <c r="G728" s="194">
        <v>17626.216910670679</v>
      </c>
      <c r="H728" s="194">
        <v>0</v>
      </c>
      <c r="I728" s="193"/>
      <c r="J728" s="193"/>
      <c r="K728" s="194">
        <v>0</v>
      </c>
      <c r="M728" s="173"/>
      <c r="N728" s="173"/>
      <c r="O728" s="174"/>
    </row>
    <row r="729" spans="1:15" ht="16.5" thickBot="1">
      <c r="A729" s="1" t="s">
        <v>370</v>
      </c>
      <c r="B729" s="1"/>
      <c r="C729" s="250">
        <f>SUM(C727:C728)</f>
        <v>19750168.727699988</v>
      </c>
      <c r="D729" s="250">
        <f>SUM(D727:D728)</f>
        <v>18714383.130874861</v>
      </c>
      <c r="E729" s="226"/>
      <c r="F729" s="227"/>
      <c r="G729" s="228">
        <f>G727+G728</f>
        <v>1190659.2169106707</v>
      </c>
      <c r="H729" s="228">
        <f>H727+H728</f>
        <v>1132712</v>
      </c>
      <c r="I729" s="226"/>
      <c r="J729" s="229"/>
      <c r="K729" s="228">
        <f>K727+K728</f>
        <v>1222790</v>
      </c>
      <c r="M729" s="175"/>
      <c r="N729" s="175"/>
      <c r="O729" s="176"/>
    </row>
    <row r="730" spans="1:15" ht="16.5" thickTop="1">
      <c r="A730" s="187"/>
      <c r="B730" s="262"/>
      <c r="C730" s="187"/>
      <c r="D730" s="187"/>
      <c r="E730" s="21"/>
      <c r="F730" s="21"/>
      <c r="G730" s="263"/>
      <c r="H730" s="263"/>
      <c r="I730" s="187"/>
      <c r="J730" s="187"/>
      <c r="K730" s="187"/>
    </row>
    <row r="731" spans="1:15">
      <c r="A731" s="177" t="s">
        <v>457</v>
      </c>
      <c r="B731" s="1"/>
      <c r="C731" s="1"/>
      <c r="D731" s="1"/>
      <c r="E731" s="2"/>
      <c r="F731" s="2"/>
      <c r="G731" s="1"/>
      <c r="H731" s="1"/>
      <c r="I731" s="2"/>
      <c r="J731" s="1"/>
      <c r="K731" s="1"/>
    </row>
    <row r="732" spans="1:15">
      <c r="A732" s="193" t="s">
        <v>458</v>
      </c>
      <c r="B732" s="1"/>
      <c r="C732" s="1"/>
      <c r="D732" s="1"/>
      <c r="E732" s="2"/>
      <c r="F732" s="2"/>
      <c r="G732" s="1"/>
      <c r="H732" s="1"/>
      <c r="I732" s="2"/>
      <c r="J732" s="1"/>
      <c r="K732" s="1"/>
    </row>
    <row r="733" spans="1:15">
      <c r="A733" s="207"/>
      <c r="B733" s="1"/>
      <c r="C733" s="1"/>
      <c r="D733" s="1"/>
      <c r="E733" s="2"/>
      <c r="F733" s="2"/>
      <c r="G733" s="1"/>
      <c r="H733" s="1"/>
      <c r="I733" s="2"/>
      <c r="J733" s="1"/>
      <c r="K733" s="1"/>
    </row>
    <row r="734" spans="1:15">
      <c r="A734" s="207" t="s">
        <v>381</v>
      </c>
      <c r="B734" s="1"/>
      <c r="C734" s="203"/>
      <c r="D734" s="203"/>
      <c r="E734" s="2"/>
      <c r="F734" s="2"/>
      <c r="G734" s="1"/>
      <c r="H734" s="1"/>
      <c r="I734" s="2"/>
      <c r="J734" s="1"/>
      <c r="K734" s="1"/>
    </row>
    <row r="735" spans="1:15">
      <c r="A735" s="207" t="s">
        <v>459</v>
      </c>
      <c r="B735" s="1"/>
      <c r="C735" s="203">
        <v>13</v>
      </c>
      <c r="D735" s="203">
        <v>12</v>
      </c>
      <c r="E735" s="268">
        <f t="shared" ref="E735:E740" si="60">E794</f>
        <v>1100</v>
      </c>
      <c r="F735" s="221"/>
      <c r="G735" s="2">
        <f>ROUND(E735*$C735,0)</f>
        <v>14300</v>
      </c>
      <c r="H735" s="2">
        <f>ROUND(E735*$D735,0)</f>
        <v>13200</v>
      </c>
      <c r="I735" s="268">
        <f t="shared" ref="I735:I740" si="61">I794</f>
        <v>1205</v>
      </c>
      <c r="J735" s="205"/>
      <c r="K735" s="2">
        <f>ROUND(I735*$D735,0)</f>
        <v>14460</v>
      </c>
      <c r="M735" s="81">
        <f>I735*D735</f>
        <v>14460</v>
      </c>
      <c r="O735" s="14"/>
    </row>
    <row r="736" spans="1:15">
      <c r="A736" s="207" t="s">
        <v>460</v>
      </c>
      <c r="B736" s="1"/>
      <c r="C736" s="203">
        <v>0</v>
      </c>
      <c r="D736" s="203">
        <v>0</v>
      </c>
      <c r="E736" s="268">
        <f t="shared" si="60"/>
        <v>1325</v>
      </c>
      <c r="F736" s="221"/>
      <c r="G736" s="2">
        <f>ROUND(E736*$C736,0)</f>
        <v>0</v>
      </c>
      <c r="H736" s="2">
        <f>ROUND(E736*$D736,0)</f>
        <v>0</v>
      </c>
      <c r="I736" s="268">
        <f t="shared" si="61"/>
        <v>1450</v>
      </c>
      <c r="J736" s="208"/>
      <c r="K736" s="2">
        <f>ROUND(I736*$D736,0)</f>
        <v>0</v>
      </c>
      <c r="M736" s="81">
        <f>I736*D736</f>
        <v>0</v>
      </c>
      <c r="O736" s="14"/>
    </row>
    <row r="737" spans="1:15">
      <c r="A737" s="207" t="s">
        <v>382</v>
      </c>
      <c r="B737" s="1"/>
      <c r="C737" s="203">
        <f>SUM(C735:C736)</f>
        <v>13</v>
      </c>
      <c r="D737" s="203">
        <f>SUM(D735:D736)</f>
        <v>12</v>
      </c>
      <c r="E737" s="268" t="str">
        <f t="shared" si="60"/>
        <v xml:space="preserve"> </v>
      </c>
      <c r="F737" s="221"/>
      <c r="G737" s="2" t="s">
        <v>31</v>
      </c>
      <c r="H737" s="2" t="s">
        <v>31</v>
      </c>
      <c r="I737" s="268" t="str">
        <f t="shared" si="61"/>
        <v xml:space="preserve"> </v>
      </c>
      <c r="J737" s="205"/>
      <c r="K737" s="2" t="s">
        <v>31</v>
      </c>
    </row>
    <row r="738" spans="1:15">
      <c r="A738" s="207" t="s">
        <v>461</v>
      </c>
      <c r="B738" s="1"/>
      <c r="C738" s="203">
        <f>16660</f>
        <v>16660</v>
      </c>
      <c r="D738" s="203">
        <f>ROUND(($D$758/$C$758)*C738,0)</f>
        <v>22366</v>
      </c>
      <c r="E738" s="268">
        <f t="shared" si="60"/>
        <v>0.83</v>
      </c>
      <c r="F738" s="221"/>
      <c r="G738" s="2">
        <f>ROUND(E738*$C738,0)</f>
        <v>13828</v>
      </c>
      <c r="H738" s="2">
        <f>ROUND(E738*$D738,0)</f>
        <v>18564</v>
      </c>
      <c r="I738" s="268">
        <f t="shared" si="61"/>
        <v>0.91</v>
      </c>
      <c r="J738" s="205"/>
      <c r="K738" s="2">
        <f>ROUND(I738*$D738,0)</f>
        <v>20353</v>
      </c>
      <c r="M738" s="81">
        <f>I738*D738</f>
        <v>20353.060000000001</v>
      </c>
      <c r="O738" s="14"/>
    </row>
    <row r="739" spans="1:15">
      <c r="A739" s="207" t="s">
        <v>462</v>
      </c>
      <c r="B739" s="1"/>
      <c r="C739" s="203">
        <v>0</v>
      </c>
      <c r="D739" s="203">
        <v>0</v>
      </c>
      <c r="E739" s="268">
        <f t="shared" si="60"/>
        <v>0.76</v>
      </c>
      <c r="F739" s="221"/>
      <c r="G739" s="2">
        <f>ROUND(E739*$C739,0)</f>
        <v>0</v>
      </c>
      <c r="H739" s="2">
        <f>ROUND(E739*$D739,0)</f>
        <v>0</v>
      </c>
      <c r="I739" s="268">
        <f t="shared" si="61"/>
        <v>0.83</v>
      </c>
      <c r="J739" s="205"/>
      <c r="K739" s="2">
        <f>ROUND(I739*$D739,0)</f>
        <v>0</v>
      </c>
      <c r="M739" s="81">
        <f>I739*D739</f>
        <v>0</v>
      </c>
    </row>
    <row r="740" spans="1:15">
      <c r="A740" s="193" t="s">
        <v>391</v>
      </c>
      <c r="B740" s="1"/>
      <c r="C740" s="203">
        <f>11800</f>
        <v>11800</v>
      </c>
      <c r="D740" s="203">
        <f>ROUND(($D$758/$C$758)*C740,0)</f>
        <v>15841</v>
      </c>
      <c r="E740" s="268">
        <f t="shared" si="60"/>
        <v>5.52</v>
      </c>
      <c r="F740" s="221"/>
      <c r="G740" s="2">
        <f>ROUND(E740*$C740,0)</f>
        <v>65136</v>
      </c>
      <c r="H740" s="2">
        <f>ROUND(E740*$D740,0)</f>
        <v>87442</v>
      </c>
      <c r="I740" s="268">
        <f t="shared" si="61"/>
        <v>6.03</v>
      </c>
      <c r="J740" s="205"/>
      <c r="K740" s="2">
        <f>ROUND(I740*$D740,0)</f>
        <v>95521</v>
      </c>
      <c r="M740" s="81">
        <f>I740*D740</f>
        <v>95521.23000000001</v>
      </c>
    </row>
    <row r="741" spans="1:15">
      <c r="A741" s="207" t="s">
        <v>414</v>
      </c>
      <c r="B741" s="1"/>
      <c r="C741" s="203"/>
      <c r="D741" s="203"/>
      <c r="E741" s="268"/>
      <c r="F741" s="221"/>
      <c r="G741" s="2"/>
      <c r="H741" s="2"/>
      <c r="I741" s="268"/>
      <c r="J741" s="205"/>
      <c r="K741" s="2"/>
    </row>
    <row r="742" spans="1:15">
      <c r="A742" s="207" t="s">
        <v>452</v>
      </c>
      <c r="B742" s="1"/>
      <c r="C742" s="203">
        <f>1815160</f>
        <v>1815160</v>
      </c>
      <c r="D742" s="203">
        <f>ROUND(($D$758/$C$758)*C742,0)</f>
        <v>2436796</v>
      </c>
      <c r="E742" s="271">
        <f>E801</f>
        <v>3.2050000000000001</v>
      </c>
      <c r="F742" s="205" t="s">
        <v>362</v>
      </c>
      <c r="G742" s="2">
        <f>ROUND(E742/100*$C742,0)</f>
        <v>58176</v>
      </c>
      <c r="H742" s="2">
        <f>ROUND(E742/100*$D742,0)</f>
        <v>78099</v>
      </c>
      <c r="I742" s="271">
        <f>I801</f>
        <v>3.4990000000000001</v>
      </c>
      <c r="J742" s="205" t="s">
        <v>362</v>
      </c>
      <c r="K742" s="2">
        <f>ROUND(I742/100*$D742,0)</f>
        <v>85263</v>
      </c>
      <c r="M742" s="81">
        <f>(I742/100)*D742</f>
        <v>85263.492039999997</v>
      </c>
    </row>
    <row r="743" spans="1:15">
      <c r="A743" s="207" t="s">
        <v>388</v>
      </c>
      <c r="B743" s="1"/>
      <c r="C743" s="203">
        <f>52276</f>
        <v>52276</v>
      </c>
      <c r="D743" s="203">
        <f>ROUND(($D$758/$C$758)*C743,0)</f>
        <v>70179</v>
      </c>
      <c r="E743" s="268">
        <f>E802</f>
        <v>0.45</v>
      </c>
      <c r="F743" s="205"/>
      <c r="G743" s="2">
        <f>ROUND(E743*$C743,0)</f>
        <v>23524</v>
      </c>
      <c r="H743" s="2">
        <f>ROUND(E743*$D743,0)</f>
        <v>31581</v>
      </c>
      <c r="I743" s="268">
        <f>I802</f>
        <v>0.45</v>
      </c>
      <c r="J743" s="205"/>
      <c r="K743" s="2">
        <f>ROUND(I743*$D743,0)</f>
        <v>31581</v>
      </c>
      <c r="M743" s="81">
        <f>I743*D743</f>
        <v>31580.55</v>
      </c>
      <c r="N743" s="203"/>
    </row>
    <row r="744" spans="1:15">
      <c r="A744" s="193" t="s">
        <v>416</v>
      </c>
      <c r="B744" s="1"/>
      <c r="C744" s="203">
        <v>0</v>
      </c>
      <c r="D744" s="203">
        <v>0</v>
      </c>
      <c r="E744" s="272">
        <v>5.9999999999999995E-4</v>
      </c>
      <c r="F744" s="205"/>
      <c r="G744" s="2">
        <f>ROUND(E744*$C744,0)</f>
        <v>0</v>
      </c>
      <c r="H744" s="2">
        <f>ROUND(E744*$D744,0)</f>
        <v>0</v>
      </c>
      <c r="I744" s="272">
        <v>5.9999999999999995E-4</v>
      </c>
      <c r="J744" s="205"/>
      <c r="K744" s="2">
        <f>ROUND(I744*$D744,0)</f>
        <v>0</v>
      </c>
      <c r="M744" s="81">
        <f>I744*D744</f>
        <v>0</v>
      </c>
      <c r="N744" s="203"/>
    </row>
    <row r="745" spans="1:15">
      <c r="A745" s="244" t="s">
        <v>389</v>
      </c>
      <c r="B745" s="1"/>
      <c r="C745" s="203"/>
      <c r="D745" s="203"/>
      <c r="E745" s="273">
        <f>E803</f>
        <v>-0.01</v>
      </c>
      <c r="F745" s="216"/>
      <c r="G745" s="2"/>
      <c r="H745" s="2"/>
      <c r="I745" s="273">
        <f>I803</f>
        <v>-0.01</v>
      </c>
      <c r="J745" s="245"/>
      <c r="K745" s="2"/>
    </row>
    <row r="746" spans="1:15">
      <c r="A746" s="207" t="s">
        <v>459</v>
      </c>
      <c r="B746" s="1"/>
      <c r="C746" s="203">
        <v>0</v>
      </c>
      <c r="D746" s="203">
        <v>0</v>
      </c>
      <c r="E746" s="268">
        <f>E735</f>
        <v>1100</v>
      </c>
      <c r="F746" s="218"/>
      <c r="G746" s="205">
        <f>ROUND(E746*$C746*$E$803,0)</f>
        <v>0</v>
      </c>
      <c r="H746" s="205">
        <f>ROUND(E746*$D746*$E$803,0)</f>
        <v>0</v>
      </c>
      <c r="I746" s="268">
        <f>I735</f>
        <v>1205</v>
      </c>
      <c r="J746" s="205"/>
      <c r="K746" s="205">
        <f>ROUND(I746*$D746*$E$803,0)</f>
        <v>0</v>
      </c>
      <c r="M746" s="81">
        <f>-(I746*D746)/100</f>
        <v>0</v>
      </c>
    </row>
    <row r="747" spans="1:15">
      <c r="A747" s="207" t="s">
        <v>460</v>
      </c>
      <c r="B747" s="1"/>
      <c r="C747" s="203">
        <f>C736</f>
        <v>0</v>
      </c>
      <c r="D747" s="203">
        <v>0</v>
      </c>
      <c r="E747" s="268">
        <f>E736</f>
        <v>1325</v>
      </c>
      <c r="F747" s="218"/>
      <c r="G747" s="205">
        <f>ROUND(E747*$C747*$E$803,0)</f>
        <v>0</v>
      </c>
      <c r="H747" s="205">
        <f>ROUND(E747*$D747*$E$803,0)</f>
        <v>0</v>
      </c>
      <c r="I747" s="268">
        <f>I736</f>
        <v>1450</v>
      </c>
      <c r="J747" s="205"/>
      <c r="K747" s="205">
        <f>ROUND(I747*$D747*$E$803,0)</f>
        <v>0</v>
      </c>
      <c r="M747" s="81">
        <f>-(I747*D747)/100</f>
        <v>0</v>
      </c>
    </row>
    <row r="748" spans="1:15">
      <c r="A748" s="207" t="s">
        <v>461</v>
      </c>
      <c r="B748" s="1"/>
      <c r="C748" s="203">
        <v>0</v>
      </c>
      <c r="D748" s="203">
        <v>0</v>
      </c>
      <c r="E748" s="268">
        <f>E738</f>
        <v>0.83</v>
      </c>
      <c r="F748" s="218"/>
      <c r="G748" s="205">
        <f>ROUND(E748*$C748*$E$803,0)</f>
        <v>0</v>
      </c>
      <c r="H748" s="205">
        <f>ROUND(E748*$D748*$E$803,0)</f>
        <v>0</v>
      </c>
      <c r="I748" s="268">
        <f>I738</f>
        <v>0.91</v>
      </c>
      <c r="J748" s="205"/>
      <c r="K748" s="205">
        <f>ROUND(I748*$D748*$E$803,0)</f>
        <v>0</v>
      </c>
      <c r="M748" s="81">
        <f>-(I748*D748)/100</f>
        <v>0</v>
      </c>
    </row>
    <row r="749" spans="1:15">
      <c r="A749" s="207" t="s">
        <v>462</v>
      </c>
      <c r="B749" s="1"/>
      <c r="C749" s="203">
        <f>C739</f>
        <v>0</v>
      </c>
      <c r="D749" s="203">
        <v>0</v>
      </c>
      <c r="E749" s="268">
        <f>E739</f>
        <v>0.76</v>
      </c>
      <c r="F749" s="218"/>
      <c r="G749" s="205">
        <f>ROUND(E749*$C749*$E$803,0)</f>
        <v>0</v>
      </c>
      <c r="H749" s="205">
        <f>ROUND(E749*$D749*$E$803,0)</f>
        <v>0</v>
      </c>
      <c r="I749" s="268">
        <f>I739</f>
        <v>0.83</v>
      </c>
      <c r="J749" s="205"/>
      <c r="K749" s="205">
        <f>ROUND(I749*$D749*$E$803,0)</f>
        <v>0</v>
      </c>
      <c r="M749" s="81">
        <f>-(I749*D749)/100</f>
        <v>0</v>
      </c>
    </row>
    <row r="750" spans="1:15">
      <c r="A750" s="193" t="s">
        <v>391</v>
      </c>
      <c r="B750" s="264"/>
      <c r="C750" s="203">
        <v>0</v>
      </c>
      <c r="D750" s="203">
        <v>0</v>
      </c>
      <c r="E750" s="268">
        <f>E740</f>
        <v>5.52</v>
      </c>
      <c r="F750" s="221"/>
      <c r="G750" s="205">
        <f>ROUND(E750*$C750*$E$803,0)</f>
        <v>0</v>
      </c>
      <c r="H750" s="205">
        <f>ROUND(E750*$D750*$E$803,0)</f>
        <v>0</v>
      </c>
      <c r="I750" s="268">
        <f>I740</f>
        <v>6.03</v>
      </c>
      <c r="J750" s="205"/>
      <c r="K750" s="205">
        <f>ROUND(I750*$D750*$E$803,0)</f>
        <v>0</v>
      </c>
      <c r="M750" s="81">
        <f>-(I750*D750)/100</f>
        <v>0</v>
      </c>
    </row>
    <row r="751" spans="1:15">
      <c r="A751" s="207" t="s">
        <v>452</v>
      </c>
      <c r="B751" s="1"/>
      <c r="C751" s="203">
        <v>0</v>
      </c>
      <c r="D751" s="203">
        <v>0</v>
      </c>
      <c r="E751" s="274">
        <f>E742</f>
        <v>3.2050000000000001</v>
      </c>
      <c r="F751" s="205" t="s">
        <v>362</v>
      </c>
      <c r="G751" s="205">
        <f>ROUND(E751/100*$C751*$E$803,0)</f>
        <v>0</v>
      </c>
      <c r="H751" s="205">
        <f>ROUND(E751/100*$D751*$E$803,0)</f>
        <v>0</v>
      </c>
      <c r="I751" s="274">
        <f>I742</f>
        <v>3.4990000000000001</v>
      </c>
      <c r="J751" s="205" t="s">
        <v>362</v>
      </c>
      <c r="K751" s="205">
        <f>ROUND(I751/100*$D751*$E$803,0)</f>
        <v>0</v>
      </c>
      <c r="M751" s="81">
        <f>-((I751*D751)/100)/100</f>
        <v>0</v>
      </c>
    </row>
    <row r="752" spans="1:15">
      <c r="A752" s="207" t="s">
        <v>388</v>
      </c>
      <c r="B752" s="1"/>
      <c r="C752" s="203">
        <v>0</v>
      </c>
      <c r="D752" s="203">
        <v>0</v>
      </c>
      <c r="E752" s="268">
        <f>E743</f>
        <v>0.45</v>
      </c>
      <c r="F752" s="205"/>
      <c r="G752" s="205">
        <f>ROUND(E752*$C752*$E$803,0)</f>
        <v>0</v>
      </c>
      <c r="H752" s="205">
        <f>ROUND(E752*$D752*$E$803,0)</f>
        <v>0</v>
      </c>
      <c r="I752" s="268">
        <f>I743</f>
        <v>0.45</v>
      </c>
      <c r="J752" s="205"/>
      <c r="K752" s="205">
        <f>ROUND(I752*$D752*$E$803,0)</f>
        <v>0</v>
      </c>
      <c r="M752" s="81">
        <f>-(I752*D752)/100</f>
        <v>0</v>
      </c>
    </row>
    <row r="753" spans="1:19">
      <c r="A753" s="193" t="s">
        <v>463</v>
      </c>
      <c r="B753" s="1"/>
      <c r="C753" s="203">
        <v>0</v>
      </c>
      <c r="D753" s="203">
        <v>0</v>
      </c>
      <c r="E753" s="268">
        <f>E811</f>
        <v>60</v>
      </c>
      <c r="F753" s="221"/>
      <c r="G753" s="205">
        <f>ROUND(E753*$C753,0)</f>
        <v>0</v>
      </c>
      <c r="H753" s="205">
        <f>ROUND(E753*$D753,0)</f>
        <v>0</v>
      </c>
      <c r="I753" s="268">
        <f>I811</f>
        <v>60</v>
      </c>
      <c r="J753" s="205"/>
      <c r="K753" s="205">
        <f>ROUND(I753*$D753,0)</f>
        <v>0</v>
      </c>
      <c r="M753" s="81">
        <f>-(I753*D753)/100</f>
        <v>0</v>
      </c>
    </row>
    <row r="754" spans="1:19">
      <c r="A754" s="193" t="s">
        <v>432</v>
      </c>
      <c r="B754" s="1"/>
      <c r="C754" s="203">
        <v>0</v>
      </c>
      <c r="D754" s="203">
        <v>0</v>
      </c>
      <c r="E754" s="268">
        <f>E812</f>
        <v>-0.3</v>
      </c>
      <c r="F754" s="205"/>
      <c r="G754" s="205">
        <f>ROUND(E754*$C754,0)</f>
        <v>0</v>
      </c>
      <c r="H754" s="205">
        <f>ROUND(E754*$D754,0)</f>
        <v>0</v>
      </c>
      <c r="I754" s="268">
        <f>I812</f>
        <v>-0.75</v>
      </c>
      <c r="J754" s="205"/>
      <c r="K754" s="205">
        <f>ROUND(I754*$D754,0)</f>
        <v>0</v>
      </c>
      <c r="M754" s="81">
        <f>-(I754*D754)/100</f>
        <v>0</v>
      </c>
    </row>
    <row r="755" spans="1:19">
      <c r="A755" s="193" t="s">
        <v>421</v>
      </c>
      <c r="B755" s="1"/>
      <c r="C755" s="203">
        <f>200</f>
        <v>200</v>
      </c>
      <c r="D755" s="203">
        <f>ROUND(($D$758/$C$758)*C755,0)</f>
        <v>268</v>
      </c>
      <c r="E755" s="275">
        <f>ROUND(E740/2,3)</f>
        <v>2.76</v>
      </c>
      <c r="F755" s="205"/>
      <c r="G755" s="205">
        <f>ROUND(E755*$C755,0)</f>
        <v>552</v>
      </c>
      <c r="H755" s="205">
        <f>ROUND(E755*$D755,0)</f>
        <v>740</v>
      </c>
      <c r="I755" s="275">
        <f>ROUND(I740/2,3)</f>
        <v>3.0150000000000001</v>
      </c>
      <c r="J755" s="205"/>
      <c r="K755" s="205">
        <f>ROUND($D755*I755,0)</f>
        <v>808</v>
      </c>
      <c r="M755" s="81">
        <f>I755*D755</f>
        <v>808.02</v>
      </c>
    </row>
    <row r="756" spans="1:19">
      <c r="A756" s="193" t="s">
        <v>422</v>
      </c>
      <c r="B756" s="1"/>
      <c r="C756" s="203">
        <v>240</v>
      </c>
      <c r="D756" s="203">
        <f>ROUND(($D$758/$C$758)*C756,0)</f>
        <v>322</v>
      </c>
      <c r="E756" s="218">
        <f>E740*4</f>
        <v>22.08</v>
      </c>
      <c r="F756" s="205"/>
      <c r="G756" s="205">
        <f>ROUND(E756*$C756,0)</f>
        <v>5299</v>
      </c>
      <c r="H756" s="205">
        <f>ROUND(E756*$D756,0)</f>
        <v>7110</v>
      </c>
      <c r="I756" s="218">
        <f>I740*4</f>
        <v>24.12</v>
      </c>
      <c r="J756" s="205"/>
      <c r="K756" s="205">
        <f>ROUND($D756*I756,0)</f>
        <v>7767</v>
      </c>
      <c r="M756" s="81">
        <f>I756*D756</f>
        <v>7766.64</v>
      </c>
    </row>
    <row r="757" spans="1:19">
      <c r="A757" s="3" t="s">
        <v>423</v>
      </c>
      <c r="B757" s="187"/>
      <c r="C757" s="203">
        <v>4840</v>
      </c>
      <c r="D757" s="203">
        <f>ROUND(($D$758/$C$758)*C757,0)</f>
        <v>6498</v>
      </c>
      <c r="E757" s="276">
        <f>E742*4</f>
        <v>12.82</v>
      </c>
      <c r="F757" s="205" t="s">
        <v>362</v>
      </c>
      <c r="G757" s="205">
        <f>ROUND($C757*E757/100,0)</f>
        <v>620</v>
      </c>
      <c r="H757" s="205">
        <f>ROUND($D757*E757/100,0)</f>
        <v>833</v>
      </c>
      <c r="I757" s="276">
        <f>I742*4</f>
        <v>13.996</v>
      </c>
      <c r="J757" s="205" t="s">
        <v>362</v>
      </c>
      <c r="K757" s="205">
        <f>ROUND($D757*I757/100,0)</f>
        <v>909</v>
      </c>
      <c r="M757" s="81">
        <f>(I757/100)*D757</f>
        <v>909.46008000000006</v>
      </c>
    </row>
    <row r="758" spans="1:19">
      <c r="A758" s="1" t="s">
        <v>369</v>
      </c>
      <c r="B758" s="1"/>
      <c r="C758" s="203">
        <f>C742</f>
        <v>1815160</v>
      </c>
      <c r="D758" s="203">
        <v>2436796.4482688801</v>
      </c>
      <c r="E758" s="214"/>
      <c r="F758" s="2"/>
      <c r="G758" s="2">
        <f>SUM(G735:G757)</f>
        <v>181435</v>
      </c>
      <c r="H758" s="2">
        <f>SUM(H735:H757)</f>
        <v>237569</v>
      </c>
      <c r="I758" s="214"/>
      <c r="J758" s="1"/>
      <c r="K758" s="2">
        <f>SUM(K735:K757)</f>
        <v>256662</v>
      </c>
      <c r="M758" s="81">
        <f>SUM(M735:M757)</f>
        <v>256662.45212</v>
      </c>
    </row>
    <row r="759" spans="1:19">
      <c r="A759" s="1" t="s">
        <v>351</v>
      </c>
      <c r="B759" s="1"/>
      <c r="C759" s="203">
        <v>-198469.54929823201</v>
      </c>
      <c r="D759" s="203">
        <v>0</v>
      </c>
      <c r="E759" s="193"/>
      <c r="F759" s="193"/>
      <c r="G759" s="225">
        <v>-15809.382749483628</v>
      </c>
      <c r="H759" s="225">
        <v>0</v>
      </c>
      <c r="I759" s="193"/>
      <c r="J759" s="193"/>
      <c r="K759" s="225">
        <v>0</v>
      </c>
    </row>
    <row r="760" spans="1:19" ht="16.5" thickBot="1">
      <c r="A760" s="1" t="s">
        <v>370</v>
      </c>
      <c r="B760" s="1"/>
      <c r="C760" s="277">
        <f>SUM(C758)+C759</f>
        <v>1616690.450701768</v>
      </c>
      <c r="D760" s="277">
        <f>SUM(D742)+D759</f>
        <v>2436796</v>
      </c>
      <c r="E760" s="226"/>
      <c r="F760" s="227"/>
      <c r="G760" s="228">
        <f>G758+G759</f>
        <v>165625.61725051637</v>
      </c>
      <c r="H760" s="228">
        <f>H758+H759</f>
        <v>237569</v>
      </c>
      <c r="I760" s="226"/>
      <c r="J760" s="229"/>
      <c r="K760" s="228">
        <f>K758+K759</f>
        <v>256662</v>
      </c>
      <c r="N760" s="3" t="s">
        <v>352</v>
      </c>
      <c r="O760" s="66" t="e">
        <f>#REF!*1000</f>
        <v>#REF!</v>
      </c>
    </row>
    <row r="761" spans="1:19" ht="16.5" thickTop="1">
      <c r="A761" s="1"/>
      <c r="B761" s="1"/>
      <c r="C761" s="21"/>
      <c r="D761" s="21"/>
      <c r="E761" s="221"/>
      <c r="F761" s="2"/>
      <c r="G761" s="2"/>
      <c r="H761" s="2"/>
      <c r="I761" s="221"/>
      <c r="J761" s="1"/>
      <c r="K761" s="264"/>
      <c r="N761" s="3" t="s">
        <v>256</v>
      </c>
      <c r="O761" s="66" t="e">
        <f>O760-K760</f>
        <v>#REF!</v>
      </c>
      <c r="P761" s="14" t="e">
        <f>(O760-K760)/K760</f>
        <v>#REF!</v>
      </c>
    </row>
    <row r="762" spans="1:19">
      <c r="A762" s="177" t="s">
        <v>464</v>
      </c>
      <c r="B762" s="1"/>
      <c r="C762" s="1"/>
      <c r="D762" s="1"/>
      <c r="E762" s="2"/>
      <c r="F762" s="2"/>
      <c r="G762" s="1"/>
      <c r="H762" s="1"/>
      <c r="I762" s="2"/>
      <c r="J762" s="1"/>
      <c r="K762" s="1"/>
    </row>
    <row r="763" spans="1:19">
      <c r="A763" s="193" t="s">
        <v>465</v>
      </c>
      <c r="B763" s="1"/>
      <c r="C763" s="1"/>
      <c r="D763" s="1"/>
      <c r="E763" s="2"/>
      <c r="F763" s="2"/>
      <c r="G763" s="1"/>
      <c r="H763" s="1"/>
      <c r="I763" s="2"/>
      <c r="J763" s="1"/>
      <c r="K763" s="1"/>
    </row>
    <row r="764" spans="1:19">
      <c r="A764" s="207"/>
      <c r="B764" s="1"/>
      <c r="C764" s="1"/>
      <c r="D764" s="1"/>
      <c r="E764" s="2"/>
      <c r="F764" s="2"/>
      <c r="G764" s="1"/>
      <c r="H764" s="1"/>
      <c r="I764" s="2"/>
      <c r="J764" s="1"/>
      <c r="K764" s="1"/>
    </row>
    <row r="765" spans="1:19">
      <c r="A765" s="207" t="s">
        <v>381</v>
      </c>
      <c r="B765" s="1"/>
      <c r="C765" s="203"/>
      <c r="D765" s="203"/>
      <c r="E765" s="2"/>
      <c r="F765" s="2"/>
      <c r="G765" s="1"/>
      <c r="H765" s="1"/>
      <c r="I765" s="2"/>
      <c r="J765" s="1"/>
      <c r="K765" s="1"/>
      <c r="R765" s="3">
        <v>3000</v>
      </c>
      <c r="S765" s="3">
        <v>3001</v>
      </c>
    </row>
    <row r="766" spans="1:19">
      <c r="A766" s="207" t="s">
        <v>459</v>
      </c>
      <c r="B766" s="1"/>
      <c r="C766" s="203">
        <f>C794+C877</f>
        <v>690</v>
      </c>
      <c r="D766" s="203">
        <f>D794+D877</f>
        <v>680</v>
      </c>
      <c r="E766" s="221">
        <v>1100</v>
      </c>
      <c r="F766" s="221"/>
      <c r="G766" s="2">
        <f>G794+G877</f>
        <v>759000</v>
      </c>
      <c r="H766" s="2">
        <f>H794+H877</f>
        <v>748000</v>
      </c>
      <c r="I766" s="221">
        <v>1205</v>
      </c>
      <c r="J766" s="205"/>
      <c r="K766" s="2">
        <f>K794+K877</f>
        <v>819400</v>
      </c>
      <c r="M766" s="81">
        <f>I766*D766</f>
        <v>819400</v>
      </c>
      <c r="O766" s="14">
        <f>(I766-E766)/E766</f>
        <v>9.5454545454545459E-2</v>
      </c>
      <c r="P766" s="14">
        <f>SUM(K766:K770)/SUM(H766:H770)-1</f>
        <v>9.4617608552899801E-2</v>
      </c>
      <c r="Q766" s="3" t="s">
        <v>359</v>
      </c>
      <c r="R766" s="213">
        <f>E766+(E769*3000)</f>
        <v>3590</v>
      </c>
      <c r="S766" s="213">
        <f>E767+(E770*3001)</f>
        <v>3605.76</v>
      </c>
    </row>
    <row r="767" spans="1:19">
      <c r="A767" s="207" t="s">
        <v>460</v>
      </c>
      <c r="B767" s="1"/>
      <c r="C767" s="203">
        <f>C795+C878</f>
        <v>74</v>
      </c>
      <c r="D767" s="203">
        <f>D795+D878</f>
        <v>74</v>
      </c>
      <c r="E767" s="221">
        <v>1325</v>
      </c>
      <c r="F767" s="221"/>
      <c r="G767" s="2">
        <f>G795+G878</f>
        <v>98050</v>
      </c>
      <c r="H767" s="2">
        <f>H795+H878</f>
        <v>98050</v>
      </c>
      <c r="I767" s="221">
        <v>1450</v>
      </c>
      <c r="J767" s="208"/>
      <c r="K767" s="2">
        <f>K795+K878</f>
        <v>107300</v>
      </c>
      <c r="M767" s="81">
        <f>I767*D767</f>
        <v>107300</v>
      </c>
      <c r="O767" s="14">
        <f>(I767-E767)/E767</f>
        <v>9.4339622641509441E-2</v>
      </c>
      <c r="Q767" s="3" t="s">
        <v>295</v>
      </c>
      <c r="R767" s="213">
        <f>I766+(I769*3000)</f>
        <v>3935</v>
      </c>
      <c r="S767" s="213">
        <f>I767+(I770*3001)</f>
        <v>3940.83</v>
      </c>
    </row>
    <row r="768" spans="1:19">
      <c r="A768" s="207" t="s">
        <v>382</v>
      </c>
      <c r="B768" s="1"/>
      <c r="C768" s="203">
        <f>SUM(C766:C767)</f>
        <v>764</v>
      </c>
      <c r="D768" s="203">
        <f>SUM(D766:D767)</f>
        <v>754</v>
      </c>
      <c r="E768" s="221" t="s">
        <v>31</v>
      </c>
      <c r="F768" s="221"/>
      <c r="G768" s="2"/>
      <c r="H768" s="2"/>
      <c r="I768" s="221" t="s">
        <v>31</v>
      </c>
      <c r="J768" s="205"/>
      <c r="K768" s="2"/>
      <c r="O768" s="204"/>
    </row>
    <row r="769" spans="1:21">
      <c r="A769" s="207" t="s">
        <v>461</v>
      </c>
      <c r="B769" s="1"/>
      <c r="C769" s="203">
        <f t="shared" ref="C769:D771" si="62">C797+C880</f>
        <v>928030</v>
      </c>
      <c r="D769" s="203">
        <f t="shared" si="62"/>
        <v>950060</v>
      </c>
      <c r="E769" s="221">
        <v>0.83</v>
      </c>
      <c r="F769" s="221"/>
      <c r="G769" s="2">
        <f t="shared" ref="G769:H771" si="63">G797+G880</f>
        <v>770265</v>
      </c>
      <c r="H769" s="2">
        <f t="shared" si="63"/>
        <v>788550</v>
      </c>
      <c r="I769" s="221">
        <v>0.91</v>
      </c>
      <c r="J769" s="205"/>
      <c r="K769" s="2">
        <f>K797+K880</f>
        <v>864554</v>
      </c>
      <c r="M769" s="81">
        <f>I769*D769</f>
        <v>864554.6</v>
      </c>
      <c r="O769" s="14">
        <f>(I769-E769)/E769</f>
        <v>9.6385542168674787E-2</v>
      </c>
      <c r="S769" s="213">
        <f>S767-R767</f>
        <v>5.8299999999999272</v>
      </c>
    </row>
    <row r="770" spans="1:21">
      <c r="A770" s="207" t="s">
        <v>462</v>
      </c>
      <c r="B770" s="1"/>
      <c r="C770" s="203">
        <f t="shared" si="62"/>
        <v>1074005</v>
      </c>
      <c r="D770" s="203">
        <f t="shared" si="62"/>
        <v>1043203</v>
      </c>
      <c r="E770" s="221">
        <v>0.76</v>
      </c>
      <c r="F770" s="221"/>
      <c r="G770" s="2">
        <f t="shared" si="63"/>
        <v>816243</v>
      </c>
      <c r="H770" s="2">
        <f t="shared" si="63"/>
        <v>792834</v>
      </c>
      <c r="I770" s="221">
        <v>0.83</v>
      </c>
      <c r="J770" s="205"/>
      <c r="K770" s="2">
        <f>K798+K881</f>
        <v>865858</v>
      </c>
      <c r="M770" s="81">
        <f>I770*D770</f>
        <v>865858.49</v>
      </c>
      <c r="O770" s="14">
        <f>(I770-E770)/E770</f>
        <v>9.2105263157894676E-2</v>
      </c>
      <c r="S770" s="213">
        <f>I770</f>
        <v>0.83</v>
      </c>
    </row>
    <row r="771" spans="1:21">
      <c r="A771" s="193" t="s">
        <v>391</v>
      </c>
      <c r="B771" s="1"/>
      <c r="C771" s="203">
        <f t="shared" si="62"/>
        <v>1739771</v>
      </c>
      <c r="D771" s="203">
        <f t="shared" si="62"/>
        <v>1745147</v>
      </c>
      <c r="E771" s="221">
        <v>5.52</v>
      </c>
      <c r="F771" s="221"/>
      <c r="G771" s="2">
        <f t="shared" si="63"/>
        <v>9603536</v>
      </c>
      <c r="H771" s="2">
        <f t="shared" si="63"/>
        <v>9633212</v>
      </c>
      <c r="I771" s="221">
        <v>6.03</v>
      </c>
      <c r="J771" s="205"/>
      <c r="K771" s="2">
        <f>K799+K882</f>
        <v>10523236</v>
      </c>
      <c r="M771" s="81">
        <f>I771*D771</f>
        <v>10523236.41</v>
      </c>
      <c r="O771" s="14">
        <f>(I771-E771)/E771</f>
        <v>9.239130434782622E-2</v>
      </c>
    </row>
    <row r="772" spans="1:21">
      <c r="A772" s="207" t="s">
        <v>414</v>
      </c>
      <c r="B772" s="1"/>
      <c r="C772" s="203"/>
      <c r="D772" s="203"/>
      <c r="E772" s="221" t="s">
        <v>31</v>
      </c>
      <c r="F772" s="221"/>
      <c r="G772" s="2"/>
      <c r="H772" s="2"/>
      <c r="I772" s="221" t="s">
        <v>31</v>
      </c>
      <c r="J772" s="205"/>
      <c r="K772" s="2"/>
      <c r="O772" s="278"/>
    </row>
    <row r="773" spans="1:21">
      <c r="A773" s="207" t="s">
        <v>452</v>
      </c>
      <c r="B773" s="1"/>
      <c r="C773" s="203">
        <f>C801+C884</f>
        <v>871959257</v>
      </c>
      <c r="D773" s="203">
        <f>D801+D884</f>
        <v>892786384</v>
      </c>
      <c r="E773" s="279">
        <v>3.2050000000000001</v>
      </c>
      <c r="F773" s="205" t="s">
        <v>362</v>
      </c>
      <c r="G773" s="2">
        <f>G801+G884</f>
        <v>27946294</v>
      </c>
      <c r="H773" s="2">
        <f>H801+H884</f>
        <v>28613803</v>
      </c>
      <c r="I773" s="267">
        <v>3.4990000000000001</v>
      </c>
      <c r="J773" s="205" t="s">
        <v>362</v>
      </c>
      <c r="K773" s="2">
        <f>K801+K884</f>
        <v>31238595</v>
      </c>
      <c r="M773" s="81">
        <f>(I773/100)*D773</f>
        <v>31238595.576159999</v>
      </c>
      <c r="O773" s="14">
        <f>(I773-E773)/E773</f>
        <v>9.1731669266770677E-2</v>
      </c>
    </row>
    <row r="774" spans="1:21">
      <c r="A774" s="207" t="s">
        <v>388</v>
      </c>
      <c r="B774" s="1"/>
      <c r="C774" s="203">
        <f>C802+C885</f>
        <v>412832</v>
      </c>
      <c r="D774" s="203">
        <f>D802+D885</f>
        <v>423788</v>
      </c>
      <c r="E774" s="221">
        <v>0.45</v>
      </c>
      <c r="F774" s="205"/>
      <c r="G774" s="2">
        <f>G802+G885</f>
        <v>185774</v>
      </c>
      <c r="H774" s="2">
        <f>H802+H885</f>
        <v>190705</v>
      </c>
      <c r="I774" s="221">
        <v>0.45</v>
      </c>
      <c r="J774" s="205"/>
      <c r="K774" s="2">
        <f>K802+K885</f>
        <v>190705</v>
      </c>
      <c r="M774" s="81">
        <f>I774*D774</f>
        <v>190704.6</v>
      </c>
      <c r="N774" s="204"/>
      <c r="O774" s="14">
        <f>(I774-E774)/E774</f>
        <v>0</v>
      </c>
      <c r="R774" s="3" t="s">
        <v>359</v>
      </c>
      <c r="S774" s="3" t="s">
        <v>295</v>
      </c>
      <c r="T774" s="3" t="s">
        <v>360</v>
      </c>
      <c r="U774" s="3" t="s">
        <v>304</v>
      </c>
    </row>
    <row r="775" spans="1:21">
      <c r="A775" s="244" t="s">
        <v>389</v>
      </c>
      <c r="B775" s="1"/>
      <c r="C775" s="203"/>
      <c r="D775" s="203"/>
      <c r="E775" s="216">
        <v>-0.01</v>
      </c>
      <c r="F775" s="216"/>
      <c r="G775" s="2"/>
      <c r="H775" s="2"/>
      <c r="I775" s="216">
        <v>-0.01</v>
      </c>
      <c r="J775" s="245"/>
      <c r="K775" s="2"/>
      <c r="Q775" s="3" t="s">
        <v>430</v>
      </c>
      <c r="R775" s="103">
        <f>SUM(H766:H770)+SUM(H735:H739)</f>
        <v>2459198</v>
      </c>
      <c r="S775" s="103">
        <f>SUM(K766:K770)+SUM(K735:K739)</f>
        <v>2691925</v>
      </c>
      <c r="T775" s="103">
        <v>3831772.5730205807</v>
      </c>
      <c r="U775" s="128">
        <f>S775/T775</f>
        <v>0.70252734177225962</v>
      </c>
    </row>
    <row r="776" spans="1:21">
      <c r="A776" s="207" t="s">
        <v>459</v>
      </c>
      <c r="B776" s="1"/>
      <c r="C776" s="203">
        <f t="shared" ref="C776:D786" si="64">C804+C887</f>
        <v>155</v>
      </c>
      <c r="D776" s="203">
        <f t="shared" si="64"/>
        <v>152</v>
      </c>
      <c r="E776" s="218">
        <f>E766</f>
        <v>1100</v>
      </c>
      <c r="F776" s="218"/>
      <c r="G776" s="205">
        <f t="shared" ref="G776:H786" si="65">G804+G887</f>
        <v>-1705</v>
      </c>
      <c r="H776" s="205">
        <f t="shared" si="65"/>
        <v>-1672</v>
      </c>
      <c r="I776" s="218">
        <f>I766</f>
        <v>1205</v>
      </c>
      <c r="J776" s="205"/>
      <c r="K776" s="205">
        <f t="shared" ref="K776:K786" si="66">K804+K887</f>
        <v>-1832</v>
      </c>
      <c r="M776" s="81">
        <f>-(I776/100)*D776</f>
        <v>-1831.6000000000001</v>
      </c>
      <c r="Q776" s="3" t="s">
        <v>394</v>
      </c>
      <c r="R776" s="103">
        <f>H771</f>
        <v>9633212</v>
      </c>
      <c r="S776" s="103">
        <f>K771</f>
        <v>10523236</v>
      </c>
      <c r="T776" s="103">
        <v>5205301.8106998745</v>
      </c>
      <c r="U776" s="128">
        <f>S776/T776</f>
        <v>2.0216380111463907</v>
      </c>
    </row>
    <row r="777" spans="1:21">
      <c r="A777" s="207" t="s">
        <v>460</v>
      </c>
      <c r="B777" s="1"/>
      <c r="C777" s="203">
        <f t="shared" si="64"/>
        <v>49</v>
      </c>
      <c r="D777" s="203">
        <f t="shared" si="64"/>
        <v>49</v>
      </c>
      <c r="E777" s="218">
        <f>E767</f>
        <v>1325</v>
      </c>
      <c r="F777" s="218"/>
      <c r="G777" s="205">
        <f t="shared" si="65"/>
        <v>-650</v>
      </c>
      <c r="H777" s="205">
        <f t="shared" si="65"/>
        <v>-650</v>
      </c>
      <c r="I777" s="218">
        <f>I767</f>
        <v>1450</v>
      </c>
      <c r="J777" s="205"/>
      <c r="K777" s="205">
        <f t="shared" si="66"/>
        <v>-711</v>
      </c>
      <c r="M777" s="81">
        <f>-(I777/100)*D777</f>
        <v>-710.5</v>
      </c>
      <c r="Q777" s="3" t="s">
        <v>364</v>
      </c>
      <c r="R777" s="103">
        <f>H773</f>
        <v>28613803</v>
      </c>
      <c r="S777" s="103">
        <f>K773</f>
        <v>31238595</v>
      </c>
      <c r="T777" s="103">
        <v>38185452.241358206</v>
      </c>
      <c r="U777" s="128">
        <f>S777/T777</f>
        <v>0.81807581595605283</v>
      </c>
    </row>
    <row r="778" spans="1:21">
      <c r="A778" s="207" t="s">
        <v>461</v>
      </c>
      <c r="B778" s="1"/>
      <c r="C778" s="203">
        <f t="shared" si="64"/>
        <v>215573</v>
      </c>
      <c r="D778" s="203">
        <f t="shared" si="64"/>
        <v>213423</v>
      </c>
      <c r="E778" s="218">
        <f>E769</f>
        <v>0.83</v>
      </c>
      <c r="F778" s="218"/>
      <c r="G778" s="205">
        <f t="shared" si="65"/>
        <v>-1789</v>
      </c>
      <c r="H778" s="205">
        <f t="shared" si="65"/>
        <v>-1771</v>
      </c>
      <c r="I778" s="218">
        <f>I769</f>
        <v>0.91</v>
      </c>
      <c r="J778" s="205"/>
      <c r="K778" s="205">
        <f t="shared" si="66"/>
        <v>-1942</v>
      </c>
      <c r="M778" s="81">
        <f>-(I778/100)*D778</f>
        <v>-1942.1493</v>
      </c>
    </row>
    <row r="779" spans="1:21">
      <c r="A779" s="207" t="s">
        <v>462</v>
      </c>
      <c r="B779" s="1"/>
      <c r="C779" s="203">
        <f t="shared" si="64"/>
        <v>972802</v>
      </c>
      <c r="D779" s="203">
        <f t="shared" si="64"/>
        <v>935824</v>
      </c>
      <c r="E779" s="218">
        <f>E770</f>
        <v>0.76</v>
      </c>
      <c r="F779" s="218"/>
      <c r="G779" s="205">
        <f t="shared" si="65"/>
        <v>-7393</v>
      </c>
      <c r="H779" s="205">
        <f t="shared" si="65"/>
        <v>-7112</v>
      </c>
      <c r="I779" s="218">
        <f>I770</f>
        <v>0.83</v>
      </c>
      <c r="J779" s="205"/>
      <c r="K779" s="205">
        <f t="shared" si="66"/>
        <v>-7767</v>
      </c>
      <c r="M779" s="81">
        <f>-(I779/100)*D779</f>
        <v>-7767.3392000000003</v>
      </c>
    </row>
    <row r="780" spans="1:21">
      <c r="A780" s="193" t="s">
        <v>391</v>
      </c>
      <c r="B780" s="264"/>
      <c r="C780" s="203">
        <f t="shared" si="64"/>
        <v>1070224</v>
      </c>
      <c r="D780" s="203">
        <f t="shared" si="64"/>
        <v>1048404</v>
      </c>
      <c r="E780" s="218">
        <f>E771</f>
        <v>5.52</v>
      </c>
      <c r="F780" s="221"/>
      <c r="G780" s="205">
        <f t="shared" si="65"/>
        <v>-59076</v>
      </c>
      <c r="H780" s="205">
        <f t="shared" si="65"/>
        <v>-57872</v>
      </c>
      <c r="I780" s="218">
        <f>I771</f>
        <v>6.03</v>
      </c>
      <c r="J780" s="205"/>
      <c r="K780" s="205">
        <f t="shared" si="66"/>
        <v>-63218</v>
      </c>
      <c r="M780" s="81">
        <f>-(I780/100)*D780</f>
        <v>-63218.761200000001</v>
      </c>
    </row>
    <row r="781" spans="1:21">
      <c r="A781" s="207" t="s">
        <v>452</v>
      </c>
      <c r="B781" s="1"/>
      <c r="C781" s="203">
        <f t="shared" si="64"/>
        <v>570875201</v>
      </c>
      <c r="D781" s="203">
        <f t="shared" si="64"/>
        <v>579479682</v>
      </c>
      <c r="E781" s="219">
        <f>E773</f>
        <v>3.2050000000000001</v>
      </c>
      <c r="F781" s="205" t="s">
        <v>362</v>
      </c>
      <c r="G781" s="205">
        <f t="shared" si="65"/>
        <v>-182966</v>
      </c>
      <c r="H781" s="205">
        <f t="shared" si="65"/>
        <v>-185723</v>
      </c>
      <c r="I781" s="219">
        <f>I773</f>
        <v>3.4990000000000001</v>
      </c>
      <c r="J781" s="205" t="s">
        <v>362</v>
      </c>
      <c r="K781" s="205">
        <f t="shared" si="66"/>
        <v>-202760</v>
      </c>
      <c r="M781" s="81">
        <f>-((I781/100)*D781)/100</f>
        <v>-202759.94073180002</v>
      </c>
    </row>
    <row r="782" spans="1:21">
      <c r="A782" s="207" t="s">
        <v>388</v>
      </c>
      <c r="B782" s="1"/>
      <c r="C782" s="203">
        <f t="shared" si="64"/>
        <v>220790</v>
      </c>
      <c r="D782" s="203">
        <f t="shared" si="64"/>
        <v>222465</v>
      </c>
      <c r="E782" s="268">
        <f>E774</f>
        <v>0.45</v>
      </c>
      <c r="F782" s="205"/>
      <c r="G782" s="205">
        <f t="shared" si="65"/>
        <v>-993</v>
      </c>
      <c r="H782" s="205">
        <f t="shared" si="65"/>
        <v>-1001</v>
      </c>
      <c r="I782" s="268">
        <f>I774</f>
        <v>0.45</v>
      </c>
      <c r="J782" s="205"/>
      <c r="K782" s="205">
        <f t="shared" si="66"/>
        <v>-1001</v>
      </c>
      <c r="M782" s="81">
        <f>-(I782/100)*D782</f>
        <v>-1001.0925000000001</v>
      </c>
    </row>
    <row r="783" spans="1:21">
      <c r="A783" s="193" t="s">
        <v>463</v>
      </c>
      <c r="B783" s="1"/>
      <c r="C783" s="203">
        <f t="shared" si="64"/>
        <v>204</v>
      </c>
      <c r="D783" s="203">
        <f t="shared" si="64"/>
        <v>201</v>
      </c>
      <c r="E783" s="221">
        <v>60</v>
      </c>
      <c r="F783" s="221"/>
      <c r="G783" s="205">
        <f t="shared" si="65"/>
        <v>12240</v>
      </c>
      <c r="H783" s="205">
        <f t="shared" si="65"/>
        <v>12060</v>
      </c>
      <c r="I783" s="221">
        <v>60</v>
      </c>
      <c r="J783" s="205"/>
      <c r="K783" s="205">
        <f t="shared" si="66"/>
        <v>12060</v>
      </c>
      <c r="M783" s="81">
        <f>I783*D783</f>
        <v>12060</v>
      </c>
      <c r="O783" s="14">
        <f>(I783-E783)/E783</f>
        <v>0</v>
      </c>
    </row>
    <row r="784" spans="1:21">
      <c r="A784" s="193" t="s">
        <v>432</v>
      </c>
      <c r="B784" s="1"/>
      <c r="C784" s="203">
        <f t="shared" si="64"/>
        <v>1188375</v>
      </c>
      <c r="D784" s="203">
        <f t="shared" si="64"/>
        <v>1149247</v>
      </c>
      <c r="E784" s="221">
        <v>-0.3</v>
      </c>
      <c r="F784" s="205"/>
      <c r="G784" s="205">
        <f t="shared" si="65"/>
        <v>-356513</v>
      </c>
      <c r="H784" s="205">
        <f t="shared" si="65"/>
        <v>-344774</v>
      </c>
      <c r="I784" s="221">
        <v>-0.75</v>
      </c>
      <c r="J784" s="205"/>
      <c r="K784" s="205">
        <f t="shared" si="66"/>
        <v>-861936</v>
      </c>
      <c r="M784" s="81">
        <f>I784*D784</f>
        <v>-861935.25</v>
      </c>
      <c r="O784" s="128">
        <v>1.0864172229701943</v>
      </c>
    </row>
    <row r="785" spans="1:17">
      <c r="A785" s="1" t="s">
        <v>369</v>
      </c>
      <c r="B785" s="1"/>
      <c r="C785" s="203">
        <f t="shared" si="64"/>
        <v>871959257</v>
      </c>
      <c r="D785" s="203">
        <f t="shared" si="64"/>
        <v>892786385.17848599</v>
      </c>
      <c r="E785" s="214"/>
      <c r="F785" s="2"/>
      <c r="G785" s="2">
        <f t="shared" si="65"/>
        <v>39580317</v>
      </c>
      <c r="H785" s="2">
        <f t="shared" si="65"/>
        <v>40276639</v>
      </c>
      <c r="I785" s="2"/>
      <c r="J785" s="1"/>
      <c r="K785" s="2">
        <f t="shared" si="66"/>
        <v>43480541</v>
      </c>
      <c r="M785" s="81">
        <f>SUM(M766:M784)</f>
        <v>43480543.043228194</v>
      </c>
    </row>
    <row r="786" spans="1:17">
      <c r="A786" s="1" t="s">
        <v>351</v>
      </c>
      <c r="B786" s="1"/>
      <c r="C786" s="203">
        <f t="shared" si="64"/>
        <v>-15462158.225744508</v>
      </c>
      <c r="D786" s="203">
        <f t="shared" si="64"/>
        <v>0</v>
      </c>
      <c r="E786" s="193"/>
      <c r="F786" s="193"/>
      <c r="G786" s="225">
        <f t="shared" si="65"/>
        <v>-584107.65036853903</v>
      </c>
      <c r="H786" s="225">
        <f t="shared" si="65"/>
        <v>0</v>
      </c>
      <c r="I786" s="193"/>
      <c r="J786" s="193"/>
      <c r="K786" s="225">
        <f t="shared" si="66"/>
        <v>0</v>
      </c>
      <c r="Q786" s="160"/>
    </row>
    <row r="787" spans="1:17" ht="16.5" thickBot="1">
      <c r="A787" s="1" t="s">
        <v>370</v>
      </c>
      <c r="B787" s="1"/>
      <c r="C787" s="277">
        <f>SUM(C785)+C786</f>
        <v>856497098.77425551</v>
      </c>
      <c r="D787" s="277">
        <f>SUM(D773)+D786</f>
        <v>892786384</v>
      </c>
      <c r="E787" s="226"/>
      <c r="F787" s="227"/>
      <c r="G787" s="228">
        <f>G785+G786</f>
        <v>38996209.349631459</v>
      </c>
      <c r="H787" s="228">
        <f>H785+H786</f>
        <v>40276639</v>
      </c>
      <c r="I787" s="226"/>
      <c r="J787" s="229"/>
      <c r="K787" s="228">
        <f>K785+K786</f>
        <v>43480541</v>
      </c>
      <c r="N787" s="3" t="s">
        <v>352</v>
      </c>
      <c r="O787" s="66" t="e">
        <f>#REF!*1000</f>
        <v>#REF!</v>
      </c>
    </row>
    <row r="788" spans="1:17" ht="16.5" thickTop="1">
      <c r="A788" s="1"/>
      <c r="B788" s="1"/>
      <c r="C788" s="21"/>
      <c r="D788" s="21"/>
      <c r="E788" s="221"/>
      <c r="F788" s="2"/>
      <c r="G788" s="2"/>
      <c r="H788" s="2"/>
      <c r="I788" s="237" t="s">
        <v>31</v>
      </c>
      <c r="J788" s="1"/>
      <c r="K788" s="2" t="s">
        <v>31</v>
      </c>
      <c r="N788" s="3" t="s">
        <v>256</v>
      </c>
      <c r="O788" s="66" t="e">
        <f>O787-K787</f>
        <v>#REF!</v>
      </c>
      <c r="P788" s="160" t="e">
        <f>(O787-K787)/K787</f>
        <v>#REF!</v>
      </c>
    </row>
    <row r="789" spans="1:17">
      <c r="A789" s="1"/>
      <c r="B789" s="1"/>
      <c r="C789" s="21"/>
      <c r="D789" s="21"/>
      <c r="E789" s="221"/>
      <c r="F789" s="2"/>
      <c r="G789" s="2"/>
      <c r="H789" s="2"/>
      <c r="I789" s="221"/>
      <c r="J789" s="1"/>
      <c r="K789" s="264"/>
    </row>
    <row r="790" spans="1:17">
      <c r="A790" s="177" t="s">
        <v>464</v>
      </c>
      <c r="B790" s="1"/>
      <c r="C790" s="1"/>
      <c r="D790" s="1"/>
      <c r="E790" s="2"/>
      <c r="F790" s="2"/>
      <c r="G790" s="1"/>
      <c r="H790" s="1"/>
      <c r="I790" s="2"/>
      <c r="J790" s="1"/>
      <c r="K790" s="1"/>
      <c r="M790" s="128"/>
      <c r="N790" s="81"/>
      <c r="O790" s="280" t="e">
        <f>O788+O761</f>
        <v>#REF!</v>
      </c>
    </row>
    <row r="791" spans="1:17">
      <c r="A791" s="193" t="s">
        <v>466</v>
      </c>
      <c r="B791" s="1"/>
      <c r="C791" s="1"/>
      <c r="D791" s="1"/>
      <c r="E791" s="2"/>
      <c r="F791" s="2"/>
      <c r="G791" s="1"/>
      <c r="H791" s="1"/>
      <c r="I791" s="2"/>
      <c r="J791" s="1"/>
      <c r="K791" s="1"/>
    </row>
    <row r="792" spans="1:17">
      <c r="A792" s="207"/>
      <c r="B792" s="1"/>
      <c r="C792" s="1"/>
      <c r="D792" s="1"/>
      <c r="E792" s="2"/>
      <c r="F792" s="2"/>
      <c r="G792" s="1"/>
      <c r="H792" s="1"/>
      <c r="I792" s="2"/>
      <c r="J792" s="1"/>
      <c r="K792" s="1"/>
    </row>
    <row r="793" spans="1:17">
      <c r="A793" s="207" t="s">
        <v>381</v>
      </c>
      <c r="B793" s="1"/>
      <c r="C793" s="203"/>
      <c r="D793" s="203"/>
      <c r="E793" s="2"/>
      <c r="F793" s="2"/>
      <c r="G793" s="1"/>
      <c r="H793" s="1"/>
      <c r="I793" s="2"/>
      <c r="J793" s="1"/>
      <c r="K793" s="1"/>
    </row>
    <row r="794" spans="1:17">
      <c r="A794" s="207" t="s">
        <v>459</v>
      </c>
      <c r="B794" s="1"/>
      <c r="C794" s="203">
        <f>C822+C850</f>
        <v>690</v>
      </c>
      <c r="D794" s="203">
        <f>D822+D850</f>
        <v>680</v>
      </c>
      <c r="E794" s="221">
        <v>1100</v>
      </c>
      <c r="F794" s="221"/>
      <c r="G794" s="2">
        <f>G822+G850</f>
        <v>759000</v>
      </c>
      <c r="H794" s="2">
        <f>H822+H850</f>
        <v>748000</v>
      </c>
      <c r="I794" s="221">
        <f>$I$766</f>
        <v>1205</v>
      </c>
      <c r="J794" s="205"/>
      <c r="K794" s="2">
        <f>K822+K850</f>
        <v>819400</v>
      </c>
    </row>
    <row r="795" spans="1:17">
      <c r="A795" s="207" t="s">
        <v>460</v>
      </c>
      <c r="B795" s="1"/>
      <c r="C795" s="203">
        <f>C823+C851</f>
        <v>62</v>
      </c>
      <c r="D795" s="203">
        <f>D823+D851</f>
        <v>62</v>
      </c>
      <c r="E795" s="221">
        <v>1325</v>
      </c>
      <c r="F795" s="221"/>
      <c r="G795" s="2">
        <f>G823+G851</f>
        <v>82150</v>
      </c>
      <c r="H795" s="2">
        <f>H823+H851</f>
        <v>82150</v>
      </c>
      <c r="I795" s="221">
        <f>$I$767</f>
        <v>1450</v>
      </c>
      <c r="J795" s="208"/>
      <c r="K795" s="2">
        <f>K823+K851</f>
        <v>89900</v>
      </c>
    </row>
    <row r="796" spans="1:17">
      <c r="A796" s="207" t="s">
        <v>382</v>
      </c>
      <c r="B796" s="1"/>
      <c r="C796" s="203">
        <f>SUM(C794:C795)</f>
        <v>752</v>
      </c>
      <c r="D796" s="203">
        <f>SUM(D794:D795)</f>
        <v>742</v>
      </c>
      <c r="E796" s="221" t="s">
        <v>31</v>
      </c>
      <c r="F796" s="221"/>
      <c r="G796" s="2"/>
      <c r="H796" s="2"/>
      <c r="I796" s="221" t="s">
        <v>31</v>
      </c>
      <c r="J796" s="205"/>
      <c r="K796" s="2"/>
    </row>
    <row r="797" spans="1:17">
      <c r="A797" s="207" t="s">
        <v>461</v>
      </c>
      <c r="B797" s="1"/>
      <c r="C797" s="203">
        <f t="shared" ref="C797:D799" si="67">C825+C853</f>
        <v>928030</v>
      </c>
      <c r="D797" s="203">
        <f t="shared" si="67"/>
        <v>950060</v>
      </c>
      <c r="E797" s="221">
        <v>0.83</v>
      </c>
      <c r="F797" s="221"/>
      <c r="G797" s="2">
        <f t="shared" ref="G797:H799" si="68">G825+G853</f>
        <v>770265</v>
      </c>
      <c r="H797" s="2">
        <f t="shared" si="68"/>
        <v>788550</v>
      </c>
      <c r="I797" s="221">
        <f>$I$769</f>
        <v>0.91</v>
      </c>
      <c r="J797" s="205"/>
      <c r="K797" s="2">
        <f>K825+K853</f>
        <v>864554</v>
      </c>
    </row>
    <row r="798" spans="1:17">
      <c r="A798" s="207" t="s">
        <v>462</v>
      </c>
      <c r="B798" s="1"/>
      <c r="C798" s="203">
        <f t="shared" si="67"/>
        <v>868981</v>
      </c>
      <c r="D798" s="203">
        <f t="shared" si="67"/>
        <v>918946</v>
      </c>
      <c r="E798" s="221">
        <v>0.76</v>
      </c>
      <c r="F798" s="221"/>
      <c r="G798" s="2">
        <f t="shared" si="68"/>
        <v>660425</v>
      </c>
      <c r="H798" s="2">
        <f t="shared" si="68"/>
        <v>698399</v>
      </c>
      <c r="I798" s="221">
        <f>$I$770</f>
        <v>0.83</v>
      </c>
      <c r="J798" s="205"/>
      <c r="K798" s="2">
        <f>K826+K854</f>
        <v>762725</v>
      </c>
    </row>
    <row r="799" spans="1:17">
      <c r="A799" s="193" t="s">
        <v>391</v>
      </c>
      <c r="B799" s="1"/>
      <c r="C799" s="203">
        <f t="shared" si="67"/>
        <v>1581133</v>
      </c>
      <c r="D799" s="203">
        <f t="shared" si="67"/>
        <v>1649003</v>
      </c>
      <c r="E799" s="221">
        <v>5.52</v>
      </c>
      <c r="F799" s="221"/>
      <c r="G799" s="2">
        <f t="shared" si="68"/>
        <v>8727854</v>
      </c>
      <c r="H799" s="2">
        <f t="shared" si="68"/>
        <v>9102497</v>
      </c>
      <c r="I799" s="221">
        <f>$I$771</f>
        <v>6.03</v>
      </c>
      <c r="J799" s="205"/>
      <c r="K799" s="2">
        <f>K827+K855</f>
        <v>9943488</v>
      </c>
    </row>
    <row r="800" spans="1:17">
      <c r="A800" s="207" t="s">
        <v>414</v>
      </c>
      <c r="B800" s="1"/>
      <c r="C800" s="203"/>
      <c r="D800" s="203"/>
      <c r="E800" s="221" t="s">
        <v>31</v>
      </c>
      <c r="F800" s="221"/>
      <c r="G800" s="2"/>
      <c r="H800" s="2"/>
      <c r="I800" s="221" t="s">
        <v>31</v>
      </c>
      <c r="J800" s="205"/>
      <c r="K800" s="2"/>
    </row>
    <row r="801" spans="1:15">
      <c r="A801" s="207" t="s">
        <v>452</v>
      </c>
      <c r="B801" s="1"/>
      <c r="C801" s="203">
        <f>C829+C857</f>
        <v>828270257</v>
      </c>
      <c r="D801" s="203">
        <f>D829+D857</f>
        <v>866308148</v>
      </c>
      <c r="E801" s="279">
        <v>3.2050000000000001</v>
      </c>
      <c r="F801" s="205" t="s">
        <v>362</v>
      </c>
      <c r="G801" s="2">
        <f>G829+G857</f>
        <v>26546062</v>
      </c>
      <c r="H801" s="2">
        <f>H829+H857</f>
        <v>27765176</v>
      </c>
      <c r="I801" s="279">
        <f>$I$773</f>
        <v>3.4990000000000001</v>
      </c>
      <c r="J801" s="205" t="s">
        <v>362</v>
      </c>
      <c r="K801" s="2">
        <f>K829+K857</f>
        <v>30312122</v>
      </c>
    </row>
    <row r="802" spans="1:15">
      <c r="A802" s="207" t="s">
        <v>388</v>
      </c>
      <c r="B802" s="1"/>
      <c r="C802" s="203">
        <f>C830+C858</f>
        <v>389844</v>
      </c>
      <c r="D802" s="203">
        <f>D830+D858</f>
        <v>409856</v>
      </c>
      <c r="E802" s="221">
        <v>0.45</v>
      </c>
      <c r="F802" s="205"/>
      <c r="G802" s="2">
        <f>G830+G858</f>
        <v>175429</v>
      </c>
      <c r="H802" s="2">
        <f>H830+H858</f>
        <v>184436</v>
      </c>
      <c r="I802" s="221">
        <f>$I$774</f>
        <v>0.45</v>
      </c>
      <c r="J802" s="205"/>
      <c r="K802" s="2">
        <f>K830+K858</f>
        <v>184436</v>
      </c>
    </row>
    <row r="803" spans="1:15">
      <c r="A803" s="244" t="s">
        <v>389</v>
      </c>
      <c r="B803" s="1"/>
      <c r="C803" s="203"/>
      <c r="D803" s="203"/>
      <c r="E803" s="216">
        <v>-0.01</v>
      </c>
      <c r="F803" s="216"/>
      <c r="G803" s="2"/>
      <c r="H803" s="2"/>
      <c r="I803" s="216">
        <f>$I$775</f>
        <v>-0.01</v>
      </c>
      <c r="J803" s="245"/>
      <c r="K803" s="2"/>
    </row>
    <row r="804" spans="1:15">
      <c r="A804" s="207" t="s">
        <v>459</v>
      </c>
      <c r="B804" s="1"/>
      <c r="C804" s="203">
        <f t="shared" ref="C804:D814" si="69">C832+C860</f>
        <v>155</v>
      </c>
      <c r="D804" s="203">
        <f t="shared" si="69"/>
        <v>152</v>
      </c>
      <c r="E804" s="218">
        <f>E794</f>
        <v>1100</v>
      </c>
      <c r="F804" s="218"/>
      <c r="G804" s="205">
        <f t="shared" ref="G804:H814" si="70">G832+G860</f>
        <v>-1705</v>
      </c>
      <c r="H804" s="205">
        <f t="shared" si="70"/>
        <v>-1672</v>
      </c>
      <c r="I804" s="218">
        <f>I794</f>
        <v>1205</v>
      </c>
      <c r="J804" s="205"/>
      <c r="K804" s="205">
        <f t="shared" ref="K804:K814" si="71">K832+K860</f>
        <v>-1832</v>
      </c>
    </row>
    <row r="805" spans="1:15">
      <c r="A805" s="207" t="s">
        <v>460</v>
      </c>
      <c r="B805" s="1"/>
      <c r="C805" s="203">
        <f t="shared" si="69"/>
        <v>37</v>
      </c>
      <c r="D805" s="203">
        <f t="shared" si="69"/>
        <v>37</v>
      </c>
      <c r="E805" s="218">
        <f>E795</f>
        <v>1325</v>
      </c>
      <c r="F805" s="218"/>
      <c r="G805" s="205">
        <f t="shared" si="70"/>
        <v>-491</v>
      </c>
      <c r="H805" s="205">
        <f t="shared" si="70"/>
        <v>-491</v>
      </c>
      <c r="I805" s="218">
        <f>I795</f>
        <v>1450</v>
      </c>
      <c r="J805" s="205"/>
      <c r="K805" s="205">
        <f t="shared" si="71"/>
        <v>-537</v>
      </c>
    </row>
    <row r="806" spans="1:15">
      <c r="A806" s="207" t="s">
        <v>461</v>
      </c>
      <c r="B806" s="1"/>
      <c r="C806" s="203">
        <f t="shared" si="69"/>
        <v>215573</v>
      </c>
      <c r="D806" s="203">
        <f t="shared" si="69"/>
        <v>213423</v>
      </c>
      <c r="E806" s="218">
        <f>E797</f>
        <v>0.83</v>
      </c>
      <c r="F806" s="218"/>
      <c r="G806" s="205">
        <f t="shared" si="70"/>
        <v>-1789</v>
      </c>
      <c r="H806" s="205">
        <f t="shared" si="70"/>
        <v>-1771</v>
      </c>
      <c r="I806" s="218">
        <f>I797</f>
        <v>0.91</v>
      </c>
      <c r="J806" s="205"/>
      <c r="K806" s="205">
        <f t="shared" si="71"/>
        <v>-1942</v>
      </c>
    </row>
    <row r="807" spans="1:15">
      <c r="A807" s="207" t="s">
        <v>462</v>
      </c>
      <c r="B807" s="1"/>
      <c r="C807" s="203">
        <f t="shared" si="69"/>
        <v>767778</v>
      </c>
      <c r="D807" s="203">
        <f t="shared" si="69"/>
        <v>811567</v>
      </c>
      <c r="E807" s="218">
        <f>E798</f>
        <v>0.76</v>
      </c>
      <c r="F807" s="218"/>
      <c r="G807" s="205">
        <f t="shared" si="70"/>
        <v>-5835</v>
      </c>
      <c r="H807" s="205">
        <f t="shared" si="70"/>
        <v>-6168</v>
      </c>
      <c r="I807" s="218">
        <f>I798</f>
        <v>0.83</v>
      </c>
      <c r="J807" s="205"/>
      <c r="K807" s="205">
        <f t="shared" si="71"/>
        <v>-6736</v>
      </c>
    </row>
    <row r="808" spans="1:15">
      <c r="A808" s="193" t="s">
        <v>391</v>
      </c>
      <c r="B808" s="264"/>
      <c r="C808" s="203">
        <f t="shared" si="69"/>
        <v>911586</v>
      </c>
      <c r="D808" s="203">
        <f t="shared" si="69"/>
        <v>952260</v>
      </c>
      <c r="E808" s="218">
        <f>E799</f>
        <v>5.52</v>
      </c>
      <c r="F808" s="221"/>
      <c r="G808" s="205">
        <f t="shared" si="70"/>
        <v>-50319</v>
      </c>
      <c r="H808" s="205">
        <f t="shared" si="70"/>
        <v>-52565</v>
      </c>
      <c r="I808" s="218">
        <f>I799</f>
        <v>6.03</v>
      </c>
      <c r="J808" s="205"/>
      <c r="K808" s="205">
        <f t="shared" si="71"/>
        <v>-57421</v>
      </c>
    </row>
    <row r="809" spans="1:15">
      <c r="A809" s="207" t="s">
        <v>452</v>
      </c>
      <c r="B809" s="1"/>
      <c r="C809" s="203">
        <f t="shared" si="69"/>
        <v>527186201</v>
      </c>
      <c r="D809" s="203">
        <f t="shared" si="69"/>
        <v>553001446</v>
      </c>
      <c r="E809" s="219">
        <f>E801</f>
        <v>3.2050000000000001</v>
      </c>
      <c r="F809" s="205" t="s">
        <v>362</v>
      </c>
      <c r="G809" s="205">
        <f t="shared" si="70"/>
        <v>-168964</v>
      </c>
      <c r="H809" s="205">
        <f t="shared" si="70"/>
        <v>-177237</v>
      </c>
      <c r="I809" s="219">
        <f>I801</f>
        <v>3.4990000000000001</v>
      </c>
      <c r="J809" s="205" t="s">
        <v>362</v>
      </c>
      <c r="K809" s="205">
        <f t="shared" si="71"/>
        <v>-193495</v>
      </c>
    </row>
    <row r="810" spans="1:15">
      <c r="A810" s="207" t="s">
        <v>388</v>
      </c>
      <c r="B810" s="1"/>
      <c r="C810" s="203">
        <f t="shared" si="69"/>
        <v>197802</v>
      </c>
      <c r="D810" s="203">
        <f t="shared" si="69"/>
        <v>208533</v>
      </c>
      <c r="E810" s="268">
        <f>E802</f>
        <v>0.45</v>
      </c>
      <c r="F810" s="205"/>
      <c r="G810" s="205">
        <f t="shared" si="70"/>
        <v>-890</v>
      </c>
      <c r="H810" s="205">
        <f t="shared" si="70"/>
        <v>-938</v>
      </c>
      <c r="I810" s="268">
        <f>I802</f>
        <v>0.45</v>
      </c>
      <c r="J810" s="205"/>
      <c r="K810" s="205">
        <f t="shared" si="71"/>
        <v>-938</v>
      </c>
    </row>
    <row r="811" spans="1:15">
      <c r="A811" s="193" t="s">
        <v>463</v>
      </c>
      <c r="B811" s="1"/>
      <c r="C811" s="203">
        <f t="shared" si="69"/>
        <v>192</v>
      </c>
      <c r="D811" s="203">
        <f t="shared" si="69"/>
        <v>189</v>
      </c>
      <c r="E811" s="221">
        <v>60</v>
      </c>
      <c r="F811" s="221"/>
      <c r="G811" s="205">
        <f t="shared" si="70"/>
        <v>11520</v>
      </c>
      <c r="H811" s="205">
        <f t="shared" si="70"/>
        <v>11340</v>
      </c>
      <c r="I811" s="221">
        <f>$I$783</f>
        <v>60</v>
      </c>
      <c r="J811" s="205"/>
      <c r="K811" s="205">
        <f t="shared" si="71"/>
        <v>11340</v>
      </c>
    </row>
    <row r="812" spans="1:15">
      <c r="A812" s="193" t="s">
        <v>432</v>
      </c>
      <c r="B812" s="1"/>
      <c r="C812" s="203">
        <f t="shared" si="69"/>
        <v>983351</v>
      </c>
      <c r="D812" s="203">
        <f t="shared" si="69"/>
        <v>1024990</v>
      </c>
      <c r="E812" s="221">
        <v>-0.3</v>
      </c>
      <c r="F812" s="205"/>
      <c r="G812" s="205">
        <f t="shared" si="70"/>
        <v>-295006</v>
      </c>
      <c r="H812" s="205">
        <f t="shared" si="70"/>
        <v>-307497</v>
      </c>
      <c r="I812" s="221">
        <f>$I$784</f>
        <v>-0.75</v>
      </c>
      <c r="J812" s="205"/>
      <c r="K812" s="205">
        <f t="shared" si="71"/>
        <v>-768743</v>
      </c>
    </row>
    <row r="813" spans="1:15">
      <c r="A813" s="1" t="s">
        <v>369</v>
      </c>
      <c r="B813" s="1"/>
      <c r="C813" s="203">
        <f t="shared" si="69"/>
        <v>828270257</v>
      </c>
      <c r="D813" s="203">
        <f t="shared" si="69"/>
        <v>866308148.72444463</v>
      </c>
      <c r="E813" s="214"/>
      <c r="F813" s="2"/>
      <c r="G813" s="2">
        <f t="shared" si="70"/>
        <v>37207706</v>
      </c>
      <c r="H813" s="2">
        <f t="shared" si="70"/>
        <v>38832209</v>
      </c>
      <c r="I813" s="2"/>
      <c r="J813" s="1"/>
      <c r="K813" s="2">
        <f t="shared" si="71"/>
        <v>41956321</v>
      </c>
    </row>
    <row r="814" spans="1:15">
      <c r="A814" s="1" t="s">
        <v>351</v>
      </c>
      <c r="B814" s="1"/>
      <c r="C814" s="203">
        <f t="shared" si="69"/>
        <v>-14477401.998794576</v>
      </c>
      <c r="D814" s="203">
        <f t="shared" si="69"/>
        <v>0</v>
      </c>
      <c r="E814" s="193"/>
      <c r="F814" s="193"/>
      <c r="G814" s="225">
        <f t="shared" si="70"/>
        <v>-539028.47841944266</v>
      </c>
      <c r="H814" s="225">
        <f t="shared" si="70"/>
        <v>0</v>
      </c>
      <c r="I814" s="193"/>
      <c r="J814" s="193"/>
      <c r="K814" s="225">
        <f t="shared" si="71"/>
        <v>0</v>
      </c>
      <c r="M814" s="173"/>
      <c r="N814" s="173"/>
      <c r="O814" s="174"/>
    </row>
    <row r="815" spans="1:15" ht="16.5" thickBot="1">
      <c r="A815" s="1" t="s">
        <v>370</v>
      </c>
      <c r="B815" s="1"/>
      <c r="C815" s="277">
        <f>SUM(C813)+C814</f>
        <v>813792855.00120544</v>
      </c>
      <c r="D815" s="277">
        <f>SUM(D801)+D814</f>
        <v>866308148</v>
      </c>
      <c r="E815" s="226"/>
      <c r="F815" s="227"/>
      <c r="G815" s="228">
        <f>G813+G814</f>
        <v>36668677.521580555</v>
      </c>
      <c r="H815" s="228">
        <f>H813+H814</f>
        <v>38832209</v>
      </c>
      <c r="I815" s="226"/>
      <c r="J815" s="229"/>
      <c r="K815" s="228">
        <f>K813+K814</f>
        <v>41956321</v>
      </c>
      <c r="M815" s="175"/>
      <c r="N815" s="175"/>
      <c r="O815" s="176"/>
    </row>
    <row r="816" spans="1:15" ht="16.5" thickTop="1">
      <c r="A816" s="1"/>
      <c r="B816" s="1"/>
      <c r="C816" s="21"/>
      <c r="D816" s="21"/>
      <c r="E816" s="221"/>
      <c r="F816" s="2"/>
      <c r="G816" s="2"/>
      <c r="H816" s="2"/>
      <c r="I816" s="237" t="s">
        <v>31</v>
      </c>
      <c r="J816" s="1"/>
      <c r="K816" s="2" t="s">
        <v>31</v>
      </c>
    </row>
    <row r="817" spans="1:11">
      <c r="A817" s="1"/>
      <c r="B817" s="1"/>
      <c r="C817" s="21"/>
      <c r="D817" s="21"/>
      <c r="E817" s="221"/>
      <c r="F817" s="2"/>
      <c r="G817" s="2"/>
      <c r="H817" s="2"/>
      <c r="I817" s="221"/>
      <c r="J817" s="1"/>
      <c r="K817" s="264"/>
    </row>
    <row r="818" spans="1:11">
      <c r="A818" s="177" t="s">
        <v>464</v>
      </c>
      <c r="B818" s="1"/>
      <c r="C818" s="1"/>
      <c r="D818" s="1"/>
      <c r="E818" s="2"/>
      <c r="F818" s="2"/>
      <c r="G818" s="1"/>
      <c r="H818" s="1"/>
      <c r="I818" s="2"/>
      <c r="J818" s="1"/>
      <c r="K818" s="1"/>
    </row>
    <row r="819" spans="1:11">
      <c r="A819" s="193" t="s">
        <v>467</v>
      </c>
      <c r="B819" s="1"/>
      <c r="C819" s="1"/>
      <c r="D819" s="1"/>
      <c r="E819" s="2"/>
      <c r="F819" s="2"/>
      <c r="G819" s="1"/>
      <c r="H819" s="1"/>
      <c r="I819" s="2"/>
      <c r="J819" s="1"/>
      <c r="K819" s="1"/>
    </row>
    <row r="820" spans="1:11">
      <c r="A820" s="207"/>
      <c r="B820" s="1"/>
      <c r="C820" s="1"/>
      <c r="D820" s="1"/>
      <c r="E820" s="2"/>
      <c r="F820" s="2"/>
      <c r="G820" s="1"/>
      <c r="H820" s="1"/>
      <c r="I820" s="2"/>
      <c r="J820" s="1"/>
      <c r="K820" s="1"/>
    </row>
    <row r="821" spans="1:11">
      <c r="A821" s="207" t="s">
        <v>381</v>
      </c>
      <c r="B821" s="1"/>
      <c r="C821" s="203"/>
      <c r="D821" s="203"/>
      <c r="E821" s="2"/>
      <c r="F821" s="2"/>
      <c r="G821" s="1"/>
      <c r="H821" s="1"/>
      <c r="I821" s="2"/>
      <c r="J821" s="1"/>
      <c r="K821" s="1"/>
    </row>
    <row r="822" spans="1:11">
      <c r="A822" s="207" t="s">
        <v>459</v>
      </c>
      <c r="B822" s="1"/>
      <c r="C822" s="203">
        <f>133+193</f>
        <v>326</v>
      </c>
      <c r="D822" s="203">
        <v>318</v>
      </c>
      <c r="E822" s="221">
        <v>1100</v>
      </c>
      <c r="F822" s="221"/>
      <c r="G822" s="2">
        <f>ROUND(E822*$C822,0)</f>
        <v>358600</v>
      </c>
      <c r="H822" s="2">
        <f>ROUND(E822*$D822,0)</f>
        <v>349800</v>
      </c>
      <c r="I822" s="221">
        <f>$I$766</f>
        <v>1205</v>
      </c>
      <c r="J822" s="205"/>
      <c r="K822" s="2">
        <f>ROUND(I822*$D822,0)</f>
        <v>383190</v>
      </c>
    </row>
    <row r="823" spans="1:11">
      <c r="A823" s="207" t="s">
        <v>460</v>
      </c>
      <c r="B823" s="1"/>
      <c r="C823" s="203">
        <v>11</v>
      </c>
      <c r="D823" s="203">
        <v>11</v>
      </c>
      <c r="E823" s="221">
        <v>1325</v>
      </c>
      <c r="F823" s="221"/>
      <c r="G823" s="2">
        <f>ROUND(E823*$C823,0)</f>
        <v>14575</v>
      </c>
      <c r="H823" s="2">
        <f>ROUND(E823*$D823,0)</f>
        <v>14575</v>
      </c>
      <c r="I823" s="221">
        <f>$I$767</f>
        <v>1450</v>
      </c>
      <c r="J823" s="208"/>
      <c r="K823" s="2">
        <f>ROUND(I823*$D823,0)</f>
        <v>15950</v>
      </c>
    </row>
    <row r="824" spans="1:11">
      <c r="A824" s="207" t="s">
        <v>382</v>
      </c>
      <c r="B824" s="1"/>
      <c r="C824" s="203">
        <f>SUM(C822:C823)</f>
        <v>337</v>
      </c>
      <c r="D824" s="203">
        <f>SUM(D822:D823)</f>
        <v>329</v>
      </c>
      <c r="E824" s="221" t="s">
        <v>31</v>
      </c>
      <c r="F824" s="221"/>
      <c r="G824" s="2" t="s">
        <v>31</v>
      </c>
      <c r="H824" s="2" t="s">
        <v>31</v>
      </c>
      <c r="I824" s="221" t="s">
        <v>31</v>
      </c>
      <c r="J824" s="205"/>
      <c r="K824" s="2" t="s">
        <v>31</v>
      </c>
    </row>
    <row r="825" spans="1:11">
      <c r="A825" s="207" t="s">
        <v>461</v>
      </c>
      <c r="B825" s="1"/>
      <c r="C825" s="203">
        <f>192047+242158</f>
        <v>434205</v>
      </c>
      <c r="D825" s="203">
        <f>ROUND((C825/$C$841)*$D$841,0)</f>
        <v>426097</v>
      </c>
      <c r="E825" s="221">
        <v>0.83</v>
      </c>
      <c r="F825" s="221"/>
      <c r="G825" s="2">
        <f>ROUND(E825*$C825,0)</f>
        <v>360390</v>
      </c>
      <c r="H825" s="2">
        <f>ROUND(E825*$D825,0)</f>
        <v>353661</v>
      </c>
      <c r="I825" s="221">
        <f>$I$769</f>
        <v>0.91</v>
      </c>
      <c r="J825" s="205"/>
      <c r="K825" s="2">
        <f>ROUND(I825*$D825,0)</f>
        <v>387748</v>
      </c>
    </row>
    <row r="826" spans="1:11">
      <c r="A826" s="207" t="s">
        <v>462</v>
      </c>
      <c r="B826" s="1"/>
      <c r="C826" s="203">
        <f>38508</f>
        <v>38508</v>
      </c>
      <c r="D826" s="203">
        <f>ROUND((C826/$C$841)*$D$841,0)</f>
        <v>37789</v>
      </c>
      <c r="E826" s="221">
        <v>0.76</v>
      </c>
      <c r="F826" s="221"/>
      <c r="G826" s="2">
        <f>ROUND(E826*$C826,0)</f>
        <v>29266</v>
      </c>
      <c r="H826" s="2">
        <f>ROUND(E826*$D826,0)</f>
        <v>28720</v>
      </c>
      <c r="I826" s="221">
        <f>$I$770</f>
        <v>0.83</v>
      </c>
      <c r="J826" s="205"/>
      <c r="K826" s="2">
        <f>ROUND(I826*$D826,0)</f>
        <v>31365</v>
      </c>
    </row>
    <row r="827" spans="1:11">
      <c r="A827" s="193" t="s">
        <v>391</v>
      </c>
      <c r="B827" s="1"/>
      <c r="C827" s="203">
        <f>152840+171467+34863</f>
        <v>359170</v>
      </c>
      <c r="D827" s="203">
        <f>ROUND((C827/$C$841)*$D$841,0)</f>
        <v>352463</v>
      </c>
      <c r="E827" s="221">
        <v>5.52</v>
      </c>
      <c r="F827" s="221"/>
      <c r="G827" s="2">
        <f>ROUND(E827*$C827,0)</f>
        <v>1982618</v>
      </c>
      <c r="H827" s="2">
        <f>ROUND(E827*$D827,0)</f>
        <v>1945596</v>
      </c>
      <c r="I827" s="221">
        <f>$I$771</f>
        <v>6.03</v>
      </c>
      <c r="J827" s="205"/>
      <c r="K827" s="2">
        <f>ROUND(I827*$D827,0)</f>
        <v>2125352</v>
      </c>
    </row>
    <row r="828" spans="1:11">
      <c r="A828" s="207" t="s">
        <v>414</v>
      </c>
      <c r="B828" s="1"/>
      <c r="C828" s="203"/>
      <c r="D828" s="203"/>
      <c r="E828" s="221" t="s">
        <v>31</v>
      </c>
      <c r="F828" s="221"/>
      <c r="G828" s="2"/>
      <c r="H828" s="2"/>
      <c r="I828" s="221" t="s">
        <v>31</v>
      </c>
      <c r="J828" s="205"/>
      <c r="K828" s="2"/>
    </row>
    <row r="829" spans="1:11">
      <c r="A829" s="207" t="s">
        <v>452</v>
      </c>
      <c r="B829" s="1"/>
      <c r="C829" s="203">
        <f>61181500+18604800+77195004</f>
        <v>156981304</v>
      </c>
      <c r="D829" s="203">
        <f>ROUND((C829/$C$841)*$D$841,0)</f>
        <v>154050076</v>
      </c>
      <c r="E829" s="279">
        <v>3.2050000000000001</v>
      </c>
      <c r="F829" s="205" t="s">
        <v>362</v>
      </c>
      <c r="G829" s="2">
        <f>ROUND(E829/100*$C829,0)</f>
        <v>5031251</v>
      </c>
      <c r="H829" s="2">
        <f>ROUND(E829/100*$D829,0)</f>
        <v>4937305</v>
      </c>
      <c r="I829" s="279">
        <f>$I$773</f>
        <v>3.4990000000000001</v>
      </c>
      <c r="J829" s="205" t="s">
        <v>362</v>
      </c>
      <c r="K829" s="2">
        <f>ROUND(I829/100*$D829,0)</f>
        <v>5390212</v>
      </c>
    </row>
    <row r="830" spans="1:11">
      <c r="A830" s="207" t="s">
        <v>388</v>
      </c>
      <c r="B830" s="1"/>
      <c r="C830" s="203">
        <f>13550+3280+30593</f>
        <v>47423</v>
      </c>
      <c r="D830" s="203">
        <f>ROUND((C830/$C$841)*$D$841,0)</f>
        <v>46537</v>
      </c>
      <c r="E830" s="221">
        <v>0.45</v>
      </c>
      <c r="F830" s="205"/>
      <c r="G830" s="2">
        <f>ROUND(E830*$C830,0)</f>
        <v>21340</v>
      </c>
      <c r="H830" s="2">
        <f>ROUND(E830*$D830,0)</f>
        <v>20942</v>
      </c>
      <c r="I830" s="221">
        <f>$I$774</f>
        <v>0.45</v>
      </c>
      <c r="J830" s="205"/>
      <c r="K830" s="2">
        <f>ROUND(I830*$D830,0)</f>
        <v>20942</v>
      </c>
    </row>
    <row r="831" spans="1:11">
      <c r="A831" s="244" t="s">
        <v>389</v>
      </c>
      <c r="B831" s="1"/>
      <c r="C831" s="203"/>
      <c r="D831" s="203"/>
      <c r="E831" s="216">
        <v>-0.01</v>
      </c>
      <c r="F831" s="216"/>
      <c r="G831" s="2"/>
      <c r="H831" s="2"/>
      <c r="I831" s="216">
        <f>$I$775</f>
        <v>-0.01</v>
      </c>
      <c r="J831" s="245"/>
      <c r="K831" s="2"/>
    </row>
    <row r="832" spans="1:11">
      <c r="A832" s="207" t="s">
        <v>459</v>
      </c>
      <c r="B832" s="1"/>
      <c r="C832" s="203">
        <v>133</v>
      </c>
      <c r="D832" s="203">
        <v>130</v>
      </c>
      <c r="E832" s="218">
        <f>E822</f>
        <v>1100</v>
      </c>
      <c r="F832" s="218"/>
      <c r="G832" s="205">
        <f>ROUND(E832*$C832*$E$803,0)</f>
        <v>-1463</v>
      </c>
      <c r="H832" s="205">
        <f>ROUND(E832*$D832*$E$803,0)</f>
        <v>-1430</v>
      </c>
      <c r="I832" s="218">
        <f>I822</f>
        <v>1205</v>
      </c>
      <c r="J832" s="205"/>
      <c r="K832" s="205">
        <f>ROUND(I832*$D832*$E$803,0)</f>
        <v>-1567</v>
      </c>
    </row>
    <row r="833" spans="1:15">
      <c r="A833" s="207" t="s">
        <v>460</v>
      </c>
      <c r="B833" s="1"/>
      <c r="C833" s="203">
        <v>11</v>
      </c>
      <c r="D833" s="203">
        <v>11</v>
      </c>
      <c r="E833" s="218">
        <f>E823</f>
        <v>1325</v>
      </c>
      <c r="F833" s="218"/>
      <c r="G833" s="205">
        <f>ROUND(E833*$C833*$E$803,0)</f>
        <v>-146</v>
      </c>
      <c r="H833" s="205">
        <f>ROUND(E833*$D833*$E$803,0)</f>
        <v>-146</v>
      </c>
      <c r="I833" s="218">
        <f>I823</f>
        <v>1450</v>
      </c>
      <c r="J833" s="205"/>
      <c r="K833" s="205">
        <f>ROUND(I833*$D833*$E$803,0)</f>
        <v>-160</v>
      </c>
    </row>
    <row r="834" spans="1:15">
      <c r="A834" s="207" t="s">
        <v>461</v>
      </c>
      <c r="B834" s="1"/>
      <c r="C834" s="203">
        <v>192047</v>
      </c>
      <c r="D834" s="203">
        <f>ROUND((C834/$C$841)*$D$841,0)</f>
        <v>188461</v>
      </c>
      <c r="E834" s="218">
        <f>E825</f>
        <v>0.83</v>
      </c>
      <c r="F834" s="218"/>
      <c r="G834" s="205">
        <f>ROUND(E834*$C834*$E$803,0)</f>
        <v>-1594</v>
      </c>
      <c r="H834" s="205">
        <f>ROUND(E834*$D834*$E$803,0)</f>
        <v>-1564</v>
      </c>
      <c r="I834" s="218">
        <f>I825</f>
        <v>0.91</v>
      </c>
      <c r="J834" s="205"/>
      <c r="K834" s="205">
        <f>ROUND(I834*$D834*$E$803,0)</f>
        <v>-1715</v>
      </c>
    </row>
    <row r="835" spans="1:15">
      <c r="A835" s="207" t="s">
        <v>462</v>
      </c>
      <c r="B835" s="1"/>
      <c r="C835" s="203">
        <v>38508</v>
      </c>
      <c r="D835" s="203">
        <f>ROUND((C835/$C$841)*$D$841,0)</f>
        <v>37789</v>
      </c>
      <c r="E835" s="218">
        <f>E826</f>
        <v>0.76</v>
      </c>
      <c r="F835" s="218"/>
      <c r="G835" s="205">
        <f>ROUND(E835*$C835*$E$803,0)</f>
        <v>-293</v>
      </c>
      <c r="H835" s="205">
        <f>ROUND(E835*$D835*$E$803,0)</f>
        <v>-287</v>
      </c>
      <c r="I835" s="218">
        <f>I826</f>
        <v>0.83</v>
      </c>
      <c r="J835" s="205"/>
      <c r="K835" s="205">
        <f>ROUND(I835*$D835*$E$803,0)</f>
        <v>-314</v>
      </c>
    </row>
    <row r="836" spans="1:15">
      <c r="A836" s="193" t="s">
        <v>391</v>
      </c>
      <c r="B836" s="264"/>
      <c r="C836" s="203">
        <f>152840+34863</f>
        <v>187703</v>
      </c>
      <c r="D836" s="203">
        <f>ROUND((C836/$C$841)*$D$841,0)</f>
        <v>184198</v>
      </c>
      <c r="E836" s="218">
        <f>E827</f>
        <v>5.52</v>
      </c>
      <c r="F836" s="221"/>
      <c r="G836" s="205">
        <f>ROUND(E836*$C836*$E$803,0)</f>
        <v>-10361</v>
      </c>
      <c r="H836" s="205">
        <f>ROUND(E836*$D836*$E$803,0)</f>
        <v>-10168</v>
      </c>
      <c r="I836" s="218">
        <f>I827</f>
        <v>6.03</v>
      </c>
      <c r="J836" s="205"/>
      <c r="K836" s="205">
        <f>ROUND(I836*$D836*$E$803,0)</f>
        <v>-11107</v>
      </c>
    </row>
    <row r="837" spans="1:15">
      <c r="A837" s="207" t="s">
        <v>452</v>
      </c>
      <c r="B837" s="1"/>
      <c r="C837" s="203">
        <f>61181500+18604800</f>
        <v>79786300</v>
      </c>
      <c r="D837" s="203">
        <f>ROUND((C837/$C$841)*$D$841,0)</f>
        <v>78296493</v>
      </c>
      <c r="E837" s="219">
        <f>E829</f>
        <v>3.2050000000000001</v>
      </c>
      <c r="F837" s="205" t="s">
        <v>362</v>
      </c>
      <c r="G837" s="205">
        <f>ROUND(E837/100*$C837*$E$803,0)</f>
        <v>-25572</v>
      </c>
      <c r="H837" s="205">
        <f>ROUND(E837/100*$D837*$E$803,0)</f>
        <v>-25094</v>
      </c>
      <c r="I837" s="219">
        <f>I829</f>
        <v>3.4990000000000001</v>
      </c>
      <c r="J837" s="205" t="s">
        <v>362</v>
      </c>
      <c r="K837" s="205">
        <f>ROUND(I837/100*$D837*$E$803,0)</f>
        <v>-27396</v>
      </c>
    </row>
    <row r="838" spans="1:15">
      <c r="A838" s="207" t="s">
        <v>388</v>
      </c>
      <c r="B838" s="1"/>
      <c r="C838" s="203">
        <f>13550+3280</f>
        <v>16830</v>
      </c>
      <c r="D838" s="203">
        <f>ROUND((C838/$C$841)*$D$841,0)</f>
        <v>16516</v>
      </c>
      <c r="E838" s="268">
        <f>E830</f>
        <v>0.45</v>
      </c>
      <c r="F838" s="205"/>
      <c r="G838" s="205">
        <f>ROUND(E838*$C838*$E$803,0)</f>
        <v>-76</v>
      </c>
      <c r="H838" s="205">
        <f>ROUND(E838*$D838*$E$803,0)</f>
        <v>-74</v>
      </c>
      <c r="I838" s="268">
        <f>I830</f>
        <v>0.45</v>
      </c>
      <c r="J838" s="205"/>
      <c r="K838" s="205">
        <f>ROUND(I838*$D838*$E$803,0)</f>
        <v>-74</v>
      </c>
    </row>
    <row r="839" spans="1:15">
      <c r="A839" s="193" t="s">
        <v>463</v>
      </c>
      <c r="B839" s="1"/>
      <c r="C839" s="203">
        <f>133+11</f>
        <v>144</v>
      </c>
      <c r="D839" s="203">
        <v>141</v>
      </c>
      <c r="E839" s="221">
        <v>60</v>
      </c>
      <c r="F839" s="221"/>
      <c r="G839" s="205">
        <f>ROUND(E839*$C839,0)</f>
        <v>8640</v>
      </c>
      <c r="H839" s="205">
        <f>ROUND(E839*$D839,0)</f>
        <v>8460</v>
      </c>
      <c r="I839" s="221">
        <f>$I$783</f>
        <v>60</v>
      </c>
      <c r="J839" s="205"/>
      <c r="K839" s="205">
        <f>ROUND(I839*$D839,0)</f>
        <v>8460</v>
      </c>
    </row>
    <row r="840" spans="1:15">
      <c r="A840" s="193" t="s">
        <v>432</v>
      </c>
      <c r="B840" s="1"/>
      <c r="C840" s="203">
        <f>192047+38508</f>
        <v>230555</v>
      </c>
      <c r="D840" s="203">
        <f>ROUND((C840/$C$841)*$D$841,0)</f>
        <v>226250</v>
      </c>
      <c r="E840" s="221">
        <v>-0.3</v>
      </c>
      <c r="F840" s="205"/>
      <c r="G840" s="205">
        <f>ROUND(E840*$C840,0)</f>
        <v>-69167</v>
      </c>
      <c r="H840" s="205">
        <f>ROUND(E840*$D840,0)</f>
        <v>-67875</v>
      </c>
      <c r="I840" s="221">
        <f>$I$784</f>
        <v>-0.75</v>
      </c>
      <c r="J840" s="205"/>
      <c r="K840" s="205">
        <f>ROUND(I840*$D840,0)</f>
        <v>-169688</v>
      </c>
    </row>
    <row r="841" spans="1:15">
      <c r="A841" s="1" t="s">
        <v>369</v>
      </c>
      <c r="B841" s="1"/>
      <c r="C841" s="203">
        <f>C829</f>
        <v>156981304</v>
      </c>
      <c r="D841" s="203">
        <v>154050076.39425009</v>
      </c>
      <c r="E841" s="214"/>
      <c r="F841" s="2"/>
      <c r="G841" s="2">
        <f>SUM(G822:G840)</f>
        <v>7698008</v>
      </c>
      <c r="H841" s="2">
        <f>SUM(H822:H840)</f>
        <v>7552421</v>
      </c>
      <c r="I841" s="214"/>
      <c r="J841" s="1"/>
      <c r="K841" s="2">
        <f>SUM(K822:K840)</f>
        <v>8151198</v>
      </c>
    </row>
    <row r="842" spans="1:15">
      <c r="A842" s="1" t="s">
        <v>351</v>
      </c>
      <c r="B842" s="1"/>
      <c r="C842" s="203">
        <v>687227.4909941873</v>
      </c>
      <c r="D842" s="203">
        <v>0</v>
      </c>
      <c r="E842" s="193"/>
      <c r="F842" s="193"/>
      <c r="G842" s="225">
        <v>28763.430775107623</v>
      </c>
      <c r="H842" s="225">
        <v>0</v>
      </c>
      <c r="I842" s="193"/>
      <c r="J842" s="193"/>
      <c r="K842" s="225">
        <v>0</v>
      </c>
      <c r="M842" s="173"/>
      <c r="N842" s="173"/>
      <c r="O842" s="174"/>
    </row>
    <row r="843" spans="1:15" ht="16.5" thickBot="1">
      <c r="A843" s="1" t="s">
        <v>370</v>
      </c>
      <c r="B843" s="1"/>
      <c r="C843" s="277">
        <f>SUM(C841)+C842</f>
        <v>157668531.49099419</v>
      </c>
      <c r="D843" s="277">
        <f>SUM(D829)+D842</f>
        <v>154050076</v>
      </c>
      <c r="E843" s="226"/>
      <c r="F843" s="227"/>
      <c r="G843" s="228">
        <f>G841+G842</f>
        <v>7726771.4307751078</v>
      </c>
      <c r="H843" s="228">
        <f>H841+H842</f>
        <v>7552421</v>
      </c>
      <c r="I843" s="226"/>
      <c r="J843" s="229"/>
      <c r="K843" s="228">
        <f>K841+K842</f>
        <v>8151198</v>
      </c>
      <c r="M843" s="175"/>
      <c r="N843" s="175"/>
      <c r="O843" s="176"/>
    </row>
    <row r="844" spans="1:15" ht="16.5" thickTop="1">
      <c r="A844" s="1"/>
      <c r="B844" s="1"/>
      <c r="C844" s="21"/>
      <c r="D844" s="21"/>
      <c r="E844" s="221"/>
      <c r="F844" s="2"/>
      <c r="G844" s="2"/>
      <c r="H844" s="2"/>
      <c r="I844" s="237" t="s">
        <v>31</v>
      </c>
      <c r="J844" s="1"/>
      <c r="K844" s="2" t="s">
        <v>31</v>
      </c>
    </row>
    <row r="845" spans="1:15">
      <c r="A845" s="1"/>
      <c r="B845" s="1"/>
      <c r="C845" s="21"/>
      <c r="D845" s="21"/>
      <c r="E845" s="221"/>
      <c r="F845" s="2"/>
      <c r="G845" s="2"/>
      <c r="H845" s="2"/>
      <c r="I845" s="221"/>
      <c r="J845" s="1"/>
      <c r="K845" s="264"/>
    </row>
    <row r="846" spans="1:15">
      <c r="A846" s="177" t="s">
        <v>464</v>
      </c>
      <c r="B846" s="1"/>
      <c r="C846" s="1"/>
      <c r="D846" s="1"/>
      <c r="E846" s="2"/>
      <c r="F846" s="2"/>
      <c r="G846" s="1"/>
      <c r="H846" s="1"/>
      <c r="I846" s="2"/>
      <c r="J846" s="1"/>
      <c r="K846" s="1"/>
    </row>
    <row r="847" spans="1:15">
      <c r="A847" s="193" t="s">
        <v>468</v>
      </c>
      <c r="B847" s="1"/>
      <c r="C847" s="1"/>
      <c r="D847" s="1"/>
      <c r="E847" s="2"/>
      <c r="F847" s="2"/>
      <c r="G847" s="1"/>
      <c r="H847" s="1"/>
      <c r="I847" s="2"/>
      <c r="J847" s="1"/>
      <c r="K847" s="1"/>
    </row>
    <row r="848" spans="1:15">
      <c r="A848" s="207"/>
      <c r="B848" s="1"/>
      <c r="C848" s="1"/>
      <c r="D848" s="1"/>
      <c r="E848" s="2"/>
      <c r="F848" s="2"/>
      <c r="G848" s="1"/>
      <c r="H848" s="1"/>
      <c r="I848" s="2"/>
      <c r="J848" s="1"/>
      <c r="K848" s="1"/>
    </row>
    <row r="849" spans="1:11">
      <c r="A849" s="207" t="s">
        <v>381</v>
      </c>
      <c r="B849" s="1"/>
      <c r="C849" s="203"/>
      <c r="D849" s="203"/>
      <c r="E849" s="2"/>
      <c r="F849" s="2"/>
      <c r="G849" s="1"/>
      <c r="H849" s="1"/>
      <c r="I849" s="2"/>
      <c r="J849" s="1"/>
      <c r="K849" s="1"/>
    </row>
    <row r="850" spans="1:11">
      <c r="A850" s="207" t="s">
        <v>459</v>
      </c>
      <c r="B850" s="1"/>
      <c r="C850" s="203">
        <f>22+336+6</f>
        <v>364</v>
      </c>
      <c r="D850" s="203">
        <v>362</v>
      </c>
      <c r="E850" s="221">
        <v>1100</v>
      </c>
      <c r="F850" s="221"/>
      <c r="G850" s="2">
        <f>ROUND(E850*$C850,0)</f>
        <v>400400</v>
      </c>
      <c r="H850" s="2">
        <f>ROUND(E850*$D850,0)</f>
        <v>398200</v>
      </c>
      <c r="I850" s="221">
        <f>$I$766</f>
        <v>1205</v>
      </c>
      <c r="J850" s="205"/>
      <c r="K850" s="2">
        <f>ROUND(I850*$D850,0)</f>
        <v>436210</v>
      </c>
    </row>
    <row r="851" spans="1:11">
      <c r="A851" s="207" t="s">
        <v>460</v>
      </c>
      <c r="B851" s="1"/>
      <c r="C851" s="203">
        <f>26+25</f>
        <v>51</v>
      </c>
      <c r="D851" s="203">
        <v>51</v>
      </c>
      <c r="E851" s="221">
        <v>1325</v>
      </c>
      <c r="F851" s="221"/>
      <c r="G851" s="2">
        <f>ROUND(E851*$C851,0)</f>
        <v>67575</v>
      </c>
      <c r="H851" s="2">
        <f>ROUND(E851*$D851,0)</f>
        <v>67575</v>
      </c>
      <c r="I851" s="221">
        <f>$I$767</f>
        <v>1450</v>
      </c>
      <c r="J851" s="208"/>
      <c r="K851" s="2">
        <f>ROUND(I851*$D851,0)</f>
        <v>73950</v>
      </c>
    </row>
    <row r="852" spans="1:11">
      <c r="A852" s="207" t="s">
        <v>382</v>
      </c>
      <c r="B852" s="1"/>
      <c r="C852" s="203">
        <f>SUM(C850:C851)</f>
        <v>415</v>
      </c>
      <c r="D852" s="203">
        <f>SUM(D850:D851)</f>
        <v>413</v>
      </c>
      <c r="E852" s="221" t="s">
        <v>31</v>
      </c>
      <c r="F852" s="221"/>
      <c r="G852" s="2" t="s">
        <v>31</v>
      </c>
      <c r="H852" s="2" t="s">
        <v>31</v>
      </c>
      <c r="I852" s="221" t="s">
        <v>31</v>
      </c>
      <c r="J852" s="205"/>
      <c r="K852" s="2" t="s">
        <v>31</v>
      </c>
    </row>
    <row r="853" spans="1:11">
      <c r="A853" s="207" t="s">
        <v>461</v>
      </c>
      <c r="B853" s="1"/>
      <c r="C853" s="203">
        <f>23526+462664+7635</f>
        <v>493825</v>
      </c>
      <c r="D853" s="203">
        <f>ROUND(($D$869/$C$869)*C853,0)</f>
        <v>523963</v>
      </c>
      <c r="E853" s="221">
        <v>0.83</v>
      </c>
      <c r="F853" s="221"/>
      <c r="G853" s="2">
        <f>ROUND(E853*$C853,0)</f>
        <v>409875</v>
      </c>
      <c r="H853" s="2">
        <f>ROUND(E853*$D853,0)</f>
        <v>434889</v>
      </c>
      <c r="I853" s="221">
        <f>$I$769</f>
        <v>0.91</v>
      </c>
      <c r="J853" s="205"/>
      <c r="K853" s="2">
        <f>ROUND(I853*$D853,0)</f>
        <v>476806</v>
      </c>
    </row>
    <row r="854" spans="1:11">
      <c r="A854" s="207" t="s">
        <v>462</v>
      </c>
      <c r="B854" s="1"/>
      <c r="C854" s="203">
        <f>729270+101203</f>
        <v>830473</v>
      </c>
      <c r="D854" s="203">
        <f>ROUND(($D$869/$C$869)*C854,0)</f>
        <v>881157</v>
      </c>
      <c r="E854" s="221">
        <v>0.76</v>
      </c>
      <c r="F854" s="221"/>
      <c r="G854" s="2">
        <f>ROUND(E854*$C854,0)</f>
        <v>631159</v>
      </c>
      <c r="H854" s="2">
        <f>ROUND(E854*$D854,0)</f>
        <v>669679</v>
      </c>
      <c r="I854" s="221">
        <f>$I$770</f>
        <v>0.83</v>
      </c>
      <c r="J854" s="205"/>
      <c r="K854" s="2">
        <f>ROUND(I854*$D854,0)</f>
        <v>731360</v>
      </c>
    </row>
    <row r="855" spans="1:11">
      <c r="A855" s="193" t="s">
        <v>391</v>
      </c>
      <c r="B855" s="1"/>
      <c r="C855" s="203">
        <f>21282+702601+399599+90949+7532</f>
        <v>1221963</v>
      </c>
      <c r="D855" s="203">
        <f>ROUND(($D$869/$C$869)*C855,0)</f>
        <v>1296540</v>
      </c>
      <c r="E855" s="221">
        <v>5.52</v>
      </c>
      <c r="F855" s="221"/>
      <c r="G855" s="2">
        <f>ROUND(E855*$C855,0)</f>
        <v>6745236</v>
      </c>
      <c r="H855" s="2">
        <f>ROUND(E855*$D855,0)</f>
        <v>7156901</v>
      </c>
      <c r="I855" s="221">
        <f>$I$771</f>
        <v>6.03</v>
      </c>
      <c r="J855" s="205"/>
      <c r="K855" s="2">
        <f>ROUND(I855*$D855,0)</f>
        <v>7818136</v>
      </c>
    </row>
    <row r="856" spans="1:11">
      <c r="A856" s="207" t="s">
        <v>414</v>
      </c>
      <c r="B856" s="1"/>
      <c r="C856" s="203"/>
      <c r="D856" s="203"/>
      <c r="E856" s="221" t="s">
        <v>31</v>
      </c>
      <c r="F856" s="221"/>
      <c r="G856" s="2"/>
      <c r="H856" s="2"/>
      <c r="I856" s="221" t="s">
        <v>31</v>
      </c>
      <c r="J856" s="205"/>
      <c r="K856" s="2"/>
    </row>
    <row r="857" spans="1:11">
      <c r="A857" s="207" t="s">
        <v>452</v>
      </c>
      <c r="B857" s="1"/>
      <c r="C857" s="203">
        <f>6333900+441066001+175276602+45716850+2895600</f>
        <v>671288953</v>
      </c>
      <c r="D857" s="203">
        <f>ROUND(($D$869/$C$869)*C857,0)</f>
        <v>712258072</v>
      </c>
      <c r="E857" s="279">
        <v>3.2050000000000001</v>
      </c>
      <c r="F857" s="205" t="s">
        <v>362</v>
      </c>
      <c r="G857" s="2">
        <f>ROUND(E857/100*$C857,0)</f>
        <v>21514811</v>
      </c>
      <c r="H857" s="2">
        <f>ROUND(E857/100*$D857,0)</f>
        <v>22827871</v>
      </c>
      <c r="I857" s="279">
        <f>$I$773</f>
        <v>3.4990000000000001</v>
      </c>
      <c r="J857" s="205" t="s">
        <v>362</v>
      </c>
      <c r="K857" s="2">
        <f>ROUND(I857/100*$D857,0)</f>
        <v>24921910</v>
      </c>
    </row>
    <row r="858" spans="1:11">
      <c r="A858" s="207" t="s">
        <v>388</v>
      </c>
      <c r="B858" s="1"/>
      <c r="C858" s="203">
        <f>6818+174154+133859+26014+1576</f>
        <v>342421</v>
      </c>
      <c r="D858" s="203">
        <f>ROUND(($D$869/$C$869)*C858,0)</f>
        <v>363319</v>
      </c>
      <c r="E858" s="221">
        <v>0.45</v>
      </c>
      <c r="F858" s="205"/>
      <c r="G858" s="2">
        <f>ROUND(E858*$C858,0)</f>
        <v>154089</v>
      </c>
      <c r="H858" s="2">
        <f>ROUND(E858*$D858,0)</f>
        <v>163494</v>
      </c>
      <c r="I858" s="221">
        <f>$I$774</f>
        <v>0.45</v>
      </c>
      <c r="J858" s="205"/>
      <c r="K858" s="2">
        <f>ROUND(I858*$D858,0)</f>
        <v>163494</v>
      </c>
    </row>
    <row r="859" spans="1:11">
      <c r="A859" s="244" t="s">
        <v>389</v>
      </c>
      <c r="B859" s="1"/>
      <c r="C859" s="203"/>
      <c r="D859" s="203"/>
      <c r="E859" s="216">
        <v>-0.01</v>
      </c>
      <c r="F859" s="216"/>
      <c r="G859" s="2"/>
      <c r="H859" s="2"/>
      <c r="I859" s="216">
        <f>$I$775</f>
        <v>-0.01</v>
      </c>
      <c r="J859" s="245"/>
      <c r="K859" s="2"/>
    </row>
    <row r="860" spans="1:11">
      <c r="A860" s="207" t="s">
        <v>459</v>
      </c>
      <c r="B860" s="1"/>
      <c r="C860" s="203">
        <v>22</v>
      </c>
      <c r="D860" s="203">
        <v>22</v>
      </c>
      <c r="E860" s="218">
        <f>E850</f>
        <v>1100</v>
      </c>
      <c r="F860" s="218"/>
      <c r="G860" s="205">
        <f>ROUND(E860*$C860*$E$803,0)</f>
        <v>-242</v>
      </c>
      <c r="H860" s="205">
        <f>ROUND(E860*$D860*$E$803,0)</f>
        <v>-242</v>
      </c>
      <c r="I860" s="218">
        <f>I850</f>
        <v>1205</v>
      </c>
      <c r="J860" s="205"/>
      <c r="K860" s="205">
        <f>ROUND(I860*$D860*$E$803,0)</f>
        <v>-265</v>
      </c>
    </row>
    <row r="861" spans="1:11">
      <c r="A861" s="207" t="s">
        <v>460</v>
      </c>
      <c r="B861" s="1"/>
      <c r="C861" s="203">
        <v>26</v>
      </c>
      <c r="D861" s="203">
        <v>26</v>
      </c>
      <c r="E861" s="218">
        <f>E851</f>
        <v>1325</v>
      </c>
      <c r="F861" s="218"/>
      <c r="G861" s="205">
        <f>ROUND(E861*$C861*$E$803,0)</f>
        <v>-345</v>
      </c>
      <c r="H861" s="205">
        <f>ROUND(E861*$D861*$E$803,0)</f>
        <v>-345</v>
      </c>
      <c r="I861" s="218">
        <f>I851</f>
        <v>1450</v>
      </c>
      <c r="J861" s="205"/>
      <c r="K861" s="205">
        <f>ROUND(I861*$D861*$E$803,0)</f>
        <v>-377</v>
      </c>
    </row>
    <row r="862" spans="1:11">
      <c r="A862" s="207" t="s">
        <v>461</v>
      </c>
      <c r="B862" s="1"/>
      <c r="C862" s="203">
        <v>23526</v>
      </c>
      <c r="D862" s="203">
        <f>ROUND(($D$869/$C$869)*C862,0)</f>
        <v>24962</v>
      </c>
      <c r="E862" s="218">
        <f>E853</f>
        <v>0.83</v>
      </c>
      <c r="F862" s="218"/>
      <c r="G862" s="205">
        <f>ROUND(E862*$C862*$E$803,0)</f>
        <v>-195</v>
      </c>
      <c r="H862" s="205">
        <f>ROUND(E862*$D862*$E$803,0)</f>
        <v>-207</v>
      </c>
      <c r="I862" s="218">
        <f>I853</f>
        <v>0.91</v>
      </c>
      <c r="J862" s="205"/>
      <c r="K862" s="205">
        <f>ROUND(I862*$D862*$E$803,0)</f>
        <v>-227</v>
      </c>
    </row>
    <row r="863" spans="1:11">
      <c r="A863" s="207" t="s">
        <v>462</v>
      </c>
      <c r="B863" s="1"/>
      <c r="C863" s="203">
        <f>729270</f>
        <v>729270</v>
      </c>
      <c r="D863" s="203">
        <f>ROUND(($D$869/$C$869)*C863,0)</f>
        <v>773778</v>
      </c>
      <c r="E863" s="218">
        <f>E854</f>
        <v>0.76</v>
      </c>
      <c r="F863" s="218"/>
      <c r="G863" s="205">
        <f>ROUND(E863*$C863*$E$803,0)</f>
        <v>-5542</v>
      </c>
      <c r="H863" s="205">
        <f>ROUND(E863*$D863*$E$803,0)</f>
        <v>-5881</v>
      </c>
      <c r="I863" s="218">
        <f>I854</f>
        <v>0.83</v>
      </c>
      <c r="J863" s="205"/>
      <c r="K863" s="205">
        <f>ROUND(I863*$D863*$E$803,0)</f>
        <v>-6422</v>
      </c>
    </row>
    <row r="864" spans="1:11">
      <c r="A864" s="193" t="s">
        <v>391</v>
      </c>
      <c r="B864" s="264"/>
      <c r="C864" s="203">
        <f>21282+702601</f>
        <v>723883</v>
      </c>
      <c r="D864" s="203">
        <f>ROUND(($D$869/$C$869)*C864,0)</f>
        <v>768062</v>
      </c>
      <c r="E864" s="218">
        <f>E855</f>
        <v>5.52</v>
      </c>
      <c r="F864" s="221"/>
      <c r="G864" s="205">
        <f>ROUND(E864*$C864*$E$803,0)</f>
        <v>-39958</v>
      </c>
      <c r="H864" s="205">
        <f>ROUND(E864*$D864*$E$803,0)</f>
        <v>-42397</v>
      </c>
      <c r="I864" s="218">
        <f>I855</f>
        <v>6.03</v>
      </c>
      <c r="J864" s="205"/>
      <c r="K864" s="205">
        <f>ROUND(I864*$D864*$E$803,0)</f>
        <v>-46314</v>
      </c>
    </row>
    <row r="865" spans="1:15">
      <c r="A865" s="207" t="s">
        <v>452</v>
      </c>
      <c r="B865" s="1"/>
      <c r="C865" s="203">
        <f>6333900+441066001</f>
        <v>447399901</v>
      </c>
      <c r="D865" s="203">
        <f>ROUND(($D$869/$C$869)*C865,0)</f>
        <v>474704953</v>
      </c>
      <c r="E865" s="219">
        <f>E857</f>
        <v>3.2050000000000001</v>
      </c>
      <c r="F865" s="205" t="s">
        <v>362</v>
      </c>
      <c r="G865" s="205">
        <f>ROUND(E865/100*$C865*$E$803,0)</f>
        <v>-143392</v>
      </c>
      <c r="H865" s="205">
        <f>ROUND(E865/100*$D865*$E$803,0)</f>
        <v>-152143</v>
      </c>
      <c r="I865" s="219">
        <f>I857</f>
        <v>3.4990000000000001</v>
      </c>
      <c r="J865" s="205" t="s">
        <v>362</v>
      </c>
      <c r="K865" s="205">
        <f>ROUND(I865/100*$D865*$E$803,0)</f>
        <v>-166099</v>
      </c>
    </row>
    <row r="866" spans="1:15">
      <c r="A866" s="207" t="s">
        <v>388</v>
      </c>
      <c r="B866" s="1"/>
      <c r="C866" s="203">
        <f>6818+174154</f>
        <v>180972</v>
      </c>
      <c r="D866" s="203">
        <f>ROUND(($D$869/$C$869)*C866,0)</f>
        <v>192017</v>
      </c>
      <c r="E866" s="268">
        <f>E858</f>
        <v>0.45</v>
      </c>
      <c r="F866" s="205"/>
      <c r="G866" s="205">
        <f>ROUND(E866*$C866*$E$803,0)</f>
        <v>-814</v>
      </c>
      <c r="H866" s="205">
        <f>ROUND(E866*$D866*$E$803,0)</f>
        <v>-864</v>
      </c>
      <c r="I866" s="268">
        <f>I858</f>
        <v>0.45</v>
      </c>
      <c r="J866" s="205"/>
      <c r="K866" s="205">
        <f>ROUND(I866*$D866*$E$803,0)</f>
        <v>-864</v>
      </c>
    </row>
    <row r="867" spans="1:15">
      <c r="A867" s="193" t="s">
        <v>463</v>
      </c>
      <c r="B867" s="1"/>
      <c r="C867" s="203">
        <f>22+26</f>
        <v>48</v>
      </c>
      <c r="D867" s="203">
        <v>48</v>
      </c>
      <c r="E867" s="221">
        <v>60</v>
      </c>
      <c r="F867" s="221"/>
      <c r="G867" s="205">
        <f>ROUND(E867*$C867,0)</f>
        <v>2880</v>
      </c>
      <c r="H867" s="205">
        <f>ROUND(E867*$D867,0)</f>
        <v>2880</v>
      </c>
      <c r="I867" s="221">
        <f>$I$783</f>
        <v>60</v>
      </c>
      <c r="J867" s="205"/>
      <c r="K867" s="205">
        <f>ROUND(I867*$D867,0)</f>
        <v>2880</v>
      </c>
    </row>
    <row r="868" spans="1:15">
      <c r="A868" s="193" t="s">
        <v>432</v>
      </c>
      <c r="B868" s="1"/>
      <c r="C868" s="203">
        <f>23526+729270</f>
        <v>752796</v>
      </c>
      <c r="D868" s="203">
        <f>ROUND(($D$869/$C$869)*C868,0)</f>
        <v>798740</v>
      </c>
      <c r="E868" s="221">
        <v>-0.3</v>
      </c>
      <c r="F868" s="205"/>
      <c r="G868" s="205">
        <f>ROUND(E868*$C868,0)</f>
        <v>-225839</v>
      </c>
      <c r="H868" s="205">
        <f>ROUND(E868*$D868,0)</f>
        <v>-239622</v>
      </c>
      <c r="I868" s="221">
        <f>$I$784</f>
        <v>-0.75</v>
      </c>
      <c r="J868" s="205"/>
      <c r="K868" s="205">
        <f>ROUND(I868*$D868,0)</f>
        <v>-599055</v>
      </c>
    </row>
    <row r="869" spans="1:15">
      <c r="A869" s="1" t="s">
        <v>369</v>
      </c>
      <c r="B869" s="1"/>
      <c r="C869" s="203">
        <f>C857</f>
        <v>671288953</v>
      </c>
      <c r="D869" s="203">
        <v>712258072.33019459</v>
      </c>
      <c r="E869" s="214"/>
      <c r="F869" s="2"/>
      <c r="G869" s="2">
        <f>SUM(G850:G868)</f>
        <v>29509698</v>
      </c>
      <c r="H869" s="2">
        <f>SUM(H850:H868)</f>
        <v>31279788</v>
      </c>
      <c r="I869" s="214"/>
      <c r="J869" s="1"/>
      <c r="K869" s="2">
        <f>SUM(K850:K868)</f>
        <v>33805123</v>
      </c>
    </row>
    <row r="870" spans="1:15">
      <c r="A870" s="1" t="s">
        <v>351</v>
      </c>
      <c r="B870" s="1"/>
      <c r="C870" s="203">
        <v>-15164629.489788763</v>
      </c>
      <c r="D870" s="203">
        <v>0</v>
      </c>
      <c r="E870" s="193"/>
      <c r="F870" s="193"/>
      <c r="G870" s="225">
        <v>-567791.90919455024</v>
      </c>
      <c r="H870" s="225">
        <v>0</v>
      </c>
      <c r="I870" s="193"/>
      <c r="J870" s="193"/>
      <c r="K870" s="225">
        <v>0</v>
      </c>
      <c r="M870" s="173"/>
      <c r="N870" s="173"/>
      <c r="O870" s="174"/>
    </row>
    <row r="871" spans="1:15" ht="16.5" thickBot="1">
      <c r="A871" s="1" t="s">
        <v>370</v>
      </c>
      <c r="B871" s="1"/>
      <c r="C871" s="277">
        <f>SUM(C869)+C870</f>
        <v>656124323.51021123</v>
      </c>
      <c r="D871" s="277">
        <f>SUM(D857)+D870</f>
        <v>712258072</v>
      </c>
      <c r="E871" s="226"/>
      <c r="F871" s="227"/>
      <c r="G871" s="228">
        <f>G869+G870</f>
        <v>28941906.090805449</v>
      </c>
      <c r="H871" s="228">
        <f>H869+H870</f>
        <v>31279788</v>
      </c>
      <c r="I871" s="226"/>
      <c r="J871" s="229"/>
      <c r="K871" s="228">
        <f>K869+K870</f>
        <v>33805123</v>
      </c>
      <c r="M871" s="175"/>
      <c r="N871" s="175"/>
      <c r="O871" s="176"/>
    </row>
    <row r="872" spans="1:15" ht="16.5" thickTop="1">
      <c r="A872" s="1"/>
      <c r="B872" s="1"/>
      <c r="C872" s="21"/>
      <c r="D872" s="21"/>
      <c r="E872" s="221"/>
      <c r="F872" s="2"/>
      <c r="G872" s="2"/>
      <c r="H872" s="2"/>
      <c r="I872" s="237" t="s">
        <v>31</v>
      </c>
      <c r="J872" s="1"/>
      <c r="K872" s="2" t="s">
        <v>31</v>
      </c>
    </row>
    <row r="873" spans="1:15">
      <c r="A873" s="177" t="s">
        <v>469</v>
      </c>
      <c r="B873" s="1"/>
      <c r="C873" s="1"/>
      <c r="D873" s="1"/>
      <c r="E873" s="2"/>
      <c r="F873" s="2"/>
      <c r="G873" s="1"/>
      <c r="H873" s="1"/>
      <c r="I873" s="2"/>
      <c r="J873" s="1"/>
      <c r="K873" s="1"/>
    </row>
    <row r="874" spans="1:15">
      <c r="A874" s="193" t="s">
        <v>468</v>
      </c>
      <c r="B874" s="1"/>
      <c r="C874" s="1"/>
      <c r="D874" s="1"/>
      <c r="E874" s="2"/>
      <c r="F874" s="2"/>
      <c r="G874" s="1"/>
      <c r="H874" s="1"/>
      <c r="I874" s="2"/>
      <c r="J874" s="1"/>
      <c r="K874" s="1"/>
    </row>
    <row r="875" spans="1:15">
      <c r="A875" s="207"/>
      <c r="B875" s="1"/>
      <c r="C875" s="1"/>
      <c r="D875" s="1"/>
      <c r="E875" s="2"/>
      <c r="F875" s="2"/>
      <c r="G875" s="1"/>
      <c r="H875" s="1"/>
      <c r="I875" s="2"/>
      <c r="J875" s="1"/>
      <c r="K875" s="1"/>
    </row>
    <row r="876" spans="1:15">
      <c r="A876" s="207" t="s">
        <v>381</v>
      </c>
      <c r="B876" s="1"/>
      <c r="C876" s="203"/>
      <c r="D876" s="203"/>
      <c r="E876" s="2"/>
      <c r="F876" s="2"/>
      <c r="G876" s="1"/>
      <c r="H876" s="1"/>
      <c r="I876" s="2"/>
      <c r="J876" s="1"/>
      <c r="K876" s="1"/>
    </row>
    <row r="877" spans="1:15">
      <c r="A877" s="207" t="s">
        <v>459</v>
      </c>
      <c r="B877" s="1"/>
      <c r="C877" s="203">
        <v>0</v>
      </c>
      <c r="D877" s="203">
        <v>0</v>
      </c>
      <c r="E877" s="221">
        <v>1100</v>
      </c>
      <c r="F877" s="221"/>
      <c r="G877" s="2">
        <f>ROUND(E877*$C877,0)</f>
        <v>0</v>
      </c>
      <c r="H877" s="2">
        <f>ROUND(E877*$D877,0)</f>
        <v>0</v>
      </c>
      <c r="I877" s="221">
        <f>$I$766</f>
        <v>1205</v>
      </c>
      <c r="J877" s="205"/>
      <c r="K877" s="2">
        <f>ROUND(I877*$D877,0)</f>
        <v>0</v>
      </c>
    </row>
    <row r="878" spans="1:15">
      <c r="A878" s="207" t="s">
        <v>460</v>
      </c>
      <c r="B878" s="1"/>
      <c r="C878" s="203">
        <v>12</v>
      </c>
      <c r="D878" s="203">
        <v>12</v>
      </c>
      <c r="E878" s="221">
        <v>1325</v>
      </c>
      <c r="F878" s="221"/>
      <c r="G878" s="2">
        <f>ROUND(E878*$C878,0)</f>
        <v>15900</v>
      </c>
      <c r="H878" s="2">
        <f>ROUND(E878*$D878,0)</f>
        <v>15900</v>
      </c>
      <c r="I878" s="221">
        <f>$I$767</f>
        <v>1450</v>
      </c>
      <c r="J878" s="208"/>
      <c r="K878" s="2">
        <f>ROUND(I878*$D878,0)</f>
        <v>17400</v>
      </c>
    </row>
    <row r="879" spans="1:15">
      <c r="A879" s="207" t="s">
        <v>382</v>
      </c>
      <c r="B879" s="1"/>
      <c r="C879" s="203">
        <f>SUM(C877:C878)</f>
        <v>12</v>
      </c>
      <c r="D879" s="203">
        <v>12</v>
      </c>
      <c r="E879" s="221" t="s">
        <v>31</v>
      </c>
      <c r="F879" s="221"/>
      <c r="G879" s="2" t="s">
        <v>31</v>
      </c>
      <c r="H879" s="2" t="s">
        <v>31</v>
      </c>
      <c r="I879" s="221" t="s">
        <v>31</v>
      </c>
      <c r="J879" s="205"/>
      <c r="K879" s="2" t="s">
        <v>31</v>
      </c>
    </row>
    <row r="880" spans="1:15">
      <c r="A880" s="207" t="s">
        <v>461</v>
      </c>
      <c r="B880" s="1"/>
      <c r="C880" s="203">
        <v>0</v>
      </c>
      <c r="D880" s="203">
        <v>0</v>
      </c>
      <c r="E880" s="221">
        <v>0.83</v>
      </c>
      <c r="F880" s="221"/>
      <c r="G880" s="2">
        <f>ROUND(E880*$C880,0)</f>
        <v>0</v>
      </c>
      <c r="H880" s="2">
        <f>ROUND(E880*$D880,0)</f>
        <v>0</v>
      </c>
      <c r="I880" s="221">
        <f>$I$769</f>
        <v>0.91</v>
      </c>
      <c r="J880" s="205"/>
      <c r="K880" s="2">
        <f>ROUND(I880*$D880,0)</f>
        <v>0</v>
      </c>
    </row>
    <row r="881" spans="1:11">
      <c r="A881" s="207" t="s">
        <v>462</v>
      </c>
      <c r="B881" s="1"/>
      <c r="C881" s="203">
        <v>205024</v>
      </c>
      <c r="D881" s="203">
        <f>ROUND(($D$896/$C$896)*C881,0)</f>
        <v>124257</v>
      </c>
      <c r="E881" s="221">
        <v>0.76</v>
      </c>
      <c r="F881" s="221"/>
      <c r="G881" s="2">
        <f>ROUND(E881*$C881,0)</f>
        <v>155818</v>
      </c>
      <c r="H881" s="2">
        <f>ROUND(E881*$D881,0)</f>
        <v>94435</v>
      </c>
      <c r="I881" s="221">
        <f>$I$770</f>
        <v>0.83</v>
      </c>
      <c r="J881" s="205"/>
      <c r="K881" s="2">
        <f>ROUND(I881*$D881,0)</f>
        <v>103133</v>
      </c>
    </row>
    <row r="882" spans="1:11">
      <c r="A882" s="193" t="s">
        <v>391</v>
      </c>
      <c r="B882" s="1"/>
      <c r="C882" s="203">
        <v>158638</v>
      </c>
      <c r="D882" s="203">
        <f>ROUND(($D$896/$C$896)*C882,0)</f>
        <v>96144</v>
      </c>
      <c r="E882" s="221">
        <v>5.52</v>
      </c>
      <c r="F882" s="221"/>
      <c r="G882" s="2">
        <f>ROUND(E882*$C882,0)</f>
        <v>875682</v>
      </c>
      <c r="H882" s="2">
        <f>ROUND(E882*$D882,0)</f>
        <v>530715</v>
      </c>
      <c r="I882" s="221">
        <f>$I$771</f>
        <v>6.03</v>
      </c>
      <c r="J882" s="205"/>
      <c r="K882" s="2">
        <f>ROUND(I882*$D882,0)</f>
        <v>579748</v>
      </c>
    </row>
    <row r="883" spans="1:11">
      <c r="A883" s="207" t="s">
        <v>414</v>
      </c>
      <c r="B883" s="1"/>
      <c r="C883" s="203"/>
      <c r="D883" s="203"/>
      <c r="E883" s="221" t="s">
        <v>31</v>
      </c>
      <c r="F883" s="221"/>
      <c r="G883" s="2"/>
      <c r="H883" s="2"/>
      <c r="I883" s="221" t="s">
        <v>31</v>
      </c>
      <c r="J883" s="205"/>
      <c r="K883" s="2"/>
    </row>
    <row r="884" spans="1:11">
      <c r="A884" s="207" t="s">
        <v>452</v>
      </c>
      <c r="B884" s="1"/>
      <c r="C884" s="203">
        <f>43689000</f>
        <v>43689000</v>
      </c>
      <c r="D884" s="203">
        <f>ROUND(($D$896/$C$896)*C884,0)</f>
        <v>26478236</v>
      </c>
      <c r="E884" s="279">
        <v>3.2050000000000001</v>
      </c>
      <c r="F884" s="205" t="s">
        <v>362</v>
      </c>
      <c r="G884" s="2">
        <f>ROUND(E884/100*$C884,0)</f>
        <v>1400232</v>
      </c>
      <c r="H884" s="2">
        <f>ROUND(E884/100*$D884,0)</f>
        <v>848627</v>
      </c>
      <c r="I884" s="279">
        <f>$I$773</f>
        <v>3.4990000000000001</v>
      </c>
      <c r="J884" s="205" t="s">
        <v>362</v>
      </c>
      <c r="K884" s="2">
        <f>ROUND(I884/100*$D884,0)</f>
        <v>926473</v>
      </c>
    </row>
    <row r="885" spans="1:11">
      <c r="A885" s="207" t="s">
        <v>388</v>
      </c>
      <c r="B885" s="1"/>
      <c r="C885" s="203">
        <v>22988</v>
      </c>
      <c r="D885" s="203">
        <f>ROUND(($D$896/$C$896)*C885,0)</f>
        <v>13932</v>
      </c>
      <c r="E885" s="221">
        <v>0.45</v>
      </c>
      <c r="F885" s="205"/>
      <c r="G885" s="2">
        <f>ROUND(E885*$C885,0)</f>
        <v>10345</v>
      </c>
      <c r="H885" s="2">
        <f>ROUND(E885*$D885,0)</f>
        <v>6269</v>
      </c>
      <c r="I885" s="221">
        <f>$I$774</f>
        <v>0.45</v>
      </c>
      <c r="J885" s="205"/>
      <c r="K885" s="2">
        <f>ROUND(I885*$D885,0)</f>
        <v>6269</v>
      </c>
    </row>
    <row r="886" spans="1:11">
      <c r="A886" s="244" t="s">
        <v>389</v>
      </c>
      <c r="B886" s="1"/>
      <c r="C886" s="203"/>
      <c r="D886" s="203"/>
      <c r="E886" s="216">
        <v>-0.01</v>
      </c>
      <c r="F886" s="216"/>
      <c r="G886" s="2"/>
      <c r="H886" s="2"/>
      <c r="I886" s="216">
        <f>$I$775</f>
        <v>-0.01</v>
      </c>
      <c r="J886" s="245"/>
      <c r="K886" s="2"/>
    </row>
    <row r="887" spans="1:11">
      <c r="A887" s="207" t="s">
        <v>459</v>
      </c>
      <c r="B887" s="1"/>
      <c r="C887" s="203">
        <v>0</v>
      </c>
      <c r="D887" s="203">
        <v>0</v>
      </c>
      <c r="E887" s="218">
        <f>E877</f>
        <v>1100</v>
      </c>
      <c r="F887" s="218"/>
      <c r="G887" s="205">
        <f>ROUND(E887*$C887*$E$803,0)</f>
        <v>0</v>
      </c>
      <c r="H887" s="205">
        <f>ROUND(E887*$D887*$E$803,0)</f>
        <v>0</v>
      </c>
      <c r="I887" s="218">
        <f>I877</f>
        <v>1205</v>
      </c>
      <c r="J887" s="205"/>
      <c r="K887" s="205">
        <f>ROUND(I887*$D887*$E$803,0)</f>
        <v>0</v>
      </c>
    </row>
    <row r="888" spans="1:11">
      <c r="A888" s="207" t="s">
        <v>460</v>
      </c>
      <c r="B888" s="1"/>
      <c r="C888" s="203">
        <v>12</v>
      </c>
      <c r="D888" s="203">
        <v>12</v>
      </c>
      <c r="E888" s="218">
        <f>E878</f>
        <v>1325</v>
      </c>
      <c r="F888" s="218"/>
      <c r="G888" s="205">
        <f>ROUND(E888*$C888*$E$803,0)</f>
        <v>-159</v>
      </c>
      <c r="H888" s="205">
        <f>ROUND(E888*$D888*$E$803,0)</f>
        <v>-159</v>
      </c>
      <c r="I888" s="218">
        <f>I878</f>
        <v>1450</v>
      </c>
      <c r="J888" s="205"/>
      <c r="K888" s="205">
        <f>ROUND(I888*$D888*$E$803,0)</f>
        <v>-174</v>
      </c>
    </row>
    <row r="889" spans="1:11">
      <c r="A889" s="207" t="s">
        <v>461</v>
      </c>
      <c r="B889" s="1"/>
      <c r="C889" s="203">
        <v>0</v>
      </c>
      <c r="D889" s="203">
        <v>0</v>
      </c>
      <c r="E889" s="218">
        <f>E880</f>
        <v>0.83</v>
      </c>
      <c r="F889" s="218"/>
      <c r="G889" s="205">
        <f>ROUND(E889*$C889*$E$803,0)</f>
        <v>0</v>
      </c>
      <c r="H889" s="205">
        <f>ROUND(E889*$D889*$E$803,0)</f>
        <v>0</v>
      </c>
      <c r="I889" s="218">
        <f>I880</f>
        <v>0.91</v>
      </c>
      <c r="J889" s="205"/>
      <c r="K889" s="205">
        <f>ROUND(I889*$D889*$E$803,0)</f>
        <v>0</v>
      </c>
    </row>
    <row r="890" spans="1:11">
      <c r="A890" s="207" t="s">
        <v>462</v>
      </c>
      <c r="B890" s="1"/>
      <c r="C890" s="203">
        <v>205024</v>
      </c>
      <c r="D890" s="203">
        <f>ROUND(($D$896/$C$896)*C890,0)</f>
        <v>124257</v>
      </c>
      <c r="E890" s="218">
        <f>E881</f>
        <v>0.76</v>
      </c>
      <c r="F890" s="218"/>
      <c r="G890" s="205">
        <f>ROUND(E890*$C890*$E$803,0)</f>
        <v>-1558</v>
      </c>
      <c r="H890" s="205">
        <f>ROUND(E890*$D890*$E$803,0)</f>
        <v>-944</v>
      </c>
      <c r="I890" s="218">
        <f>I881</f>
        <v>0.83</v>
      </c>
      <c r="J890" s="205"/>
      <c r="K890" s="205">
        <f>ROUND(I890*$D890*$E$803,0)</f>
        <v>-1031</v>
      </c>
    </row>
    <row r="891" spans="1:11">
      <c r="A891" s="193" t="s">
        <v>391</v>
      </c>
      <c r="B891" s="264"/>
      <c r="C891" s="203">
        <v>158638</v>
      </c>
      <c r="D891" s="203">
        <f>ROUND(($D$896/$C$896)*C891,0)</f>
        <v>96144</v>
      </c>
      <c r="E891" s="218">
        <f>E882</f>
        <v>5.52</v>
      </c>
      <c r="F891" s="221"/>
      <c r="G891" s="205">
        <f>ROUND(E891*$C891*$E$803,0)</f>
        <v>-8757</v>
      </c>
      <c r="H891" s="205">
        <f>ROUND(E891*$D891*$E$803,0)</f>
        <v>-5307</v>
      </c>
      <c r="I891" s="218">
        <f>I882</f>
        <v>6.03</v>
      </c>
      <c r="J891" s="205"/>
      <c r="K891" s="205">
        <f>ROUND(I891*$D891*$E$803,0)</f>
        <v>-5797</v>
      </c>
    </row>
    <row r="892" spans="1:11">
      <c r="A892" s="207" t="s">
        <v>452</v>
      </c>
      <c r="B892" s="1"/>
      <c r="C892" s="203">
        <f>C884</f>
        <v>43689000</v>
      </c>
      <c r="D892" s="203">
        <f>ROUND(($D$896/$C$896)*C892,0)</f>
        <v>26478236</v>
      </c>
      <c r="E892" s="219">
        <f>E884</f>
        <v>3.2050000000000001</v>
      </c>
      <c r="F892" s="205" t="s">
        <v>362</v>
      </c>
      <c r="G892" s="205">
        <f>ROUND(E892/100*$C892*$E$803,0)</f>
        <v>-14002</v>
      </c>
      <c r="H892" s="205">
        <f>ROUND(E892/100*$D892*$E$803,0)</f>
        <v>-8486</v>
      </c>
      <c r="I892" s="219">
        <f>I884</f>
        <v>3.4990000000000001</v>
      </c>
      <c r="J892" s="205" t="s">
        <v>362</v>
      </c>
      <c r="K892" s="205">
        <f>ROUND(I892/100*$D892*$E$803,0)</f>
        <v>-9265</v>
      </c>
    </row>
    <row r="893" spans="1:11">
      <c r="A893" s="207" t="s">
        <v>388</v>
      </c>
      <c r="B893" s="1"/>
      <c r="C893" s="203">
        <v>22988</v>
      </c>
      <c r="D893" s="203">
        <f>ROUND(($D$896/$C$896)*C893,0)</f>
        <v>13932</v>
      </c>
      <c r="E893" s="268">
        <f>E885</f>
        <v>0.45</v>
      </c>
      <c r="F893" s="205"/>
      <c r="G893" s="205">
        <f>ROUND(E893*$C893*$E$803,0)</f>
        <v>-103</v>
      </c>
      <c r="H893" s="205">
        <f>ROUND(E893*$D893*$E$803,0)</f>
        <v>-63</v>
      </c>
      <c r="I893" s="268">
        <f>I885</f>
        <v>0.45</v>
      </c>
      <c r="J893" s="205"/>
      <c r="K893" s="205">
        <f>ROUND(I893*$D893*$E$803,0)</f>
        <v>-63</v>
      </c>
    </row>
    <row r="894" spans="1:11">
      <c r="A894" s="193" t="s">
        <v>463</v>
      </c>
      <c r="B894" s="1"/>
      <c r="C894" s="203">
        <v>12</v>
      </c>
      <c r="D894" s="203">
        <v>12</v>
      </c>
      <c r="E894" s="221">
        <v>60</v>
      </c>
      <c r="F894" s="221"/>
      <c r="G894" s="205">
        <f>ROUND(E894*$C894,0)</f>
        <v>720</v>
      </c>
      <c r="H894" s="205">
        <f>ROUND(E894*$D894,0)</f>
        <v>720</v>
      </c>
      <c r="I894" s="221">
        <f>$I$783</f>
        <v>60</v>
      </c>
      <c r="J894" s="205"/>
      <c r="K894" s="205">
        <f>ROUND(I894*$D894,0)</f>
        <v>720</v>
      </c>
    </row>
    <row r="895" spans="1:11">
      <c r="A895" s="193" t="s">
        <v>432</v>
      </c>
      <c r="B895" s="1"/>
      <c r="C895" s="203">
        <v>205024</v>
      </c>
      <c r="D895" s="203">
        <f>ROUND(($D$896/$C$896)*C895,0)</f>
        <v>124257</v>
      </c>
      <c r="E895" s="221">
        <v>-0.3</v>
      </c>
      <c r="F895" s="205"/>
      <c r="G895" s="205">
        <f>ROUND(E895*$C895,0)</f>
        <v>-61507</v>
      </c>
      <c r="H895" s="205">
        <f>ROUND(E895*$D895,0)</f>
        <v>-37277</v>
      </c>
      <c r="I895" s="221">
        <f>$I$784</f>
        <v>-0.75</v>
      </c>
      <c r="J895" s="205"/>
      <c r="K895" s="205">
        <f>ROUND(I895*$D895,0)</f>
        <v>-93193</v>
      </c>
    </row>
    <row r="896" spans="1:11">
      <c r="A896" s="1" t="s">
        <v>369</v>
      </c>
      <c r="B896" s="1"/>
      <c r="C896" s="203">
        <f>C884</f>
        <v>43689000</v>
      </c>
      <c r="D896" s="203">
        <v>26478236.454041336</v>
      </c>
      <c r="E896" s="214"/>
      <c r="F896" s="2"/>
      <c r="G896" s="2">
        <f>SUM(G877:G895)</f>
        <v>2372611</v>
      </c>
      <c r="H896" s="2">
        <f>SUM(H877:H895)</f>
        <v>1444430</v>
      </c>
      <c r="I896" s="214"/>
      <c r="J896" s="1"/>
      <c r="K896" s="2">
        <f>SUM(K877:K895)</f>
        <v>1524220</v>
      </c>
    </row>
    <row r="897" spans="1:24">
      <c r="A897" s="1" t="s">
        <v>351</v>
      </c>
      <c r="B897" s="1"/>
      <c r="C897" s="203">
        <v>-984756.22694993159</v>
      </c>
      <c r="D897" s="203">
        <v>0</v>
      </c>
      <c r="E897" s="193"/>
      <c r="F897" s="193"/>
      <c r="G897" s="225">
        <v>-45079.171949096344</v>
      </c>
      <c r="H897" s="225">
        <v>0</v>
      </c>
      <c r="I897" s="193"/>
      <c r="J897" s="193"/>
      <c r="K897" s="225">
        <v>0</v>
      </c>
      <c r="M897" s="173"/>
      <c r="N897" s="173"/>
      <c r="O897" s="174"/>
    </row>
    <row r="898" spans="1:24" ht="16.5" thickBot="1">
      <c r="A898" s="1" t="s">
        <v>370</v>
      </c>
      <c r="B898" s="1"/>
      <c r="C898" s="277">
        <f>SUM(C896)+C897</f>
        <v>42704243.77305007</v>
      </c>
      <c r="D898" s="277">
        <f>SUM(D884)+D897</f>
        <v>26478236</v>
      </c>
      <c r="E898" s="226"/>
      <c r="F898" s="227"/>
      <c r="G898" s="228">
        <f>G896+G897</f>
        <v>2327531.8280509035</v>
      </c>
      <c r="H898" s="228">
        <f>H896+H897</f>
        <v>1444430</v>
      </c>
      <c r="I898" s="226"/>
      <c r="J898" s="229"/>
      <c r="K898" s="228">
        <f>K896+K897</f>
        <v>1524220</v>
      </c>
      <c r="M898" s="175"/>
      <c r="N898" s="175"/>
      <c r="O898" s="176"/>
    </row>
    <row r="899" spans="1:24" ht="16.5" thickTop="1">
      <c r="A899" s="1"/>
      <c r="B899" s="1"/>
      <c r="C899" s="21"/>
      <c r="D899" s="21"/>
      <c r="E899" s="221"/>
      <c r="F899" s="2"/>
      <c r="G899" s="2"/>
      <c r="H899" s="2"/>
      <c r="I899" s="237" t="s">
        <v>31</v>
      </c>
      <c r="J899" s="1"/>
      <c r="K899" s="2" t="s">
        <v>31</v>
      </c>
    </row>
    <row r="900" spans="1:24">
      <c r="A900" s="177" t="s">
        <v>470</v>
      </c>
      <c r="B900" s="1"/>
      <c r="C900" s="1"/>
      <c r="D900" s="1"/>
      <c r="E900" s="1"/>
      <c r="F900" s="1"/>
      <c r="G900" s="2"/>
      <c r="H900" s="2"/>
      <c r="I900" s="1"/>
      <c r="J900" s="1"/>
      <c r="K900" s="1"/>
    </row>
    <row r="901" spans="1:24">
      <c r="A901" s="1" t="s">
        <v>471</v>
      </c>
      <c r="B901" s="1"/>
      <c r="C901" s="1"/>
      <c r="D901" s="1"/>
      <c r="E901" s="1"/>
      <c r="F901" s="1"/>
      <c r="G901" s="2"/>
      <c r="H901" s="2"/>
      <c r="I901" s="1"/>
      <c r="J901" s="1"/>
      <c r="K901" s="1"/>
      <c r="M901" s="161"/>
      <c r="N901" s="161"/>
      <c r="O901" s="161"/>
      <c r="P901" s="161"/>
      <c r="Q901" s="161"/>
      <c r="R901" s="161"/>
      <c r="S901" s="161"/>
      <c r="T901" s="161"/>
      <c r="U901" s="161"/>
      <c r="V901" s="161"/>
      <c r="W901" s="161"/>
      <c r="X901" s="161"/>
    </row>
    <row r="902" spans="1:24">
      <c r="A902" s="1"/>
      <c r="B902" s="1"/>
      <c r="C902" s="1"/>
      <c r="D902" s="1"/>
      <c r="E902" s="1"/>
      <c r="F902" s="1"/>
      <c r="G902" s="2"/>
      <c r="H902" s="2"/>
      <c r="I902" s="1"/>
      <c r="J902" s="1"/>
      <c r="K902" s="1"/>
      <c r="M902" s="161"/>
      <c r="N902" s="161"/>
      <c r="O902" s="161"/>
      <c r="P902" s="161"/>
      <c r="Q902" s="161"/>
      <c r="R902" s="161"/>
      <c r="S902" s="161"/>
      <c r="T902" s="161"/>
      <c r="U902" s="161"/>
      <c r="V902" s="161"/>
      <c r="W902" s="161"/>
      <c r="X902" s="161"/>
    </row>
    <row r="903" spans="1:24">
      <c r="A903" s="1" t="s">
        <v>472</v>
      </c>
      <c r="B903" s="1"/>
      <c r="C903" s="1"/>
      <c r="D903" s="1"/>
      <c r="E903" s="1"/>
      <c r="F903" s="1"/>
      <c r="G903" s="2"/>
      <c r="H903" s="2"/>
      <c r="I903" s="1"/>
      <c r="J903" s="1"/>
      <c r="K903" s="1"/>
      <c r="M903" s="161"/>
      <c r="N903" s="161"/>
      <c r="O903" s="161"/>
      <c r="Q903" s="281"/>
      <c r="R903" s="164"/>
      <c r="S903" s="165"/>
      <c r="T903" s="166"/>
      <c r="U903" s="162"/>
      <c r="V903" s="162"/>
      <c r="W903" s="162"/>
      <c r="X903" s="162"/>
    </row>
    <row r="904" spans="1:24">
      <c r="A904" s="3" t="s">
        <v>346</v>
      </c>
      <c r="C904" s="148">
        <f>15247</f>
        <v>15247</v>
      </c>
      <c r="D904" s="148">
        <f>ROUND(($D$909/$C$909)*C904,0)</f>
        <v>15700</v>
      </c>
      <c r="E904" s="149">
        <v>7.61</v>
      </c>
      <c r="G904" s="2">
        <f>ROUND(E904*$C904,0)</f>
        <v>116030</v>
      </c>
      <c r="H904" s="2">
        <f>ROUND(E904*$D904,0)</f>
        <v>119477</v>
      </c>
      <c r="I904" s="149">
        <v>7.61</v>
      </c>
      <c r="K904" s="2">
        <f>ROUND(I904*$D904,0)</f>
        <v>119477</v>
      </c>
      <c r="M904" s="81">
        <f>I904*D904</f>
        <v>119477</v>
      </c>
      <c r="O904" s="282">
        <v>31</v>
      </c>
      <c r="P904" s="283">
        <f>O904*D904</f>
        <v>486700</v>
      </c>
      <c r="Q904" s="284" t="e">
        <f>$P$910*O904</f>
        <v>#REF!</v>
      </c>
      <c r="R904" s="285" t="e">
        <f>ROUND(E904+Q904,2)</f>
        <v>#REF!</v>
      </c>
      <c r="S904" s="168"/>
      <c r="T904" s="162"/>
      <c r="U904" s="165"/>
      <c r="V904" s="165"/>
      <c r="W904" s="169"/>
      <c r="X904" s="165"/>
    </row>
    <row r="905" spans="1:24">
      <c r="A905" s="3" t="s">
        <v>473</v>
      </c>
      <c r="C905" s="148">
        <f>14583</f>
        <v>14583</v>
      </c>
      <c r="D905" s="148">
        <f>ROUND(($D$909/$C$909)*C905,0)</f>
        <v>15016</v>
      </c>
      <c r="E905" s="149">
        <v>9.1300000000000008</v>
      </c>
      <c r="G905" s="2">
        <f>ROUND(E905*$C905,0)</f>
        <v>133143</v>
      </c>
      <c r="H905" s="2">
        <f>ROUND(E905*$D905,0)</f>
        <v>137096</v>
      </c>
      <c r="I905" s="149">
        <v>9.1300000000000008</v>
      </c>
      <c r="K905" s="2">
        <f>ROUND(I905*$D905,0)</f>
        <v>137096</v>
      </c>
      <c r="M905" s="81">
        <f>I905*D905</f>
        <v>137096.08000000002</v>
      </c>
      <c r="O905" s="286">
        <v>44</v>
      </c>
      <c r="P905" s="71">
        <f>O905*D905</f>
        <v>660704</v>
      </c>
      <c r="Q905" s="287" t="e">
        <f>$P$910*O905</f>
        <v>#REF!</v>
      </c>
      <c r="R905" s="288" t="e">
        <f>ROUND(E905+Q905,2)</f>
        <v>#REF!</v>
      </c>
      <c r="S905" s="162"/>
      <c r="T905" s="162"/>
      <c r="U905" s="165"/>
      <c r="V905" s="165"/>
      <c r="W905" s="169"/>
      <c r="X905" s="165"/>
    </row>
    <row r="906" spans="1:24">
      <c r="A906" s="3" t="s">
        <v>347</v>
      </c>
      <c r="C906" s="148">
        <f>17554</f>
        <v>17554</v>
      </c>
      <c r="D906" s="148">
        <f>ROUND(($D$909/$C$909)*C906,0)</f>
        <v>18075</v>
      </c>
      <c r="E906" s="149">
        <v>13.33</v>
      </c>
      <c r="G906" s="2">
        <f>ROUND(E906*$C906,0)</f>
        <v>233995</v>
      </c>
      <c r="H906" s="2">
        <f>ROUND(E906*$D906,0)</f>
        <v>240940</v>
      </c>
      <c r="I906" s="149">
        <v>13.33</v>
      </c>
      <c r="K906" s="2">
        <f>ROUND(I906*$D906,0)</f>
        <v>240940</v>
      </c>
      <c r="M906" s="81">
        <f>I906*D906</f>
        <v>240939.75</v>
      </c>
      <c r="O906" s="286">
        <v>85</v>
      </c>
      <c r="P906" s="71">
        <f>O906*D906</f>
        <v>1536375</v>
      </c>
      <c r="Q906" s="287" t="e">
        <f>$P$910*O906</f>
        <v>#REF!</v>
      </c>
      <c r="R906" s="288" t="e">
        <f>ROUND(E906+Q906,2)</f>
        <v>#REF!</v>
      </c>
      <c r="S906" s="162"/>
      <c r="T906" s="162"/>
      <c r="U906" s="165"/>
      <c r="V906" s="165"/>
      <c r="W906" s="169"/>
      <c r="X906" s="165"/>
    </row>
    <row r="907" spans="1:24">
      <c r="A907" s="3" t="s">
        <v>348</v>
      </c>
      <c r="C907" s="148">
        <f>1478</f>
        <v>1478</v>
      </c>
      <c r="D907" s="148">
        <f>ROUND(($D$909/$C$909)*C907,0)</f>
        <v>1522</v>
      </c>
      <c r="E907" s="149">
        <v>22.32</v>
      </c>
      <c r="G907" s="2">
        <f>ROUND(E907*$C907,0)</f>
        <v>32989</v>
      </c>
      <c r="H907" s="2">
        <f>ROUND(E907*$D907,0)</f>
        <v>33971</v>
      </c>
      <c r="I907" s="149">
        <v>22.32</v>
      </c>
      <c r="K907" s="2">
        <f>ROUND(I907*$D907,0)</f>
        <v>33971</v>
      </c>
      <c r="M907" s="81">
        <f>I907*D907</f>
        <v>33971.040000000001</v>
      </c>
      <c r="O907" s="286">
        <v>176</v>
      </c>
      <c r="P907" s="71">
        <f>O907*D907</f>
        <v>267872</v>
      </c>
      <c r="Q907" s="287" t="e">
        <f>$P$910*O907</f>
        <v>#REF!</v>
      </c>
      <c r="R907" s="288" t="e">
        <f>ROUND(E907+Q907,2)</f>
        <v>#REF!</v>
      </c>
      <c r="S907" s="162"/>
      <c r="T907" s="162"/>
      <c r="U907" s="165"/>
      <c r="V907" s="165"/>
      <c r="W907" s="169"/>
      <c r="X907" s="165"/>
    </row>
    <row r="908" spans="1:24">
      <c r="A908" s="3" t="s">
        <v>350</v>
      </c>
      <c r="C908" s="148">
        <f>178*12</f>
        <v>2136</v>
      </c>
      <c r="D908" s="148">
        <v>1874</v>
      </c>
      <c r="E908" s="149"/>
      <c r="G908" s="2"/>
      <c r="H908" s="2"/>
      <c r="I908" s="149"/>
      <c r="K908" s="2"/>
      <c r="O908" s="286"/>
      <c r="P908" s="71">
        <f>SUM(P904:P907)</f>
        <v>2951651</v>
      </c>
      <c r="Q908" s="287"/>
      <c r="R908" s="288"/>
      <c r="S908" s="162"/>
      <c r="T908" s="162"/>
      <c r="U908" s="165"/>
      <c r="V908" s="165"/>
      <c r="W908" s="165"/>
      <c r="X908" s="165"/>
    </row>
    <row r="909" spans="1:24">
      <c r="A909" s="3" t="s">
        <v>369</v>
      </c>
      <c r="C909" s="148">
        <v>2866398.1098855259</v>
      </c>
      <c r="D909" s="148">
        <v>2951534.6465794938</v>
      </c>
      <c r="E909" s="153"/>
      <c r="F909" s="20"/>
      <c r="G909" s="156">
        <f>SUM(G904:G907)</f>
        <v>516157</v>
      </c>
      <c r="H909" s="156">
        <f>SUM(H904:H907)</f>
        <v>531484</v>
      </c>
      <c r="I909" s="153"/>
      <c r="J909" s="20"/>
      <c r="K909" s="156">
        <f>SUM(K904:K907)</f>
        <v>531484</v>
      </c>
      <c r="M909" s="81">
        <f>SUM(M904:M908)</f>
        <v>531483.87</v>
      </c>
      <c r="O909" s="286"/>
      <c r="P909" s="289" t="e">
        <f>O911-H911</f>
        <v>#REF!</v>
      </c>
      <c r="Q909" s="20"/>
      <c r="R909" s="290"/>
      <c r="S909" s="162"/>
      <c r="T909" s="162"/>
      <c r="U909" s="172"/>
      <c r="V909" s="162"/>
      <c r="W909" s="162"/>
      <c r="X909" s="162"/>
    </row>
    <row r="910" spans="1:24">
      <c r="A910" s="3" t="s">
        <v>351</v>
      </c>
      <c r="C910" s="148">
        <v>35840.593415054755</v>
      </c>
      <c r="D910" s="148">
        <v>0</v>
      </c>
      <c r="E910" s="153"/>
      <c r="F910" s="20"/>
      <c r="G910" s="156">
        <v>6155.2420195719942</v>
      </c>
      <c r="H910" s="156">
        <v>0</v>
      </c>
      <c r="I910" s="153"/>
      <c r="J910" s="20"/>
      <c r="K910" s="156">
        <v>0</v>
      </c>
      <c r="M910" s="173"/>
      <c r="N910" s="173"/>
      <c r="O910" s="291"/>
      <c r="P910" s="292" t="e">
        <f>P909/P908</f>
        <v>#REF!</v>
      </c>
      <c r="Q910" s="109"/>
      <c r="R910" s="293"/>
      <c r="S910" s="165"/>
      <c r="T910" s="162"/>
      <c r="U910" s="20"/>
      <c r="V910" s="20"/>
      <c r="W910" s="20"/>
      <c r="X910" s="20"/>
    </row>
    <row r="911" spans="1:24" ht="16.5" thickBot="1">
      <c r="A911" s="3" t="s">
        <v>9</v>
      </c>
      <c r="C911" s="157">
        <f>C909+C910</f>
        <v>2902238.7033005808</v>
      </c>
      <c r="D911" s="157">
        <f>D909+D910</f>
        <v>2951534.6465794938</v>
      </c>
      <c r="E911" s="158"/>
      <c r="F911" s="158"/>
      <c r="G911" s="158">
        <f>G909+G910</f>
        <v>522312.242019572</v>
      </c>
      <c r="H911" s="158">
        <f>H909+H910</f>
        <v>531484</v>
      </c>
      <c r="I911" s="158"/>
      <c r="J911" s="158"/>
      <c r="K911" s="158">
        <f>K909+K910</f>
        <v>531484</v>
      </c>
      <c r="M911" s="175"/>
      <c r="N911" s="161" t="s">
        <v>397</v>
      </c>
      <c r="O911" s="294" t="e">
        <f>#REF!*1000</f>
        <v>#REF!</v>
      </c>
      <c r="P911" s="161"/>
      <c r="S911" s="162"/>
      <c r="T911" s="162"/>
      <c r="U911" s="20"/>
      <c r="V911" s="20"/>
      <c r="W911" s="20"/>
      <c r="X911" s="20"/>
    </row>
    <row r="912" spans="1:24" ht="16.5" thickTop="1">
      <c r="A912" s="1"/>
      <c r="B912" s="1"/>
      <c r="C912" s="21"/>
      <c r="D912" s="21"/>
      <c r="E912" s="21"/>
      <c r="F912" s="21"/>
      <c r="G912" s="2"/>
      <c r="H912" s="2"/>
      <c r="I912" s="21" t="s">
        <v>31</v>
      </c>
      <c r="J912" s="21"/>
      <c r="K912" s="2" t="s">
        <v>31</v>
      </c>
      <c r="M912" s="161"/>
      <c r="N912" s="161" t="s">
        <v>256</v>
      </c>
      <c r="O912" s="295" t="e">
        <f>O911-K911</f>
        <v>#REF!</v>
      </c>
      <c r="P912" s="14" t="e">
        <f>(O911-K911)/K911</f>
        <v>#REF!</v>
      </c>
      <c r="Q912" s="161"/>
      <c r="R912" s="161"/>
      <c r="S912" s="161"/>
      <c r="T912" s="161"/>
    </row>
    <row r="913" spans="1:24">
      <c r="A913" s="177" t="s">
        <v>474</v>
      </c>
      <c r="B913" s="1"/>
      <c r="C913" s="1"/>
      <c r="D913" s="1"/>
      <c r="E913" s="1"/>
      <c r="F913" s="1"/>
      <c r="G913" s="1"/>
      <c r="H913" s="1"/>
      <c r="I913" s="1"/>
      <c r="J913" s="1"/>
      <c r="K913" s="1"/>
      <c r="M913" s="161"/>
      <c r="N913" s="161"/>
      <c r="O913" s="174"/>
      <c r="P913" s="161"/>
      <c r="T913" s="161"/>
      <c r="U913" s="161"/>
      <c r="V913" s="161"/>
      <c r="W913" s="161"/>
      <c r="X913" s="161"/>
    </row>
    <row r="914" spans="1:24">
      <c r="A914" s="1" t="s">
        <v>475</v>
      </c>
      <c r="B914" s="1"/>
      <c r="C914" s="1"/>
      <c r="D914" s="1"/>
      <c r="E914" s="1"/>
      <c r="F914" s="1"/>
      <c r="G914" s="1"/>
      <c r="H914" s="1"/>
      <c r="I914" s="1"/>
      <c r="J914" s="1"/>
      <c r="K914" s="1"/>
      <c r="T914" s="161"/>
      <c r="U914" s="161"/>
      <c r="V914" s="161"/>
      <c r="W914" s="161"/>
      <c r="X914" s="161"/>
    </row>
    <row r="915" spans="1:24">
      <c r="A915" s="1"/>
      <c r="B915" s="1"/>
      <c r="C915" s="1"/>
      <c r="D915" s="1"/>
      <c r="E915" s="1"/>
      <c r="F915" s="1"/>
      <c r="G915" s="1"/>
      <c r="H915" s="1"/>
      <c r="I915" s="1"/>
      <c r="J915" s="1"/>
      <c r="K915" s="1"/>
      <c r="T915" s="161"/>
      <c r="U915" s="161"/>
      <c r="V915" s="161"/>
      <c r="W915" s="161"/>
      <c r="X915" s="161"/>
    </row>
    <row r="916" spans="1:24">
      <c r="A916" s="1" t="s">
        <v>476</v>
      </c>
      <c r="B916" s="1"/>
      <c r="C916" s="21"/>
      <c r="D916" s="21"/>
      <c r="E916" s="182"/>
      <c r="F916" s="1"/>
      <c r="G916" s="296">
        <v>30454.32</v>
      </c>
      <c r="H916" s="296">
        <v>30454.32</v>
      </c>
      <c r="I916" s="182"/>
      <c r="J916" s="1"/>
      <c r="K916" s="2">
        <f>G916</f>
        <v>30454.32</v>
      </c>
      <c r="M916" s="81">
        <f>K916</f>
        <v>30454.32</v>
      </c>
      <c r="N916" s="20"/>
      <c r="O916" s="71"/>
      <c r="P916" s="71"/>
      <c r="Q916" s="20"/>
      <c r="R916" s="20"/>
      <c r="S916" s="20"/>
      <c r="T916" s="20"/>
      <c r="U916" s="20"/>
      <c r="V916" s="20"/>
      <c r="W916" s="20"/>
      <c r="X916" s="20"/>
    </row>
    <row r="917" spans="1:24">
      <c r="A917" s="1" t="s">
        <v>477</v>
      </c>
      <c r="B917" s="1"/>
      <c r="C917" s="148">
        <f>460481</f>
        <v>460481</v>
      </c>
      <c r="D917" s="203">
        <f>ROUND(($D$920/$C$920)*C917,0)</f>
        <v>453966</v>
      </c>
      <c r="E917" s="297">
        <v>6.4050000000000002</v>
      </c>
      <c r="F917" s="1" t="s">
        <v>362</v>
      </c>
      <c r="G917" s="298">
        <f>ROUND(C917*E917/100,0)</f>
        <v>29494</v>
      </c>
      <c r="H917" s="298">
        <f>ROUND(D917*E917/100,0)</f>
        <v>29077</v>
      </c>
      <c r="I917" s="297">
        <v>6.4050000000000002</v>
      </c>
      <c r="J917" s="1" t="s">
        <v>362</v>
      </c>
      <c r="K917" s="2">
        <f>ROUND(I917*D917/100,0)</f>
        <v>29077</v>
      </c>
      <c r="M917" s="81">
        <f>(I917/100)*D917</f>
        <v>29076.522299999997</v>
      </c>
      <c r="N917" s="20"/>
      <c r="O917" s="71"/>
      <c r="P917" s="71"/>
      <c r="Q917" s="20"/>
      <c r="R917" s="20"/>
      <c r="S917" s="20"/>
      <c r="T917" s="20"/>
      <c r="U917" s="20"/>
      <c r="V917" s="20"/>
      <c r="W917" s="20"/>
      <c r="X917" s="20"/>
    </row>
    <row r="918" spans="1:24">
      <c r="A918" s="1" t="s">
        <v>478</v>
      </c>
      <c r="B918" s="1"/>
      <c r="C918" s="148">
        <v>0</v>
      </c>
      <c r="D918" s="203">
        <f>ROUND(($D$920/$C$920)*C918,0)</f>
        <v>0</v>
      </c>
      <c r="E918" s="297">
        <v>7.1669999999999998</v>
      </c>
      <c r="F918" s="1" t="s">
        <v>362</v>
      </c>
      <c r="G918" s="298">
        <f>ROUND(C918*E918/100,0)</f>
        <v>0</v>
      </c>
      <c r="H918" s="298">
        <f>ROUND(D918*E918/100,0)</f>
        <v>0</v>
      </c>
      <c r="I918" s="297">
        <v>7.1669999999999998</v>
      </c>
      <c r="J918" s="1" t="s">
        <v>362</v>
      </c>
      <c r="K918" s="2">
        <f>ROUND(I918*D918/100,0)</f>
        <v>0</v>
      </c>
      <c r="M918" s="81">
        <f>(I918/100)*D918</f>
        <v>0</v>
      </c>
      <c r="N918" s="20"/>
      <c r="O918" s="71"/>
      <c r="P918" s="20"/>
      <c r="Q918" s="20"/>
      <c r="R918" s="20"/>
      <c r="S918" s="20"/>
      <c r="T918" s="20"/>
      <c r="U918" s="20"/>
      <c r="V918" s="20"/>
      <c r="W918" s="20"/>
      <c r="X918" s="20"/>
    </row>
    <row r="919" spans="1:24">
      <c r="A919" s="1" t="s">
        <v>350</v>
      </c>
      <c r="B919" s="1"/>
      <c r="C919" s="148">
        <f>30*12</f>
        <v>360</v>
      </c>
      <c r="D919" s="203">
        <v>241</v>
      </c>
      <c r="E919" s="299"/>
      <c r="F919" s="1"/>
      <c r="G919" s="2"/>
      <c r="H919" s="2"/>
      <c r="I919" s="299"/>
      <c r="J919" s="1"/>
      <c r="K919" s="2"/>
      <c r="M919" s="20"/>
      <c r="N919" s="20"/>
      <c r="O919" s="71"/>
      <c r="P919" s="71"/>
      <c r="Q919" s="20"/>
      <c r="R919" s="20"/>
      <c r="S919" s="20"/>
      <c r="T919" s="20"/>
      <c r="U919" s="20"/>
      <c r="V919" s="20"/>
      <c r="W919" s="20"/>
      <c r="X919" s="20"/>
    </row>
    <row r="920" spans="1:24">
      <c r="A920" s="3" t="s">
        <v>479</v>
      </c>
      <c r="C920" s="148">
        <f>SUM(C917:C918)</f>
        <v>460481</v>
      </c>
      <c r="D920" s="148">
        <v>453965.95876460936</v>
      </c>
      <c r="E920" s="153"/>
      <c r="F920" s="20"/>
      <c r="G920" s="156">
        <f>SUM(G916:G918)</f>
        <v>59948.32</v>
      </c>
      <c r="H920" s="156">
        <f>SUM(H916:H918)</f>
        <v>59531.32</v>
      </c>
      <c r="I920" s="153"/>
      <c r="J920" s="20"/>
      <c r="K920" s="156">
        <f>SUM(K916:K918)</f>
        <v>59531.32</v>
      </c>
      <c r="M920" s="300">
        <f>SUM(M916:M919)</f>
        <v>59530.842299999997</v>
      </c>
      <c r="N920" s="20"/>
      <c r="O920" s="71"/>
      <c r="P920" s="71"/>
      <c r="Q920" s="20"/>
      <c r="R920" s="20"/>
      <c r="S920" s="20"/>
      <c r="T920" s="20"/>
      <c r="U920" s="20"/>
      <c r="V920" s="20"/>
      <c r="W920" s="20"/>
      <c r="X920" s="20"/>
    </row>
    <row r="921" spans="1:24">
      <c r="A921" s="3" t="s">
        <v>480</v>
      </c>
      <c r="C921" s="148">
        <v>5757.7672357238089</v>
      </c>
      <c r="D921" s="148">
        <v>0</v>
      </c>
      <c r="E921" s="153"/>
      <c r="F921" s="20"/>
      <c r="G921" s="156">
        <v>721.95019570943907</v>
      </c>
      <c r="H921" s="156">
        <v>0</v>
      </c>
      <c r="I921" s="153"/>
      <c r="J921" s="20"/>
      <c r="K921" s="156">
        <v>0</v>
      </c>
      <c r="M921" s="173"/>
      <c r="N921" s="173"/>
      <c r="O921" s="174"/>
      <c r="P921" s="71"/>
      <c r="S921" s="20"/>
      <c r="T921" s="20"/>
      <c r="U921" s="20"/>
      <c r="V921" s="20"/>
      <c r="W921" s="20"/>
      <c r="X921" s="20"/>
    </row>
    <row r="922" spans="1:24" ht="16.5" thickBot="1">
      <c r="A922" s="1" t="s">
        <v>9</v>
      </c>
      <c r="B922" s="1"/>
      <c r="C922" s="277">
        <f>C920+C921</f>
        <v>466238.76723572379</v>
      </c>
      <c r="D922" s="277">
        <f>D920+D921</f>
        <v>453965.95876460936</v>
      </c>
      <c r="E922" s="301"/>
      <c r="F922" s="302"/>
      <c r="G922" s="158">
        <f>G920+G921</f>
        <v>60670.27019570944</v>
      </c>
      <c r="H922" s="158">
        <f>H920+H921</f>
        <v>59531.32</v>
      </c>
      <c r="I922" s="301"/>
      <c r="J922" s="302"/>
      <c r="K922" s="158">
        <f>K920+K921</f>
        <v>59531.32</v>
      </c>
      <c r="M922" s="175"/>
      <c r="N922" s="161" t="s">
        <v>397</v>
      </c>
      <c r="O922" s="300" t="e">
        <f>#REF!*1000</f>
        <v>#REF!</v>
      </c>
      <c r="P922" s="71"/>
      <c r="S922" s="20"/>
      <c r="T922" s="20"/>
      <c r="U922" s="20"/>
      <c r="V922" s="20"/>
      <c r="W922" s="20"/>
      <c r="X922" s="20"/>
    </row>
    <row r="923" spans="1:24" ht="16.5" thickTop="1">
      <c r="A923" s="1"/>
      <c r="B923" s="1"/>
      <c r="C923" s="1"/>
      <c r="D923" s="1"/>
      <c r="E923" s="303"/>
      <c r="F923" s="1"/>
      <c r="G923" s="1"/>
      <c r="H923" s="1"/>
      <c r="I923" s="303" t="s">
        <v>31</v>
      </c>
      <c r="J923" s="1"/>
      <c r="K923" s="2" t="s">
        <v>31</v>
      </c>
      <c r="M923" s="20"/>
      <c r="N923" s="161" t="s">
        <v>256</v>
      </c>
      <c r="O923" s="300" t="e">
        <f>O922-K922</f>
        <v>#REF!</v>
      </c>
      <c r="P923" s="14" t="e">
        <f>(O922-K922)/K922</f>
        <v>#REF!</v>
      </c>
      <c r="Q923" s="20"/>
      <c r="R923" s="20"/>
      <c r="S923" s="20"/>
      <c r="T923" s="20"/>
      <c r="U923" s="20"/>
      <c r="V923" s="20"/>
      <c r="W923" s="20"/>
      <c r="X923" s="20"/>
    </row>
    <row r="924" spans="1:24">
      <c r="A924" s="177" t="s">
        <v>481</v>
      </c>
      <c r="B924" s="1"/>
      <c r="C924" s="1"/>
      <c r="D924" s="1"/>
      <c r="E924" s="1"/>
      <c r="F924" s="1"/>
      <c r="G924" s="1"/>
      <c r="H924" s="1"/>
      <c r="I924" s="1"/>
      <c r="J924" s="1"/>
      <c r="K924" s="1"/>
      <c r="M924" s="20"/>
      <c r="N924" s="20"/>
      <c r="O924" s="71"/>
      <c r="P924" s="304"/>
      <c r="Q924" s="20"/>
      <c r="R924" s="20"/>
      <c r="S924" s="20"/>
      <c r="T924" s="20"/>
      <c r="U924" s="20"/>
      <c r="V924" s="20"/>
      <c r="W924" s="20"/>
      <c r="X924" s="20"/>
    </row>
    <row r="925" spans="1:24">
      <c r="A925" s="1" t="s">
        <v>482</v>
      </c>
      <c r="B925" s="1"/>
      <c r="C925" s="1"/>
      <c r="D925" s="1"/>
      <c r="E925" s="1"/>
      <c r="F925" s="1"/>
      <c r="G925" s="1"/>
      <c r="H925" s="1"/>
      <c r="I925" s="1"/>
      <c r="J925" s="1"/>
      <c r="K925" s="1"/>
      <c r="M925" s="20"/>
      <c r="N925" s="20"/>
      <c r="O925" s="71"/>
      <c r="P925" s="71"/>
      <c r="Q925" s="20"/>
      <c r="R925" s="20"/>
      <c r="S925" s="20"/>
      <c r="T925" s="20"/>
      <c r="U925" s="20"/>
      <c r="V925" s="20"/>
      <c r="W925" s="20"/>
      <c r="X925" s="20"/>
    </row>
    <row r="926" spans="1:24">
      <c r="A926" s="1"/>
      <c r="B926" s="1"/>
      <c r="C926" s="1"/>
      <c r="D926" s="1"/>
      <c r="E926" s="303"/>
      <c r="F926" s="1"/>
      <c r="G926" s="1"/>
      <c r="H926" s="1"/>
      <c r="I926" s="303"/>
      <c r="J926" s="1"/>
      <c r="K926" s="1"/>
      <c r="M926" s="20"/>
      <c r="N926" s="20"/>
      <c r="O926" s="71"/>
      <c r="P926" s="71"/>
      <c r="Q926" s="20"/>
      <c r="R926" s="20"/>
      <c r="S926" s="20"/>
      <c r="T926" s="20"/>
      <c r="U926" s="20"/>
      <c r="V926" s="20"/>
      <c r="W926" s="20"/>
      <c r="X926" s="20"/>
    </row>
    <row r="927" spans="1:24">
      <c r="A927" s="1" t="s">
        <v>476</v>
      </c>
      <c r="B927" s="1"/>
      <c r="C927" s="21"/>
      <c r="D927" s="21"/>
      <c r="E927" s="182"/>
      <c r="F927" s="1"/>
      <c r="G927" s="296">
        <f t="shared" ref="G927:H929" si="72">G938+G949</f>
        <v>2349.2199999999998</v>
      </c>
      <c r="H927" s="296">
        <f t="shared" si="72"/>
        <v>2349.2199999999998</v>
      </c>
      <c r="I927" s="182"/>
      <c r="J927" s="1"/>
      <c r="K927" s="2">
        <f>G927</f>
        <v>2349.2199999999998</v>
      </c>
      <c r="M927" s="300">
        <f>K927</f>
        <v>2349.2199999999998</v>
      </c>
      <c r="N927" s="20"/>
      <c r="O927" s="71"/>
      <c r="P927" s="71"/>
      <c r="Q927" s="20"/>
      <c r="R927" s="20"/>
      <c r="S927" s="20"/>
      <c r="T927" s="20"/>
      <c r="U927" s="20"/>
      <c r="V927" s="20"/>
      <c r="W927" s="20"/>
      <c r="X927" s="20"/>
    </row>
    <row r="928" spans="1:24">
      <c r="A928" s="1" t="s">
        <v>483</v>
      </c>
      <c r="B928" s="1"/>
      <c r="C928" s="148">
        <f t="shared" ref="C928:D932" si="73">C939+C950</f>
        <v>127219</v>
      </c>
      <c r="D928" s="148">
        <f t="shared" si="73"/>
        <v>128106</v>
      </c>
      <c r="E928" s="297">
        <v>6.1459999999999999</v>
      </c>
      <c r="F928" s="1" t="s">
        <v>362</v>
      </c>
      <c r="G928" s="298">
        <f t="shared" si="72"/>
        <v>7819</v>
      </c>
      <c r="H928" s="298">
        <f t="shared" si="72"/>
        <v>7873</v>
      </c>
      <c r="I928" s="297">
        <v>6.1459999999999999</v>
      </c>
      <c r="J928" s="1" t="s">
        <v>362</v>
      </c>
      <c r="K928" s="2">
        <f>K939+K950</f>
        <v>7873</v>
      </c>
      <c r="M928" s="81">
        <f>(I928/100)*D928</f>
        <v>7873.3947600000001</v>
      </c>
      <c r="N928" s="20"/>
      <c r="O928" s="71"/>
      <c r="P928" s="71"/>
      <c r="Q928" s="20"/>
      <c r="R928" s="20"/>
      <c r="S928" s="20"/>
      <c r="T928" s="20"/>
      <c r="U928" s="20"/>
      <c r="V928" s="20"/>
      <c r="W928" s="20"/>
      <c r="X928" s="20"/>
    </row>
    <row r="929" spans="1:24">
      <c r="A929" s="1" t="s">
        <v>484</v>
      </c>
      <c r="B929" s="1"/>
      <c r="C929" s="148">
        <f t="shared" si="73"/>
        <v>4317144</v>
      </c>
      <c r="D929" s="148">
        <f t="shared" si="73"/>
        <v>4311224</v>
      </c>
      <c r="E929" s="305">
        <f>E928</f>
        <v>6.1459999999999999</v>
      </c>
      <c r="F929" s="1" t="s">
        <v>362</v>
      </c>
      <c r="G929" s="298">
        <f t="shared" si="72"/>
        <v>265332</v>
      </c>
      <c r="H929" s="298">
        <f t="shared" si="72"/>
        <v>264968</v>
      </c>
      <c r="I929" s="305">
        <f>I928</f>
        <v>6.1459999999999999</v>
      </c>
      <c r="J929" s="1" t="s">
        <v>362</v>
      </c>
      <c r="K929" s="2">
        <f>K940+K951</f>
        <v>264968</v>
      </c>
      <c r="M929" s="81">
        <f>(I929/100)*D929</f>
        <v>264967.82704</v>
      </c>
      <c r="N929" s="20"/>
      <c r="O929" s="71"/>
      <c r="P929" s="71"/>
      <c r="Q929" s="20"/>
      <c r="R929" s="20"/>
      <c r="S929" s="20"/>
      <c r="T929" s="20"/>
      <c r="U929" s="20"/>
      <c r="V929" s="20"/>
      <c r="W929" s="20"/>
      <c r="X929" s="20"/>
    </row>
    <row r="930" spans="1:24">
      <c r="A930" s="1" t="s">
        <v>350</v>
      </c>
      <c r="B930" s="1"/>
      <c r="C930" s="148">
        <f t="shared" si="73"/>
        <v>3268</v>
      </c>
      <c r="D930" s="148">
        <f t="shared" si="73"/>
        <v>3401</v>
      </c>
      <c r="E930" s="299"/>
      <c r="F930" s="1"/>
      <c r="G930" s="2"/>
      <c r="H930" s="2"/>
      <c r="I930" s="299"/>
      <c r="J930" s="1"/>
      <c r="K930" s="2"/>
      <c r="M930" s="20"/>
      <c r="N930" s="20"/>
      <c r="O930" s="71"/>
      <c r="P930" s="71"/>
      <c r="Q930" s="20"/>
      <c r="R930" s="20"/>
      <c r="S930" s="20"/>
      <c r="T930" s="20"/>
      <c r="U930" s="20"/>
      <c r="V930" s="20"/>
      <c r="W930" s="20"/>
      <c r="X930" s="20"/>
    </row>
    <row r="931" spans="1:24">
      <c r="A931" s="3" t="s">
        <v>479</v>
      </c>
      <c r="C931" s="148">
        <f t="shared" si="73"/>
        <v>4444363</v>
      </c>
      <c r="D931" s="148">
        <f t="shared" si="73"/>
        <v>4439329.75109665</v>
      </c>
      <c r="E931" s="153"/>
      <c r="F931" s="20"/>
      <c r="G931" s="156">
        <f>G942+G953</f>
        <v>275500.21999999997</v>
      </c>
      <c r="H931" s="156">
        <f>H942+H953</f>
        <v>275190.21999999997</v>
      </c>
      <c r="I931" s="153"/>
      <c r="J931" s="20"/>
      <c r="K931" s="156">
        <f>K942+K953</f>
        <v>275190.21999999997</v>
      </c>
      <c r="M931" s="300">
        <f>SUM(M927:M930)</f>
        <v>275190.44180000003</v>
      </c>
      <c r="N931" s="20"/>
      <c r="O931" s="71"/>
      <c r="P931" s="71"/>
      <c r="Q931" s="20"/>
      <c r="R931" s="20"/>
      <c r="S931" s="20"/>
      <c r="T931" s="20"/>
      <c r="U931" s="20"/>
      <c r="V931" s="20"/>
      <c r="W931" s="20"/>
      <c r="X931" s="20"/>
    </row>
    <row r="932" spans="1:24">
      <c r="A932" s="3" t="s">
        <v>480</v>
      </c>
      <c r="C932" s="148">
        <f t="shared" si="73"/>
        <v>55568.648757006318</v>
      </c>
      <c r="D932" s="148">
        <f t="shared" si="73"/>
        <v>0</v>
      </c>
      <c r="E932" s="153"/>
      <c r="F932" s="20"/>
      <c r="G932" s="156">
        <f>G943+G954</f>
        <v>3332.8497590767615</v>
      </c>
      <c r="H932" s="156">
        <f>H943+H954</f>
        <v>0</v>
      </c>
      <c r="I932" s="153"/>
      <c r="J932" s="20"/>
      <c r="K932" s="156">
        <f>K943+K954</f>
        <v>0</v>
      </c>
      <c r="M932" s="173"/>
      <c r="N932" s="173"/>
      <c r="O932" s="174"/>
      <c r="P932" s="71"/>
      <c r="S932" s="20"/>
      <c r="T932" s="20"/>
      <c r="U932" s="20"/>
      <c r="V932" s="20"/>
      <c r="W932" s="20"/>
      <c r="X932" s="20"/>
    </row>
    <row r="933" spans="1:24" ht="16.5" thickBot="1">
      <c r="A933" s="1" t="s">
        <v>9</v>
      </c>
      <c r="B933" s="1"/>
      <c r="C933" s="277">
        <f>C931+C932</f>
        <v>4499931.648757006</v>
      </c>
      <c r="D933" s="277">
        <f>D931+D932</f>
        <v>4439329.75109665</v>
      </c>
      <c r="E933" s="301"/>
      <c r="F933" s="302"/>
      <c r="G933" s="158">
        <f>G931+G932</f>
        <v>278833.06975907675</v>
      </c>
      <c r="H933" s="158">
        <f>H931+H932</f>
        <v>275190.21999999997</v>
      </c>
      <c r="I933" s="301"/>
      <c r="J933" s="302"/>
      <c r="K933" s="158">
        <f>K931+K932</f>
        <v>275190.21999999997</v>
      </c>
      <c r="M933" s="175"/>
      <c r="N933" s="161" t="s">
        <v>397</v>
      </c>
      <c r="O933" s="300" t="e">
        <f>#REF!*1000</f>
        <v>#REF!</v>
      </c>
      <c r="P933" s="71"/>
      <c r="S933" s="20"/>
      <c r="T933" s="20"/>
      <c r="U933" s="20"/>
      <c r="V933" s="20"/>
      <c r="W933" s="20"/>
      <c r="X933" s="20"/>
    </row>
    <row r="934" spans="1:24" ht="16.5" thickTop="1">
      <c r="A934" s="1"/>
      <c r="B934" s="1"/>
      <c r="C934" s="25"/>
      <c r="D934" s="25"/>
      <c r="E934" s="306"/>
      <c r="F934" s="23"/>
      <c r="G934" s="50"/>
      <c r="H934" s="50"/>
      <c r="I934" s="306" t="s">
        <v>31</v>
      </c>
      <c r="J934" s="23"/>
      <c r="K934" s="50" t="s">
        <v>31</v>
      </c>
      <c r="M934" s="20"/>
      <c r="N934" s="161" t="s">
        <v>256</v>
      </c>
      <c r="O934" s="300" t="e">
        <f>O933-K933</f>
        <v>#REF!</v>
      </c>
      <c r="P934" s="14" t="e">
        <f>(O933-K933)/K933</f>
        <v>#REF!</v>
      </c>
      <c r="Q934" s="20"/>
      <c r="R934" s="20"/>
      <c r="S934" s="20"/>
      <c r="T934" s="20"/>
      <c r="U934" s="20"/>
      <c r="V934" s="20"/>
      <c r="W934" s="20"/>
      <c r="X934" s="20"/>
    </row>
    <row r="935" spans="1:24">
      <c r="A935" s="177" t="s">
        <v>485</v>
      </c>
      <c r="B935" s="1"/>
      <c r="C935" s="1"/>
      <c r="D935" s="1"/>
      <c r="E935" s="1"/>
      <c r="F935" s="1"/>
      <c r="G935" s="1"/>
      <c r="H935" s="1"/>
      <c r="I935" s="1"/>
      <c r="J935" s="1"/>
      <c r="K935" s="1"/>
      <c r="M935" s="300"/>
      <c r="N935" s="300"/>
      <c r="O935" s="71"/>
      <c r="P935" s="71"/>
      <c r="Q935" s="20"/>
      <c r="R935" s="20"/>
      <c r="S935" s="20"/>
      <c r="T935" s="20"/>
      <c r="U935" s="20"/>
      <c r="V935" s="20"/>
      <c r="W935" s="20"/>
      <c r="X935" s="20"/>
    </row>
    <row r="936" spans="1:24">
      <c r="A936" s="1" t="s">
        <v>486</v>
      </c>
      <c r="B936" s="1"/>
      <c r="C936" s="1"/>
      <c r="D936" s="1"/>
      <c r="E936" s="1"/>
      <c r="F936" s="1"/>
      <c r="G936" s="1"/>
      <c r="H936" s="1"/>
      <c r="I936" s="1"/>
      <c r="J936" s="1"/>
      <c r="K936" s="1"/>
      <c r="M936" s="20"/>
      <c r="N936" s="20"/>
      <c r="O936" s="307" t="e">
        <f>O934/(H933-H927)</f>
        <v>#REF!</v>
      </c>
      <c r="P936" s="71"/>
      <c r="Q936" s="20"/>
      <c r="R936" s="20"/>
      <c r="S936" s="20"/>
      <c r="T936" s="20"/>
      <c r="U936" s="20"/>
      <c r="V936" s="20"/>
      <c r="W936" s="20"/>
      <c r="X936" s="20"/>
    </row>
    <row r="937" spans="1:24">
      <c r="A937" s="1"/>
      <c r="B937" s="1"/>
      <c r="C937" s="1"/>
      <c r="D937" s="1"/>
      <c r="E937" s="303"/>
      <c r="F937" s="1"/>
      <c r="G937" s="1"/>
      <c r="H937" s="1"/>
      <c r="I937" s="303"/>
      <c r="J937" s="1"/>
      <c r="K937" s="1"/>
      <c r="M937" s="20"/>
      <c r="N937" s="20"/>
      <c r="O937" s="71"/>
      <c r="P937" s="71"/>
      <c r="Q937" s="20"/>
      <c r="R937" s="20"/>
      <c r="S937" s="20"/>
      <c r="T937" s="20"/>
      <c r="U937" s="20"/>
      <c r="V937" s="20"/>
      <c r="W937" s="20"/>
      <c r="X937" s="20"/>
    </row>
    <row r="938" spans="1:24">
      <c r="A938" s="1" t="s">
        <v>476</v>
      </c>
      <c r="B938" s="1"/>
      <c r="C938" s="21"/>
      <c r="D938" s="21"/>
      <c r="E938" s="182"/>
      <c r="F938" s="1"/>
      <c r="G938" s="296">
        <v>2349.2199999999998</v>
      </c>
      <c r="H938" s="296">
        <v>2349.2199999999998</v>
      </c>
      <c r="I938" s="182"/>
      <c r="J938" s="1"/>
      <c r="K938" s="2">
        <f>G938</f>
        <v>2349.2199999999998</v>
      </c>
      <c r="M938" s="20"/>
      <c r="N938" s="20"/>
      <c r="O938" s="71"/>
      <c r="P938" s="71"/>
      <c r="Q938" s="20"/>
      <c r="R938" s="20"/>
      <c r="S938" s="20"/>
      <c r="T938" s="20"/>
      <c r="U938" s="20"/>
      <c r="V938" s="20"/>
      <c r="W938" s="20"/>
      <c r="X938" s="20"/>
    </row>
    <row r="939" spans="1:24">
      <c r="A939" s="1" t="s">
        <v>483</v>
      </c>
      <c r="B939" s="1"/>
      <c r="C939" s="148">
        <f>127219</f>
        <v>127219</v>
      </c>
      <c r="D939" s="203">
        <f>ROUND(($D$942/$C$942)*C939,0)</f>
        <v>128106</v>
      </c>
      <c r="E939" s="297">
        <v>6.1459999999999999</v>
      </c>
      <c r="F939" s="1" t="s">
        <v>362</v>
      </c>
      <c r="G939" s="298">
        <f>ROUND(C939*E939/100,0)</f>
        <v>7819</v>
      </c>
      <c r="H939" s="298">
        <f>ROUND(D939*E939/100,0)</f>
        <v>7873</v>
      </c>
      <c r="I939" s="266">
        <f>I928</f>
        <v>6.1459999999999999</v>
      </c>
      <c r="J939" s="1" t="s">
        <v>362</v>
      </c>
      <c r="K939" s="2">
        <f>ROUND(I939*D939/100,0)</f>
        <v>7873</v>
      </c>
      <c r="M939" s="20"/>
      <c r="N939" s="20"/>
      <c r="O939" s="71"/>
      <c r="P939" s="71"/>
      <c r="Q939" s="20"/>
      <c r="R939" s="20"/>
      <c r="S939" s="20"/>
      <c r="T939" s="20"/>
      <c r="U939" s="20"/>
      <c r="V939" s="20"/>
      <c r="W939" s="20"/>
      <c r="X939" s="20"/>
    </row>
    <row r="940" spans="1:24">
      <c r="A940" s="1" t="s">
        <v>484</v>
      </c>
      <c r="B940" s="1"/>
      <c r="C940" s="148">
        <f>3303301</f>
        <v>3303301</v>
      </c>
      <c r="D940" s="203">
        <f>ROUND(($D$942/$C$942)*C940,0)</f>
        <v>3326331</v>
      </c>
      <c r="E940" s="305">
        <f>E939</f>
        <v>6.1459999999999999</v>
      </c>
      <c r="F940" s="1" t="s">
        <v>362</v>
      </c>
      <c r="G940" s="298">
        <f>ROUND(C940*E940/100,0)</f>
        <v>203021</v>
      </c>
      <c r="H940" s="298">
        <f>ROUND(D940*E940/100,0)</f>
        <v>204436</v>
      </c>
      <c r="I940" s="308">
        <f>I939</f>
        <v>6.1459999999999999</v>
      </c>
      <c r="J940" s="1" t="s">
        <v>362</v>
      </c>
      <c r="K940" s="2">
        <f>ROUND(I940*D940/100,0)</f>
        <v>204436</v>
      </c>
      <c r="M940" s="20"/>
      <c r="N940" s="20"/>
      <c r="O940" s="71"/>
      <c r="P940" s="71"/>
      <c r="Q940" s="20"/>
      <c r="R940" s="20"/>
      <c r="S940" s="20"/>
      <c r="T940" s="20"/>
      <c r="U940" s="20"/>
      <c r="V940" s="20"/>
      <c r="W940" s="20"/>
      <c r="X940" s="20"/>
    </row>
    <row r="941" spans="1:24">
      <c r="A941" s="1" t="s">
        <v>350</v>
      </c>
      <c r="B941" s="1"/>
      <c r="C941" s="148">
        <f>60+2185</f>
        <v>2245</v>
      </c>
      <c r="D941" s="203">
        <v>2369</v>
      </c>
      <c r="E941" s="299"/>
      <c r="F941" s="1"/>
      <c r="G941" s="2"/>
      <c r="H941" s="2"/>
      <c r="I941" s="299"/>
      <c r="J941" s="1"/>
      <c r="K941" s="2"/>
      <c r="M941" s="20"/>
      <c r="N941" s="20"/>
      <c r="O941" s="71"/>
      <c r="P941" s="71"/>
      <c r="Q941" s="20"/>
      <c r="R941" s="20"/>
      <c r="S941" s="20"/>
      <c r="T941" s="20"/>
      <c r="U941" s="20"/>
      <c r="V941" s="20"/>
      <c r="W941" s="20"/>
      <c r="X941" s="20"/>
    </row>
    <row r="942" spans="1:24">
      <c r="A942" s="3" t="s">
        <v>479</v>
      </c>
      <c r="C942" s="148">
        <f>C939+C940</f>
        <v>3430520</v>
      </c>
      <c r="D942" s="148">
        <v>3454436.4805654008</v>
      </c>
      <c r="E942" s="153"/>
      <c r="F942" s="20"/>
      <c r="G942" s="156">
        <f>SUM(G938:G940)</f>
        <v>213189.22</v>
      </c>
      <c r="H942" s="156">
        <f>SUM(H938:H940)</f>
        <v>214658.22</v>
      </c>
      <c r="I942" s="153"/>
      <c r="J942" s="20"/>
      <c r="K942" s="156">
        <f>SUM(K938:K940)</f>
        <v>214658.22</v>
      </c>
      <c r="M942" s="20"/>
      <c r="N942" s="20"/>
      <c r="O942" s="71"/>
      <c r="P942" s="71"/>
      <c r="Q942" s="20"/>
      <c r="R942" s="20"/>
      <c r="S942" s="20"/>
      <c r="T942" s="20"/>
      <c r="U942" s="20"/>
      <c r="V942" s="20"/>
      <c r="W942" s="20"/>
      <c r="X942" s="20"/>
    </row>
    <row r="943" spans="1:24">
      <c r="A943" s="3" t="s">
        <v>480</v>
      </c>
      <c r="C943" s="148">
        <v>42879.146799479597</v>
      </c>
      <c r="D943" s="148">
        <v>0</v>
      </c>
      <c r="E943" s="153"/>
      <c r="F943" s="20"/>
      <c r="G943" s="156">
        <v>2578.7840543150201</v>
      </c>
      <c r="H943" s="156">
        <v>0</v>
      </c>
      <c r="I943" s="153"/>
      <c r="J943" s="20"/>
      <c r="K943" s="156">
        <v>0</v>
      </c>
      <c r="M943" s="173"/>
      <c r="N943" s="173"/>
      <c r="O943" s="174"/>
      <c r="P943" s="71"/>
      <c r="Q943" s="20"/>
      <c r="R943" s="20"/>
      <c r="S943" s="20"/>
      <c r="T943" s="20"/>
      <c r="U943" s="20"/>
      <c r="V943" s="20"/>
      <c r="W943" s="20"/>
      <c r="X943" s="20"/>
    </row>
    <row r="944" spans="1:24" ht="16.5" thickBot="1">
      <c r="A944" s="1" t="s">
        <v>9</v>
      </c>
      <c r="B944" s="1"/>
      <c r="C944" s="277">
        <f>C942+C943</f>
        <v>3473399.1467994796</v>
      </c>
      <c r="D944" s="277">
        <f>D942+D943</f>
        <v>3454436.4805654008</v>
      </c>
      <c r="E944" s="301"/>
      <c r="F944" s="302"/>
      <c r="G944" s="158">
        <f>G942+G943</f>
        <v>215768.00405431501</v>
      </c>
      <c r="H944" s="158">
        <f>H942+H943</f>
        <v>214658.22</v>
      </c>
      <c r="I944" s="301"/>
      <c r="J944" s="302"/>
      <c r="K944" s="158">
        <f>K942+K943</f>
        <v>214658.22</v>
      </c>
      <c r="M944" s="175"/>
      <c r="N944" s="175"/>
      <c r="O944" s="176"/>
      <c r="P944" s="71"/>
      <c r="Q944" s="20"/>
      <c r="R944" s="20"/>
      <c r="S944" s="20"/>
      <c r="T944" s="20"/>
      <c r="U944" s="20"/>
      <c r="V944" s="20"/>
      <c r="W944" s="20"/>
      <c r="X944" s="20"/>
    </row>
    <row r="945" spans="1:24" ht="16.5" thickTop="1">
      <c r="A945" s="1"/>
      <c r="B945" s="1"/>
      <c r="C945" s="25"/>
      <c r="D945" s="25"/>
      <c r="E945" s="306"/>
      <c r="F945" s="23"/>
      <c r="G945" s="50"/>
      <c r="H945" s="50"/>
      <c r="I945" s="306" t="s">
        <v>31</v>
      </c>
      <c r="J945" s="23"/>
      <c r="K945" s="50" t="s">
        <v>31</v>
      </c>
      <c r="M945" s="20"/>
      <c r="N945" s="20"/>
      <c r="O945" s="71"/>
      <c r="P945" s="71"/>
      <c r="Q945" s="20"/>
      <c r="R945" s="20"/>
      <c r="S945" s="20"/>
      <c r="T945" s="20"/>
      <c r="U945" s="20"/>
      <c r="V945" s="20"/>
      <c r="W945" s="20"/>
      <c r="X945" s="20"/>
    </row>
    <row r="946" spans="1:24">
      <c r="A946" s="177" t="s">
        <v>487</v>
      </c>
      <c r="B946" s="1"/>
      <c r="C946" s="1"/>
      <c r="D946" s="1"/>
      <c r="E946" s="1"/>
      <c r="F946" s="1"/>
      <c r="G946" s="1"/>
      <c r="H946" s="1"/>
      <c r="I946" s="1"/>
      <c r="J946" s="1"/>
      <c r="K946" s="1"/>
      <c r="M946" s="20"/>
      <c r="N946" s="20"/>
      <c r="O946" s="71"/>
      <c r="P946" s="71"/>
      <c r="Q946" s="20"/>
      <c r="R946" s="20"/>
      <c r="S946" s="20"/>
      <c r="T946" s="20"/>
      <c r="U946" s="20"/>
      <c r="V946" s="20"/>
      <c r="W946" s="20"/>
      <c r="X946" s="20"/>
    </row>
    <row r="947" spans="1:24">
      <c r="A947" s="1" t="s">
        <v>488</v>
      </c>
      <c r="B947" s="1"/>
      <c r="C947" s="1"/>
      <c r="D947" s="1"/>
      <c r="E947" s="1"/>
      <c r="F947" s="1"/>
      <c r="G947" s="1"/>
      <c r="H947" s="1"/>
      <c r="I947" s="1"/>
      <c r="J947" s="1"/>
      <c r="K947" s="1"/>
      <c r="M947" s="20"/>
      <c r="N947" s="20"/>
      <c r="O947" s="71"/>
      <c r="P947" s="71"/>
      <c r="Q947" s="20"/>
      <c r="R947" s="20"/>
      <c r="S947" s="20"/>
      <c r="T947" s="20"/>
      <c r="U947" s="20"/>
      <c r="V947" s="20"/>
      <c r="W947" s="20"/>
      <c r="X947" s="20"/>
    </row>
    <row r="948" spans="1:24">
      <c r="A948" s="1"/>
      <c r="B948" s="1"/>
      <c r="C948" s="1"/>
      <c r="D948" s="1"/>
      <c r="E948" s="303"/>
      <c r="F948" s="1"/>
      <c r="G948" s="1"/>
      <c r="H948" s="1"/>
      <c r="I948" s="303"/>
      <c r="J948" s="1"/>
      <c r="K948" s="1"/>
      <c r="M948" s="20"/>
      <c r="N948" s="20"/>
      <c r="O948" s="71"/>
      <c r="P948" s="71"/>
      <c r="Q948" s="20"/>
      <c r="R948" s="20"/>
      <c r="S948" s="20"/>
      <c r="T948" s="20"/>
      <c r="U948" s="20"/>
      <c r="V948" s="20"/>
      <c r="W948" s="20"/>
      <c r="X948" s="20"/>
    </row>
    <row r="949" spans="1:24">
      <c r="A949" s="1" t="s">
        <v>476</v>
      </c>
      <c r="B949" s="1"/>
      <c r="C949" s="21"/>
      <c r="D949" s="21"/>
      <c r="E949" s="182"/>
      <c r="F949" s="1"/>
      <c r="G949" s="296">
        <v>0</v>
      </c>
      <c r="H949" s="296">
        <v>0</v>
      </c>
      <c r="I949" s="182"/>
      <c r="J949" s="1"/>
      <c r="K949" s="2">
        <f>G949</f>
        <v>0</v>
      </c>
      <c r="M949" s="20"/>
      <c r="N949" s="20"/>
      <c r="O949" s="71"/>
      <c r="P949" s="71"/>
      <c r="Q949" s="20"/>
      <c r="R949" s="20"/>
      <c r="S949" s="20"/>
      <c r="T949" s="20"/>
      <c r="U949" s="20"/>
      <c r="V949" s="20"/>
      <c r="W949" s="20"/>
      <c r="X949" s="20"/>
    </row>
    <row r="950" spans="1:24">
      <c r="A950" s="1" t="s">
        <v>483</v>
      </c>
      <c r="B950" s="1"/>
      <c r="C950" s="148">
        <v>0</v>
      </c>
      <c r="D950" s="203">
        <f>ROUND(($D$953/$C$953)*C950,0)</f>
        <v>0</v>
      </c>
      <c r="E950" s="297">
        <v>6.1459999999999999</v>
      </c>
      <c r="F950" s="1" t="s">
        <v>362</v>
      </c>
      <c r="G950" s="298">
        <f>ROUND(C950*E950/100,0)</f>
        <v>0</v>
      </c>
      <c r="H950" s="298">
        <f>ROUND(D950*E950/100,0)</f>
        <v>0</v>
      </c>
      <c r="I950" s="266">
        <f>I928</f>
        <v>6.1459999999999999</v>
      </c>
      <c r="J950" s="1" t="s">
        <v>362</v>
      </c>
      <c r="K950" s="2">
        <f>ROUND(I950*D950/100,0)</f>
        <v>0</v>
      </c>
      <c r="M950" s="20"/>
      <c r="N950" s="20"/>
      <c r="O950" s="71"/>
      <c r="P950" s="71"/>
      <c r="Q950" s="20"/>
      <c r="R950" s="20"/>
      <c r="S950" s="20"/>
      <c r="T950" s="20"/>
      <c r="U950" s="20"/>
      <c r="V950" s="20"/>
      <c r="W950" s="20"/>
      <c r="X950" s="20"/>
    </row>
    <row r="951" spans="1:24">
      <c r="A951" s="1" t="s">
        <v>484</v>
      </c>
      <c r="B951" s="1"/>
      <c r="C951" s="148">
        <f>1013843</f>
        <v>1013843</v>
      </c>
      <c r="D951" s="203">
        <f>ROUND(($D$953/$C$953)*C951,0)</f>
        <v>984893</v>
      </c>
      <c r="E951" s="305">
        <f>E950</f>
        <v>6.1459999999999999</v>
      </c>
      <c r="F951" s="1" t="s">
        <v>362</v>
      </c>
      <c r="G951" s="298">
        <f>ROUND(C951*E951/100,0)</f>
        <v>62311</v>
      </c>
      <c r="H951" s="298">
        <f>ROUND(D951*E951/100,0)</f>
        <v>60532</v>
      </c>
      <c r="I951" s="308">
        <f>I950</f>
        <v>6.1459999999999999</v>
      </c>
      <c r="J951" s="1" t="s">
        <v>362</v>
      </c>
      <c r="K951" s="2">
        <f>ROUND(I951*D951/100,0)</f>
        <v>60532</v>
      </c>
      <c r="M951" s="20"/>
      <c r="N951" s="20"/>
      <c r="O951" s="71"/>
      <c r="P951" s="71"/>
      <c r="Q951" s="20"/>
      <c r="R951" s="20"/>
      <c r="S951" s="20"/>
      <c r="T951" s="20"/>
      <c r="U951" s="20"/>
      <c r="V951" s="20"/>
      <c r="W951" s="20"/>
      <c r="X951" s="20"/>
    </row>
    <row r="952" spans="1:24">
      <c r="A952" s="1" t="s">
        <v>350</v>
      </c>
      <c r="B952" s="1"/>
      <c r="C952" s="148">
        <f>1023</f>
        <v>1023</v>
      </c>
      <c r="D952" s="203">
        <v>1032</v>
      </c>
      <c r="E952" s="299"/>
      <c r="F952" s="1"/>
      <c r="G952" s="2"/>
      <c r="H952" s="2"/>
      <c r="I952" s="299"/>
      <c r="J952" s="1"/>
      <c r="K952" s="2"/>
      <c r="M952" s="20"/>
      <c r="N952" s="20"/>
      <c r="O952" s="71"/>
      <c r="P952" s="71"/>
      <c r="Q952" s="20"/>
      <c r="R952" s="20"/>
      <c r="S952" s="20"/>
      <c r="T952" s="20"/>
      <c r="U952" s="20"/>
      <c r="V952" s="20"/>
      <c r="W952" s="20"/>
      <c r="X952" s="20"/>
    </row>
    <row r="953" spans="1:24">
      <c r="A953" s="3" t="s">
        <v>479</v>
      </c>
      <c r="C953" s="148">
        <f>C950+C951</f>
        <v>1013843</v>
      </c>
      <c r="D953" s="148">
        <v>984893.270531249</v>
      </c>
      <c r="E953" s="153"/>
      <c r="F953" s="20"/>
      <c r="G953" s="156">
        <f>SUM(G949:G951)</f>
        <v>62311</v>
      </c>
      <c r="H953" s="156">
        <f>SUM(H949:H951)</f>
        <v>60532</v>
      </c>
      <c r="I953" s="153"/>
      <c r="J953" s="20"/>
      <c r="K953" s="156">
        <f>SUM(K949:K951)</f>
        <v>60532</v>
      </c>
      <c r="M953" s="20"/>
      <c r="N953" s="20"/>
      <c r="O953" s="71"/>
      <c r="P953" s="71"/>
      <c r="Q953" s="20"/>
      <c r="R953" s="20"/>
      <c r="S953" s="20"/>
      <c r="T953" s="20"/>
      <c r="U953" s="20"/>
      <c r="V953" s="20"/>
      <c r="W953" s="20"/>
      <c r="X953" s="20"/>
    </row>
    <row r="954" spans="1:24">
      <c r="A954" s="3" t="s">
        <v>480</v>
      </c>
      <c r="C954" s="148">
        <v>12689.501957526723</v>
      </c>
      <c r="D954" s="148">
        <v>0</v>
      </c>
      <c r="E954" s="153"/>
      <c r="F954" s="20"/>
      <c r="G954" s="156">
        <v>754.06570476174147</v>
      </c>
      <c r="H954" s="156">
        <v>0</v>
      </c>
      <c r="I954" s="153"/>
      <c r="J954" s="20"/>
      <c r="K954" s="156">
        <v>0</v>
      </c>
      <c r="M954" s="173"/>
      <c r="N954" s="173"/>
      <c r="O954" s="174"/>
      <c r="P954" s="71"/>
      <c r="Q954" s="20"/>
      <c r="R954" s="20"/>
      <c r="S954" s="20"/>
      <c r="T954" s="20"/>
      <c r="U954" s="20"/>
      <c r="V954" s="20"/>
      <c r="W954" s="20"/>
      <c r="X954" s="20"/>
    </row>
    <row r="955" spans="1:24" ht="16.5" thickBot="1">
      <c r="A955" s="1" t="s">
        <v>9</v>
      </c>
      <c r="B955" s="1"/>
      <c r="C955" s="277">
        <f>C953+C954</f>
        <v>1026532.5019575268</v>
      </c>
      <c r="D955" s="277">
        <f>D953+D954</f>
        <v>984893.270531249</v>
      </c>
      <c r="E955" s="301"/>
      <c r="F955" s="302"/>
      <c r="G955" s="158">
        <f>G953+G954</f>
        <v>63065.065704761742</v>
      </c>
      <c r="H955" s="158">
        <f>H953+H954</f>
        <v>60532</v>
      </c>
      <c r="I955" s="301"/>
      <c r="J955" s="302"/>
      <c r="K955" s="158">
        <f>K953+K954</f>
        <v>60532</v>
      </c>
      <c r="M955" s="175"/>
      <c r="N955" s="175"/>
      <c r="O955" s="176"/>
      <c r="P955" s="71"/>
      <c r="Q955" s="20"/>
      <c r="R955" s="20"/>
      <c r="S955" s="20"/>
      <c r="T955" s="20"/>
      <c r="U955" s="20"/>
      <c r="V955" s="20"/>
      <c r="W955" s="20"/>
      <c r="X955" s="20"/>
    </row>
    <row r="956" spans="1:24" ht="16.5" thickTop="1">
      <c r="A956" s="1"/>
      <c r="B956" s="1"/>
      <c r="C956" s="25"/>
      <c r="D956" s="25"/>
      <c r="E956" s="306"/>
      <c r="F956" s="23"/>
      <c r="G956" s="50"/>
      <c r="H956" s="50"/>
      <c r="I956" s="306" t="s">
        <v>31</v>
      </c>
      <c r="J956" s="23"/>
      <c r="K956" s="50" t="s">
        <v>31</v>
      </c>
      <c r="M956" s="20"/>
      <c r="N956" s="20"/>
      <c r="O956" s="71"/>
      <c r="P956" s="71"/>
      <c r="Q956" s="20"/>
      <c r="R956" s="20"/>
      <c r="S956" s="20"/>
      <c r="T956" s="20"/>
      <c r="U956" s="20"/>
      <c r="V956" s="20"/>
      <c r="W956" s="20"/>
      <c r="X956" s="20"/>
    </row>
    <row r="957" spans="1:24">
      <c r="A957" s="177" t="s">
        <v>489</v>
      </c>
      <c r="B957" s="1"/>
      <c r="C957" s="1"/>
      <c r="D957" s="1"/>
      <c r="E957" s="1"/>
      <c r="F957" s="1"/>
      <c r="G957" s="1"/>
      <c r="H957" s="1"/>
      <c r="I957" s="1"/>
      <c r="J957" s="1"/>
      <c r="K957" s="1" t="s">
        <v>31</v>
      </c>
      <c r="M957" s="20"/>
      <c r="N957" s="20"/>
      <c r="O957" s="71"/>
      <c r="P957" s="71"/>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1"/>
      <c r="P958" s="71"/>
      <c r="Q958" s="20"/>
      <c r="R958" s="20"/>
      <c r="S958" s="20"/>
      <c r="T958" s="20"/>
      <c r="U958" s="20"/>
      <c r="V958" s="20"/>
      <c r="W958" s="20"/>
      <c r="X958" s="20"/>
    </row>
    <row r="959" spans="1:24">
      <c r="A959" s="1"/>
      <c r="B959" s="1"/>
      <c r="C959" s="1"/>
      <c r="D959" s="1"/>
      <c r="E959" s="1"/>
      <c r="F959" s="1"/>
      <c r="G959" s="1"/>
      <c r="H959" s="1"/>
      <c r="I959" s="1"/>
      <c r="J959" s="1"/>
      <c r="K959" s="1"/>
      <c r="M959" s="20"/>
      <c r="N959" s="20"/>
      <c r="O959" s="71"/>
      <c r="P959" s="71"/>
      <c r="Q959" s="20"/>
      <c r="R959" s="20"/>
      <c r="S959" s="20"/>
      <c r="T959" s="20"/>
      <c r="U959" s="20"/>
      <c r="V959" s="20"/>
      <c r="W959" s="20"/>
      <c r="X959" s="20"/>
    </row>
    <row r="960" spans="1:24">
      <c r="A960" s="1" t="s">
        <v>490</v>
      </c>
      <c r="B960" s="1"/>
      <c r="C960" s="21">
        <v>192</v>
      </c>
      <c r="D960" s="203">
        <v>191</v>
      </c>
      <c r="E960" s="182">
        <v>3.5</v>
      </c>
      <c r="F960" s="1"/>
      <c r="G960" s="2">
        <f>ROUND(E960*C960,0)</f>
        <v>672</v>
      </c>
      <c r="H960" s="2">
        <f>ROUND(E960*D960,0)</f>
        <v>669</v>
      </c>
      <c r="I960" s="182">
        <v>3.5</v>
      </c>
      <c r="J960" s="1"/>
      <c r="K960" s="2">
        <f>ROUND(I960*D960,0)</f>
        <v>669</v>
      </c>
      <c r="M960" s="81">
        <f>I960*D960</f>
        <v>668.5</v>
      </c>
      <c r="N960" s="20"/>
      <c r="O960" s="309"/>
      <c r="P960" s="309"/>
      <c r="Q960" s="20"/>
      <c r="R960" s="20"/>
      <c r="S960" s="20"/>
      <c r="T960" s="20"/>
      <c r="U960" s="20"/>
      <c r="V960" s="20"/>
      <c r="W960" s="20"/>
      <c r="X960" s="20"/>
    </row>
    <row r="961" spans="1:28">
      <c r="A961" s="1" t="s">
        <v>491</v>
      </c>
      <c r="B961" s="1"/>
      <c r="C961" s="21">
        <v>144</v>
      </c>
      <c r="D961" s="203">
        <v>144</v>
      </c>
      <c r="E961" s="182">
        <v>6.5</v>
      </c>
      <c r="F961" s="1"/>
      <c r="G961" s="2">
        <f>ROUND(E961*C961,0)</f>
        <v>936</v>
      </c>
      <c r="H961" s="2">
        <f>ROUND(E961*D961,0)</f>
        <v>936</v>
      </c>
      <c r="I961" s="182">
        <v>6.5</v>
      </c>
      <c r="J961" s="1"/>
      <c r="K961" s="2">
        <f>ROUND(I961*D961,0)</f>
        <v>936</v>
      </c>
      <c r="M961" s="81">
        <f>I961*D961</f>
        <v>936</v>
      </c>
      <c r="N961" s="20"/>
      <c r="O961" s="309"/>
      <c r="P961" s="309"/>
      <c r="Q961" s="20"/>
      <c r="R961" s="20"/>
      <c r="S961" s="20"/>
      <c r="T961" s="20"/>
      <c r="U961" s="20"/>
      <c r="V961" s="20"/>
      <c r="W961" s="20"/>
      <c r="X961" s="20"/>
    </row>
    <row r="962" spans="1:28">
      <c r="A962" s="1" t="s">
        <v>492</v>
      </c>
      <c r="B962" s="1"/>
      <c r="C962" s="21">
        <f>SUM(C960:C961)</f>
        <v>336</v>
      </c>
      <c r="D962" s="203">
        <v>335</v>
      </c>
      <c r="E962" s="258"/>
      <c r="F962" s="1"/>
      <c r="G962" s="298"/>
      <c r="H962" s="298"/>
      <c r="I962" s="258"/>
      <c r="J962" s="1"/>
      <c r="K962" s="2"/>
      <c r="M962" s="20"/>
      <c r="N962" s="20"/>
      <c r="O962" s="309"/>
      <c r="P962" s="309"/>
      <c r="Q962" s="20"/>
      <c r="R962" s="20"/>
      <c r="S962" s="20"/>
      <c r="T962" s="20"/>
      <c r="U962" s="20"/>
      <c r="V962" s="20"/>
      <c r="W962" s="20"/>
      <c r="X962" s="20"/>
    </row>
    <row r="963" spans="1:28">
      <c r="A963" s="1" t="s">
        <v>452</v>
      </c>
      <c r="B963" s="1"/>
      <c r="C963" s="21">
        <f>94703+138152</f>
        <v>232855</v>
      </c>
      <c r="D963" s="203">
        <v>235030</v>
      </c>
      <c r="E963" s="310">
        <v>7.2930000000000001</v>
      </c>
      <c r="F963" s="1" t="s">
        <v>362</v>
      </c>
      <c r="G963" s="298">
        <f>ROUND(C963*E963/100,0)</f>
        <v>16982</v>
      </c>
      <c r="H963" s="298">
        <f>ROUND(D963*E963/100,0)</f>
        <v>17141</v>
      </c>
      <c r="I963" s="310">
        <v>7.2930000000000001</v>
      </c>
      <c r="J963" s="2" t="s">
        <v>362</v>
      </c>
      <c r="K963" s="2">
        <f>ROUND(I963*D963/100,0)</f>
        <v>17141</v>
      </c>
      <c r="M963" s="81">
        <f>(I963/100)*D963</f>
        <v>17140.7379</v>
      </c>
      <c r="N963" s="20"/>
      <c r="O963" s="309"/>
      <c r="P963" s="309"/>
      <c r="Q963" s="20"/>
      <c r="R963" s="20"/>
      <c r="S963" s="20"/>
      <c r="T963" s="20"/>
      <c r="U963" s="20"/>
      <c r="V963" s="20"/>
      <c r="W963" s="20"/>
      <c r="X963" s="20"/>
    </row>
    <row r="964" spans="1:28">
      <c r="A964" s="1" t="s">
        <v>369</v>
      </c>
      <c r="B964" s="1"/>
      <c r="C964" s="203">
        <f>SUM(C963)</f>
        <v>232855</v>
      </c>
      <c r="D964" s="203">
        <f>SUM(D963)</f>
        <v>235030</v>
      </c>
      <c r="E964" s="21"/>
      <c r="F964" s="21"/>
      <c r="G964" s="298">
        <f>SUM(G960:G963)</f>
        <v>18590</v>
      </c>
      <c r="H964" s="298">
        <f>SUM(H960:H963)</f>
        <v>18746</v>
      </c>
      <c r="I964" s="21"/>
      <c r="J964" s="2"/>
      <c r="K964" s="298">
        <f>SUM(K960:K963)</f>
        <v>18746</v>
      </c>
      <c r="M964" s="300">
        <f>SUM(M960:M963)</f>
        <v>18745.2379</v>
      </c>
      <c r="N964" s="20"/>
      <c r="O964" s="71"/>
      <c r="P964" s="71"/>
      <c r="Q964" s="20"/>
      <c r="R964" s="20"/>
      <c r="S964" s="20"/>
      <c r="T964" s="20"/>
      <c r="U964" s="20"/>
      <c r="V964" s="20"/>
      <c r="W964" s="20"/>
      <c r="X964" s="20"/>
    </row>
    <row r="965" spans="1:28">
      <c r="A965" s="1" t="s">
        <v>351</v>
      </c>
      <c r="B965" s="1"/>
      <c r="C965" s="233">
        <v>1006.7724689934877</v>
      </c>
      <c r="D965" s="233">
        <v>0</v>
      </c>
      <c r="E965" s="311"/>
      <c r="F965" s="311"/>
      <c r="G965" s="312">
        <v>69.249899021408055</v>
      </c>
      <c r="H965" s="312">
        <v>0</v>
      </c>
      <c r="I965" s="311"/>
      <c r="J965" s="311"/>
      <c r="K965" s="312">
        <v>0</v>
      </c>
      <c r="M965" s="173"/>
      <c r="N965" s="173"/>
      <c r="O965" s="174"/>
      <c r="P965" s="71"/>
      <c r="S965" s="20"/>
      <c r="T965" s="20"/>
      <c r="U965" s="20"/>
      <c r="V965" s="20"/>
      <c r="W965" s="20"/>
      <c r="X965" s="20"/>
    </row>
    <row r="966" spans="1:28" ht="16.5" thickBot="1">
      <c r="A966" s="1" t="s">
        <v>370</v>
      </c>
      <c r="B966" s="1"/>
      <c r="C966" s="250">
        <f>C964+C965</f>
        <v>233861.7724689935</v>
      </c>
      <c r="D966" s="250">
        <f>D963+D965</f>
        <v>235030</v>
      </c>
      <c r="E966" s="229"/>
      <c r="F966" s="229"/>
      <c r="G966" s="196">
        <f>G964+G965</f>
        <v>18659.249899021408</v>
      </c>
      <c r="H966" s="196">
        <f>H964+H965</f>
        <v>18746</v>
      </c>
      <c r="I966" s="229"/>
      <c r="J966" s="229"/>
      <c r="K966" s="196">
        <f>K964+K965</f>
        <v>18746</v>
      </c>
      <c r="M966" s="175"/>
      <c r="N966" s="161" t="s">
        <v>397</v>
      </c>
      <c r="O966" s="313" t="e">
        <f>#REF!*1000</f>
        <v>#REF!</v>
      </c>
      <c r="P966" s="71"/>
      <c r="S966" s="20"/>
      <c r="T966" s="20"/>
      <c r="U966" s="20"/>
      <c r="V966" s="20"/>
      <c r="W966" s="20"/>
      <c r="X966" s="20"/>
    </row>
    <row r="967" spans="1:28" ht="16.5" thickTop="1">
      <c r="A967" s="1"/>
      <c r="B967" s="197"/>
      <c r="C967" s="1"/>
      <c r="D967" s="1"/>
      <c r="E967" s="1"/>
      <c r="F967" s="1"/>
      <c r="G967" s="1"/>
      <c r="H967" s="1"/>
      <c r="I967" s="1" t="s">
        <v>31</v>
      </c>
      <c r="J967" s="1"/>
      <c r="K967" s="2" t="s">
        <v>31</v>
      </c>
      <c r="M967" s="20"/>
      <c r="N967" s="161" t="s">
        <v>256</v>
      </c>
      <c r="O967" s="300" t="e">
        <f>O966-K966</f>
        <v>#REF!</v>
      </c>
      <c r="P967" s="160" t="e">
        <f>(O966-K966)/K966</f>
        <v>#REF!</v>
      </c>
      <c r="Q967" s="20"/>
      <c r="R967" s="20"/>
      <c r="S967" s="20"/>
      <c r="T967" s="20"/>
      <c r="U967" s="20"/>
      <c r="V967" s="20"/>
      <c r="W967" s="20"/>
      <c r="X967" s="20"/>
    </row>
    <row r="968" spans="1:28">
      <c r="A968" s="146" t="s">
        <v>493</v>
      </c>
      <c r="B968" s="187"/>
      <c r="C968" s="187"/>
      <c r="D968" s="187"/>
      <c r="E968" s="187"/>
      <c r="F968" s="187"/>
      <c r="G968" s="187"/>
      <c r="H968" s="187"/>
      <c r="I968" s="187"/>
      <c r="J968" s="187"/>
      <c r="K968" s="187"/>
    </row>
    <row r="969" spans="1:28">
      <c r="A969" s="187" t="s">
        <v>494</v>
      </c>
      <c r="B969" s="187"/>
      <c r="C969" s="187"/>
      <c r="D969" s="187"/>
      <c r="E969" s="187"/>
      <c r="F969" s="187"/>
      <c r="G969" s="187"/>
      <c r="H969" s="187"/>
      <c r="I969" s="187"/>
      <c r="J969" s="187"/>
      <c r="K969" s="187"/>
      <c r="M969" s="161"/>
      <c r="N969" s="161"/>
      <c r="O969" s="161"/>
      <c r="P969" s="161"/>
      <c r="Q969" s="161"/>
      <c r="R969" s="161"/>
      <c r="S969" s="161"/>
      <c r="T969" s="161"/>
      <c r="U969" s="161"/>
      <c r="V969" s="161"/>
      <c r="W969" s="161"/>
      <c r="X969" s="161"/>
    </row>
    <row r="970" spans="1:28">
      <c r="A970" s="314" t="s">
        <v>495</v>
      </c>
      <c r="B970" s="187"/>
      <c r="C970" s="187"/>
      <c r="D970" s="187"/>
      <c r="E970" s="187"/>
      <c r="F970" s="187"/>
      <c r="G970" s="187"/>
      <c r="H970" s="187"/>
      <c r="I970" s="187"/>
      <c r="J970" s="187"/>
      <c r="K970" s="187"/>
      <c r="M970" s="161"/>
      <c r="N970" s="161"/>
      <c r="O970" s="161"/>
      <c r="P970" s="161"/>
      <c r="Q970" s="161"/>
      <c r="R970" s="161"/>
      <c r="S970" s="161"/>
      <c r="T970" s="161"/>
      <c r="U970" s="161"/>
      <c r="V970" s="161"/>
      <c r="W970" s="161"/>
      <c r="X970" s="161"/>
    </row>
    <row r="971" spans="1:28">
      <c r="A971" s="3" t="s">
        <v>496</v>
      </c>
      <c r="G971" s="147"/>
      <c r="H971" s="147"/>
      <c r="M971" s="161"/>
      <c r="N971" s="164"/>
      <c r="O971" s="164"/>
      <c r="P971" s="71"/>
      <c r="Q971" s="163"/>
      <c r="R971" s="164"/>
      <c r="S971" s="315"/>
      <c r="T971" s="166"/>
      <c r="U971" s="162"/>
      <c r="V971" s="162"/>
      <c r="W971" s="162"/>
      <c r="X971" s="162"/>
      <c r="Y971" s="20"/>
      <c r="Z971" s="20"/>
      <c r="AA971" s="20"/>
      <c r="AB971" s="20"/>
    </row>
    <row r="972" spans="1:28">
      <c r="A972" s="3" t="s">
        <v>342</v>
      </c>
      <c r="C972" s="148">
        <f>10751</f>
        <v>10751</v>
      </c>
      <c r="D972" s="148">
        <f>ROUND(($D$1001/$C$1001)*C972,0)</f>
        <v>10394</v>
      </c>
      <c r="E972" s="149">
        <v>8.7799999999999994</v>
      </c>
      <c r="G972" s="2">
        <f>ROUND(E972*$C972,0)</f>
        <v>94394</v>
      </c>
      <c r="H972" s="2">
        <f>ROUND(E972*$D972,0)</f>
        <v>91259</v>
      </c>
      <c r="I972" s="149">
        <v>8.7799999999999994</v>
      </c>
      <c r="K972" s="2">
        <f>ROUND(I972*$D972,0)</f>
        <v>91259</v>
      </c>
      <c r="M972" s="81">
        <f>I972*D972</f>
        <v>91259.319999999992</v>
      </c>
      <c r="N972" s="20"/>
      <c r="O972" s="282">
        <v>76</v>
      </c>
      <c r="P972" s="283">
        <f>O972*D972</f>
        <v>789944</v>
      </c>
      <c r="Q972" s="284" t="e">
        <f>O972*$P$1001</f>
        <v>#REF!</v>
      </c>
      <c r="R972" s="285" t="e">
        <f>ROUND(E972+Q972,2)</f>
        <v>#REF!</v>
      </c>
      <c r="S972" s="168"/>
      <c r="T972" s="162"/>
      <c r="U972" s="165"/>
      <c r="V972" s="165"/>
      <c r="W972" s="316"/>
      <c r="X972" s="165"/>
      <c r="Y972" s="20"/>
      <c r="Z972" s="20"/>
      <c r="AA972" s="20"/>
      <c r="AB972" s="20"/>
    </row>
    <row r="973" spans="1:28">
      <c r="A973" s="3" t="s">
        <v>343</v>
      </c>
      <c r="C973" s="148">
        <f>1951</f>
        <v>1951</v>
      </c>
      <c r="D973" s="148">
        <f>ROUND(($D$1001/$C$1001)*C973,0)</f>
        <v>1886</v>
      </c>
      <c r="E973" s="149">
        <v>16.079999999999998</v>
      </c>
      <c r="G973" s="2">
        <f>ROUND(E973*$C973,0)</f>
        <v>31372</v>
      </c>
      <c r="H973" s="2">
        <f>ROUND(E973*$D973,0)</f>
        <v>30327</v>
      </c>
      <c r="I973" s="149">
        <v>16.079999999999998</v>
      </c>
      <c r="K973" s="2">
        <f>ROUND(I973*$D973,0)</f>
        <v>30327</v>
      </c>
      <c r="M973" s="81">
        <f>I973*D973</f>
        <v>30326.879999999997</v>
      </c>
      <c r="N973" s="20"/>
      <c r="O973" s="286">
        <v>172</v>
      </c>
      <c r="P973" s="71">
        <f>O973*D973</f>
        <v>324392</v>
      </c>
      <c r="Q973" s="287" t="e">
        <f>O973*$P$1001</f>
        <v>#REF!</v>
      </c>
      <c r="R973" s="288" t="e">
        <f>ROUND(E973+Q973,2)</f>
        <v>#REF!</v>
      </c>
      <c r="S973" s="162"/>
      <c r="T973" s="162"/>
      <c r="U973" s="165"/>
      <c r="V973" s="165"/>
      <c r="W973" s="316"/>
      <c r="X973" s="165"/>
      <c r="Y973" s="20"/>
      <c r="Z973" s="20"/>
      <c r="AA973" s="20"/>
      <c r="AB973" s="20"/>
    </row>
    <row r="974" spans="1:28">
      <c r="A974" s="3" t="s">
        <v>344</v>
      </c>
      <c r="C974" s="148">
        <f>12</f>
        <v>12</v>
      </c>
      <c r="D974" s="148">
        <f>ROUND(($D$1001/$C$1001)*C974,0)</f>
        <v>12</v>
      </c>
      <c r="E974" s="149">
        <v>32.53</v>
      </c>
      <c r="G974" s="2">
        <f>ROUND(E974*$C974,0)</f>
        <v>390</v>
      </c>
      <c r="H974" s="2">
        <f>ROUND(E974*$D974,0)</f>
        <v>390</v>
      </c>
      <c r="I974" s="149">
        <v>32.53</v>
      </c>
      <c r="K974" s="2">
        <f>ROUND(I974*$D974,0)</f>
        <v>390</v>
      </c>
      <c r="M974" s="81">
        <f>I974*D974</f>
        <v>390.36</v>
      </c>
      <c r="N974" s="20"/>
      <c r="O974" s="286">
        <v>412</v>
      </c>
      <c r="P974" s="71">
        <f>O974*D974</f>
        <v>4944</v>
      </c>
      <c r="Q974" s="287" t="e">
        <f>O974*$P$1001</f>
        <v>#REF!</v>
      </c>
      <c r="R974" s="288" t="e">
        <f>ROUND(E974+Q974,2)</f>
        <v>#REF!</v>
      </c>
      <c r="S974" s="162"/>
      <c r="T974" s="162"/>
      <c r="U974" s="165"/>
      <c r="V974" s="165"/>
      <c r="W974" s="316"/>
      <c r="X974" s="165"/>
      <c r="Y974" s="20"/>
      <c r="Z974" s="20"/>
      <c r="AA974" s="20"/>
      <c r="AB974" s="20"/>
    </row>
    <row r="975" spans="1:28">
      <c r="A975" s="3" t="s">
        <v>497</v>
      </c>
      <c r="C975" s="148"/>
      <c r="D975" s="148"/>
      <c r="E975" s="317"/>
      <c r="G975" s="147"/>
      <c r="H975" s="147"/>
      <c r="I975" s="317"/>
      <c r="N975" s="20"/>
      <c r="O975" s="286"/>
      <c r="P975" s="71"/>
      <c r="Q975" s="20"/>
      <c r="R975" s="290"/>
      <c r="S975" s="162"/>
      <c r="T975" s="162"/>
      <c r="U975" s="165"/>
      <c r="V975" s="165"/>
      <c r="W975" s="316"/>
      <c r="X975" s="165"/>
      <c r="Y975" s="20"/>
      <c r="Z975" s="20"/>
      <c r="AA975" s="20"/>
      <c r="AB975" s="20"/>
    </row>
    <row r="976" spans="1:28">
      <c r="A976" s="3" t="s">
        <v>342</v>
      </c>
      <c r="C976" s="148">
        <f>5858</f>
        <v>5858</v>
      </c>
      <c r="D976" s="148">
        <f>ROUND(($D$1001/$C$1001)*C976,0)</f>
        <v>5664</v>
      </c>
      <c r="E976" s="149">
        <v>8.23</v>
      </c>
      <c r="G976" s="2">
        <f>ROUND(E976*$C976,0)</f>
        <v>48211</v>
      </c>
      <c r="H976" s="2">
        <f>ROUND(E976*$D976,0)</f>
        <v>46615</v>
      </c>
      <c r="I976" s="149">
        <v>8.23</v>
      </c>
      <c r="K976" s="2">
        <f>ROUND(I976*$D976,0)</f>
        <v>46615</v>
      </c>
      <c r="M976" s="81">
        <f>I976*D976</f>
        <v>46614.720000000001</v>
      </c>
      <c r="N976" s="20"/>
      <c r="O976" s="286">
        <v>76</v>
      </c>
      <c r="P976" s="71">
        <f>O976*D976</f>
        <v>430464</v>
      </c>
      <c r="Q976" s="287" t="e">
        <f>O976*$P$1001</f>
        <v>#REF!</v>
      </c>
      <c r="R976" s="288" t="e">
        <f>ROUND(E976+Q976,2)</f>
        <v>#REF!</v>
      </c>
      <c r="S976" s="20"/>
      <c r="T976" s="20"/>
      <c r="U976" s="165"/>
      <c r="V976" s="165"/>
      <c r="W976" s="316"/>
      <c r="X976" s="165"/>
      <c r="Y976" s="20"/>
      <c r="Z976" s="20"/>
      <c r="AA976" s="20"/>
      <c r="AB976" s="20"/>
    </row>
    <row r="977" spans="1:28">
      <c r="A977" s="3" t="s">
        <v>343</v>
      </c>
      <c r="C977" s="148">
        <f>8</f>
        <v>8</v>
      </c>
      <c r="D977" s="148">
        <f>ROUND(($D$1001/$C$1001)*C977,0)</f>
        <v>8</v>
      </c>
      <c r="E977" s="149">
        <v>15</v>
      </c>
      <c r="G977" s="2">
        <f>ROUND(E977*$C977,0)</f>
        <v>120</v>
      </c>
      <c r="H977" s="2">
        <f>ROUND(E977*$D977,0)</f>
        <v>120</v>
      </c>
      <c r="I977" s="149">
        <v>15</v>
      </c>
      <c r="K977" s="2">
        <f>ROUND(I977*$D977,0)</f>
        <v>120</v>
      </c>
      <c r="M977" s="81">
        <f>I977*D977</f>
        <v>120</v>
      </c>
      <c r="N977" s="20"/>
      <c r="O977" s="286">
        <v>172</v>
      </c>
      <c r="P977" s="71">
        <f>O977*D977</f>
        <v>1376</v>
      </c>
      <c r="Q977" s="287" t="e">
        <f>O977*$P$1001</f>
        <v>#REF!</v>
      </c>
      <c r="R977" s="288" t="e">
        <f>ROUND(E977+Q977,2)</f>
        <v>#REF!</v>
      </c>
      <c r="S977" s="20"/>
      <c r="T977" s="20"/>
      <c r="U977" s="165"/>
      <c r="V977" s="165"/>
      <c r="W977" s="316"/>
      <c r="X977" s="165"/>
      <c r="Y977" s="20"/>
      <c r="Z977" s="20"/>
      <c r="AA977" s="20"/>
      <c r="AB977" s="20"/>
    </row>
    <row r="978" spans="1:28">
      <c r="A978" s="314" t="s">
        <v>498</v>
      </c>
      <c r="C978" s="148"/>
      <c r="D978" s="148"/>
      <c r="E978" s="149"/>
      <c r="G978" s="2"/>
      <c r="H978" s="2"/>
      <c r="I978" s="149"/>
      <c r="K978" s="2"/>
      <c r="N978" s="20"/>
      <c r="O978" s="286"/>
      <c r="P978" s="71"/>
      <c r="Q978" s="20"/>
      <c r="R978" s="78"/>
      <c r="S978" s="20"/>
      <c r="T978" s="20"/>
      <c r="U978" s="20"/>
      <c r="V978" s="20"/>
      <c r="W978" s="316"/>
      <c r="X978" s="20"/>
      <c r="Y978" s="20"/>
      <c r="Z978" s="20"/>
      <c r="AA978" s="20"/>
      <c r="AB978" s="20"/>
    </row>
    <row r="979" spans="1:28">
      <c r="A979" s="3" t="s">
        <v>496</v>
      </c>
      <c r="C979" s="148"/>
      <c r="D979" s="148"/>
      <c r="E979" s="317"/>
      <c r="G979" s="147"/>
      <c r="H979" s="147"/>
      <c r="I979" s="317"/>
      <c r="N979" s="20"/>
      <c r="O979" s="318"/>
      <c r="P979" s="71"/>
      <c r="Q979" s="20"/>
      <c r="R979" s="78"/>
      <c r="S979" s="20"/>
      <c r="T979" s="20"/>
      <c r="U979" s="20"/>
      <c r="V979" s="20"/>
      <c r="W979" s="316"/>
      <c r="X979" s="20"/>
      <c r="Y979" s="20"/>
      <c r="Z979" s="20"/>
      <c r="AA979" s="20"/>
      <c r="AB979" s="20"/>
    </row>
    <row r="980" spans="1:28">
      <c r="A980" s="3" t="s">
        <v>342</v>
      </c>
      <c r="C980" s="148">
        <f>91</f>
        <v>91</v>
      </c>
      <c r="D980" s="148">
        <f>ROUND(($D$1001/$C$1001)*C980,0)</f>
        <v>88</v>
      </c>
      <c r="E980" s="149">
        <v>11.47</v>
      </c>
      <c r="G980" s="2">
        <f>ROUND(E980*$C980,0)</f>
        <v>1044</v>
      </c>
      <c r="H980" s="2">
        <f>ROUND(E980*$D980,0)</f>
        <v>1009</v>
      </c>
      <c r="I980" s="149">
        <v>11.47</v>
      </c>
      <c r="K980" s="2">
        <f>ROUND(I980*$D980,0)</f>
        <v>1009</v>
      </c>
      <c r="M980" s="81">
        <f>I980*D980</f>
        <v>1009.36</v>
      </c>
      <c r="N980" s="20"/>
      <c r="O980" s="286">
        <v>76</v>
      </c>
      <c r="P980" s="71">
        <f>O980*D980</f>
        <v>6688</v>
      </c>
      <c r="Q980" s="287" t="e">
        <f>O980*$P$1001</f>
        <v>#REF!</v>
      </c>
      <c r="R980" s="288" t="e">
        <f>ROUND(E980+Q980,2)</f>
        <v>#REF!</v>
      </c>
      <c r="S980" s="20"/>
      <c r="T980" s="20"/>
      <c r="U980" s="165"/>
      <c r="V980" s="165"/>
      <c r="W980" s="316"/>
      <c r="X980" s="165"/>
      <c r="Y980" s="20"/>
      <c r="Z980" s="20"/>
      <c r="AA980" s="20"/>
      <c r="AB980" s="20"/>
    </row>
    <row r="981" spans="1:28">
      <c r="A981" s="3" t="s">
        <v>343</v>
      </c>
      <c r="C981" s="148">
        <f>324</f>
        <v>324</v>
      </c>
      <c r="D981" s="148">
        <f>ROUND(($D$1001/$C$1001)*C981,0)</f>
        <v>313</v>
      </c>
      <c r="E981" s="149">
        <v>19.260000000000002</v>
      </c>
      <c r="G981" s="2">
        <f>ROUND(E981*$C981,0)</f>
        <v>6240</v>
      </c>
      <c r="H981" s="2">
        <f>ROUND(E981*$D981,0)</f>
        <v>6028</v>
      </c>
      <c r="I981" s="149">
        <v>19.260000000000002</v>
      </c>
      <c r="K981" s="2">
        <f>ROUND(I981*$D981,0)</f>
        <v>6028</v>
      </c>
      <c r="M981" s="81">
        <f>I981*D981</f>
        <v>6028.38</v>
      </c>
      <c r="N981" s="20"/>
      <c r="O981" s="286">
        <v>172</v>
      </c>
      <c r="P981" s="71">
        <f>O981*D981</f>
        <v>53836</v>
      </c>
      <c r="Q981" s="287" t="e">
        <f>O981*$P$1001</f>
        <v>#REF!</v>
      </c>
      <c r="R981" s="288" t="e">
        <f>ROUND(E981+Q981,2)</f>
        <v>#REF!</v>
      </c>
      <c r="S981" s="313"/>
      <c r="T981" s="313"/>
      <c r="U981" s="165"/>
      <c r="V981" s="165"/>
      <c r="W981" s="316"/>
      <c r="X981" s="165"/>
      <c r="Y981" s="20"/>
      <c r="Z981" s="20"/>
      <c r="AA981" s="20"/>
      <c r="AB981" s="20"/>
    </row>
    <row r="982" spans="1:28">
      <c r="A982" s="3" t="s">
        <v>344</v>
      </c>
      <c r="C982" s="148">
        <v>0</v>
      </c>
      <c r="D982" s="148">
        <f>ROUND(($D$1001/$C$1001)*C982,0)</f>
        <v>0</v>
      </c>
      <c r="E982" s="149">
        <v>35.75</v>
      </c>
      <c r="G982" s="2">
        <f>ROUND(E982*$C982,0)</f>
        <v>0</v>
      </c>
      <c r="H982" s="2">
        <f>ROUND(E982*$D982,0)</f>
        <v>0</v>
      </c>
      <c r="I982" s="149">
        <v>35.75</v>
      </c>
      <c r="K982" s="2">
        <f>ROUND(I982*$D982,0)</f>
        <v>0</v>
      </c>
      <c r="M982" s="81">
        <f>I982*D982</f>
        <v>0</v>
      </c>
      <c r="N982" s="20"/>
      <c r="O982" s="286">
        <v>412</v>
      </c>
      <c r="P982" s="71">
        <f>O982*D982</f>
        <v>0</v>
      </c>
      <c r="Q982" s="287" t="e">
        <f>O982*$P$1001</f>
        <v>#REF!</v>
      </c>
      <c r="R982" s="288" t="e">
        <f>ROUND(E982+Q982,2)</f>
        <v>#REF!</v>
      </c>
      <c r="S982" s="313"/>
      <c r="T982" s="313"/>
      <c r="U982" s="165"/>
      <c r="V982" s="165"/>
      <c r="W982" s="316"/>
      <c r="X982" s="165"/>
      <c r="Y982" s="20"/>
      <c r="Z982" s="20"/>
      <c r="AA982" s="20"/>
      <c r="AB982" s="20"/>
    </row>
    <row r="983" spans="1:28">
      <c r="A983" s="3" t="s">
        <v>497</v>
      </c>
      <c r="C983" s="148"/>
      <c r="D983" s="148"/>
      <c r="E983" s="317"/>
      <c r="G983" s="147"/>
      <c r="H983" s="147"/>
      <c r="I983" s="317"/>
      <c r="M983" s="20"/>
      <c r="N983" s="20"/>
      <c r="O983" s="41"/>
      <c r="P983" s="319"/>
      <c r="Q983" s="319"/>
      <c r="R983" s="320"/>
      <c r="S983" s="313"/>
      <c r="T983" s="313"/>
      <c r="U983" s="321"/>
      <c r="V983" s="20"/>
      <c r="W983" s="316"/>
      <c r="X983" s="20"/>
      <c r="Y983" s="20"/>
      <c r="Z983" s="20"/>
      <c r="AA983" s="20"/>
      <c r="AB983" s="20"/>
    </row>
    <row r="984" spans="1:28">
      <c r="A984" s="3" t="s">
        <v>342</v>
      </c>
      <c r="C984" s="148">
        <v>0</v>
      </c>
      <c r="D984" s="148">
        <f>ROUND(($D$1001/$C$1001)*C984,0)</f>
        <v>0</v>
      </c>
      <c r="E984" s="149">
        <v>10.86</v>
      </c>
      <c r="G984" s="2">
        <f>ROUND(E984*$C984,0)</f>
        <v>0</v>
      </c>
      <c r="H984" s="2">
        <f>ROUND(E984*$D984,0)</f>
        <v>0</v>
      </c>
      <c r="I984" s="149">
        <v>10.86</v>
      </c>
      <c r="K984" s="2">
        <f>ROUND(I984*$D984,0)</f>
        <v>0</v>
      </c>
      <c r="M984" s="81">
        <f>I984*D984</f>
        <v>0</v>
      </c>
      <c r="N984" s="20"/>
      <c r="O984" s="286">
        <v>76</v>
      </c>
      <c r="P984" s="71">
        <f>O984*D984</f>
        <v>0</v>
      </c>
      <c r="Q984" s="287" t="e">
        <f>O984*$P$1001</f>
        <v>#REF!</v>
      </c>
      <c r="R984" s="288" t="e">
        <f>ROUND(E984+Q984,2)</f>
        <v>#REF!</v>
      </c>
      <c r="S984" s="313"/>
      <c r="T984" s="313"/>
      <c r="U984" s="165"/>
      <c r="V984" s="165"/>
      <c r="W984" s="316"/>
      <c r="X984" s="165"/>
      <c r="Y984" s="20"/>
      <c r="Z984" s="20"/>
      <c r="AA984" s="20"/>
      <c r="AB984" s="20"/>
    </row>
    <row r="985" spans="1:28">
      <c r="A985" s="3" t="s">
        <v>343</v>
      </c>
      <c r="C985" s="148">
        <v>0</v>
      </c>
      <c r="D985" s="148">
        <f>ROUND(($D$1001/$C$1001)*C985,0)</f>
        <v>0</v>
      </c>
      <c r="E985" s="149">
        <v>18.21</v>
      </c>
      <c r="G985" s="2">
        <f>ROUND(E985*$C985,0)</f>
        <v>0</v>
      </c>
      <c r="H985" s="2">
        <f>ROUND(E985*$D985,0)</f>
        <v>0</v>
      </c>
      <c r="I985" s="149">
        <v>18.21</v>
      </c>
      <c r="K985" s="2">
        <f>ROUND(I985*$D985,0)</f>
        <v>0</v>
      </c>
      <c r="M985" s="81">
        <f>I985*D985</f>
        <v>0</v>
      </c>
      <c r="N985" s="20"/>
      <c r="O985" s="286">
        <v>172</v>
      </c>
      <c r="P985" s="71">
        <f>O985*D985</f>
        <v>0</v>
      </c>
      <c r="Q985" s="287" t="e">
        <f>O985*$P$1001</f>
        <v>#REF!</v>
      </c>
      <c r="R985" s="288" t="e">
        <f>ROUND(E985+Q985,2)</f>
        <v>#REF!</v>
      </c>
      <c r="S985" s="313"/>
      <c r="T985" s="313"/>
      <c r="U985" s="165"/>
      <c r="V985" s="165"/>
      <c r="W985" s="316"/>
      <c r="X985" s="165"/>
      <c r="Y985" s="20"/>
      <c r="Z985" s="20"/>
      <c r="AA985" s="20"/>
      <c r="AB985" s="20"/>
    </row>
    <row r="986" spans="1:28">
      <c r="A986" s="314" t="s">
        <v>499</v>
      </c>
      <c r="B986" s="187"/>
      <c r="C986" s="148"/>
      <c r="D986" s="148"/>
      <c r="E986" s="317"/>
      <c r="F986" s="187"/>
      <c r="G986" s="187"/>
      <c r="H986" s="187"/>
      <c r="I986" s="317"/>
      <c r="J986" s="187"/>
      <c r="K986" s="187"/>
      <c r="M986" s="20"/>
      <c r="N986" s="20"/>
      <c r="O986" s="41"/>
      <c r="P986" s="319"/>
      <c r="Q986" s="319"/>
      <c r="R986" s="320"/>
      <c r="S986" s="313"/>
      <c r="T986" s="313"/>
      <c r="U986" s="321"/>
      <c r="V986" s="20"/>
      <c r="W986" s="316"/>
      <c r="X986" s="20"/>
      <c r="Y986" s="20"/>
      <c r="Z986" s="20"/>
      <c r="AA986" s="20"/>
      <c r="AB986" s="20"/>
    </row>
    <row r="987" spans="1:28">
      <c r="A987" s="3" t="s">
        <v>496</v>
      </c>
      <c r="C987" s="148"/>
      <c r="D987" s="148"/>
      <c r="E987" s="317"/>
      <c r="G987" s="147"/>
      <c r="H987" s="147"/>
      <c r="I987" s="317"/>
      <c r="M987" s="20"/>
      <c r="N987" s="20"/>
      <c r="O987" s="41"/>
      <c r="P987" s="319"/>
      <c r="Q987" s="319"/>
      <c r="R987" s="320"/>
      <c r="S987" s="313"/>
      <c r="T987" s="313"/>
      <c r="U987" s="321"/>
      <c r="V987" s="20"/>
      <c r="W987" s="316"/>
      <c r="X987" s="20"/>
      <c r="Y987" s="20"/>
      <c r="Z987" s="20"/>
      <c r="AA987" s="20"/>
      <c r="AB987" s="20"/>
    </row>
    <row r="988" spans="1:28">
      <c r="A988" s="3" t="s">
        <v>342</v>
      </c>
      <c r="C988" s="148">
        <v>0</v>
      </c>
      <c r="D988" s="148">
        <f>ROUND(($D$1001/$C$1001)*C988,0)</f>
        <v>0</v>
      </c>
      <c r="E988" s="149">
        <v>11.47</v>
      </c>
      <c r="G988" s="2">
        <f>ROUND(E988*$C988,0)</f>
        <v>0</v>
      </c>
      <c r="H988" s="2">
        <f>ROUND(E988*$D988,0)</f>
        <v>0</v>
      </c>
      <c r="I988" s="149">
        <v>11.47</v>
      </c>
      <c r="K988" s="2">
        <f>ROUND(I988*$D988,0)</f>
        <v>0</v>
      </c>
      <c r="M988" s="81">
        <f>I988*D988</f>
        <v>0</v>
      </c>
      <c r="N988" s="20"/>
      <c r="O988" s="286">
        <v>76</v>
      </c>
      <c r="P988" s="71">
        <f>O988*D988</f>
        <v>0</v>
      </c>
      <c r="Q988" s="287" t="e">
        <f>O988*$P$1001</f>
        <v>#REF!</v>
      </c>
      <c r="R988" s="288" t="e">
        <f>ROUND(E988+Q988,2)</f>
        <v>#REF!</v>
      </c>
      <c r="S988" s="313"/>
      <c r="T988" s="313"/>
      <c r="U988" s="165"/>
      <c r="V988" s="165"/>
      <c r="W988" s="316"/>
      <c r="X988" s="165"/>
      <c r="Y988" s="20"/>
      <c r="Z988" s="20"/>
      <c r="AA988" s="20"/>
      <c r="AB988" s="20"/>
    </row>
    <row r="989" spans="1:28">
      <c r="A989" s="3" t="s">
        <v>343</v>
      </c>
      <c r="C989" s="148">
        <v>0</v>
      </c>
      <c r="D989" s="148">
        <f>ROUND(($D$1001/$C$1001)*C989,0)</f>
        <v>0</v>
      </c>
      <c r="E989" s="149">
        <v>18.649999999999999</v>
      </c>
      <c r="G989" s="2">
        <f>ROUND(E989*$C989,0)</f>
        <v>0</v>
      </c>
      <c r="H989" s="2">
        <f>ROUND(E989*$D989,0)</f>
        <v>0</v>
      </c>
      <c r="I989" s="149">
        <v>18.649999999999999</v>
      </c>
      <c r="K989" s="2">
        <f>ROUND(I989*$D989,0)</f>
        <v>0</v>
      </c>
      <c r="M989" s="81">
        <f>I989*D989</f>
        <v>0</v>
      </c>
      <c r="N989" s="20"/>
      <c r="O989" s="286">
        <v>172</v>
      </c>
      <c r="P989" s="71">
        <f>O989*D989</f>
        <v>0</v>
      </c>
      <c r="Q989" s="287" t="e">
        <f>O989*$P$1001</f>
        <v>#REF!</v>
      </c>
      <c r="R989" s="288" t="e">
        <f>ROUND(E989+Q989,2)</f>
        <v>#REF!</v>
      </c>
      <c r="S989" s="313"/>
      <c r="T989" s="313"/>
      <c r="U989" s="165"/>
      <c r="V989" s="165"/>
      <c r="W989" s="316"/>
      <c r="X989" s="165"/>
      <c r="Y989" s="20"/>
      <c r="Z989" s="20"/>
      <c r="AA989" s="20"/>
      <c r="AB989" s="20"/>
    </row>
    <row r="990" spans="1:28">
      <c r="A990" s="3" t="s">
        <v>344</v>
      </c>
      <c r="C990" s="148">
        <v>0</v>
      </c>
      <c r="D990" s="148">
        <f>ROUND(($D$1001/$C$1001)*C990,0)</f>
        <v>0</v>
      </c>
      <c r="E990" s="149">
        <v>35.130000000000003</v>
      </c>
      <c r="G990" s="2">
        <f>ROUND(E990*$C990,0)</f>
        <v>0</v>
      </c>
      <c r="H990" s="2">
        <f>ROUND(E990*$D990,0)</f>
        <v>0</v>
      </c>
      <c r="I990" s="149">
        <v>35.130000000000003</v>
      </c>
      <c r="K990" s="2">
        <f>ROUND(I990*$D990,0)</f>
        <v>0</v>
      </c>
      <c r="M990" s="81">
        <f>I990*D990</f>
        <v>0</v>
      </c>
      <c r="N990" s="20"/>
      <c r="O990" s="286">
        <v>412</v>
      </c>
      <c r="P990" s="71">
        <f>O990*D990</f>
        <v>0</v>
      </c>
      <c r="Q990" s="287" t="e">
        <f>O990*$P$1001</f>
        <v>#REF!</v>
      </c>
      <c r="R990" s="288" t="e">
        <f>ROUND(E990+Q990,2)</f>
        <v>#REF!</v>
      </c>
      <c r="S990" s="313"/>
      <c r="T990" s="313"/>
      <c r="U990" s="165"/>
      <c r="V990" s="165"/>
      <c r="W990" s="316"/>
      <c r="X990" s="165"/>
      <c r="Y990" s="20"/>
      <c r="Z990" s="20"/>
      <c r="AA990" s="20"/>
      <c r="AB990" s="20"/>
    </row>
    <row r="991" spans="1:28">
      <c r="A991" s="3" t="s">
        <v>497</v>
      </c>
      <c r="C991" s="148"/>
      <c r="D991" s="148"/>
      <c r="E991" s="317"/>
      <c r="G991" s="147"/>
      <c r="H991" s="147"/>
      <c r="I991" s="317"/>
      <c r="M991" s="20"/>
      <c r="N991" s="20"/>
      <c r="O991" s="41"/>
      <c r="P991" s="319"/>
      <c r="Q991" s="319"/>
      <c r="R991" s="320"/>
      <c r="S991" s="313"/>
      <c r="T991" s="313"/>
      <c r="U991" s="321"/>
      <c r="V991" s="20"/>
      <c r="W991" s="316"/>
      <c r="X991" s="20"/>
      <c r="Y991" s="20"/>
      <c r="Z991" s="20"/>
      <c r="AA991" s="20"/>
      <c r="AB991" s="20"/>
    </row>
    <row r="992" spans="1:28">
      <c r="A992" s="3" t="s">
        <v>342</v>
      </c>
      <c r="C992" s="148">
        <v>0</v>
      </c>
      <c r="D992" s="148">
        <f>ROUND(($D$1001/$C$1001)*C992,0)</f>
        <v>0</v>
      </c>
      <c r="E992" s="149">
        <v>10.86</v>
      </c>
      <c r="G992" s="2">
        <f>ROUND(E992*$C992,0)</f>
        <v>0</v>
      </c>
      <c r="H992" s="2">
        <f>ROUND(E992*$D992,0)</f>
        <v>0</v>
      </c>
      <c r="I992" s="149">
        <v>10.86</v>
      </c>
      <c r="K992" s="2">
        <f>ROUND(I992*$D992,0)</f>
        <v>0</v>
      </c>
      <c r="M992" s="81">
        <f>I992*D992</f>
        <v>0</v>
      </c>
      <c r="N992" s="20"/>
      <c r="O992" s="286">
        <v>76</v>
      </c>
      <c r="P992" s="71">
        <f>O992*D992</f>
        <v>0</v>
      </c>
      <c r="Q992" s="287" t="e">
        <f>O992*$P$1001</f>
        <v>#REF!</v>
      </c>
      <c r="R992" s="288" t="e">
        <f>ROUND(E992+Q992,2)</f>
        <v>#REF!</v>
      </c>
      <c r="S992" s="313"/>
      <c r="T992" s="313"/>
      <c r="U992" s="165"/>
      <c r="V992" s="165"/>
      <c r="W992" s="316"/>
      <c r="X992" s="165"/>
      <c r="Y992" s="20"/>
      <c r="Z992" s="20"/>
      <c r="AA992" s="20"/>
      <c r="AB992" s="20"/>
    </row>
    <row r="993" spans="1:28">
      <c r="A993" s="3" t="s">
        <v>343</v>
      </c>
      <c r="C993" s="148">
        <v>0</v>
      </c>
      <c r="D993" s="148">
        <f>ROUND(($D$1001/$C$1001)*C993,0)</f>
        <v>0</v>
      </c>
      <c r="E993" s="149">
        <v>17.600000000000001</v>
      </c>
      <c r="G993" s="2">
        <f>ROUND(E993*$C993,0)</f>
        <v>0</v>
      </c>
      <c r="H993" s="2">
        <f>ROUND(E993*$D993,0)</f>
        <v>0</v>
      </c>
      <c r="I993" s="149">
        <v>17.600000000000001</v>
      </c>
      <c r="K993" s="2">
        <f>ROUND(I993*$D993,0)</f>
        <v>0</v>
      </c>
      <c r="M993" s="81">
        <f>I993*D993</f>
        <v>0</v>
      </c>
      <c r="N993" s="20"/>
      <c r="O993" s="286">
        <v>172</v>
      </c>
      <c r="P993" s="71">
        <f>O993*D993</f>
        <v>0</v>
      </c>
      <c r="Q993" s="287" t="e">
        <f>O993*$P$1001</f>
        <v>#REF!</v>
      </c>
      <c r="R993" s="288" t="e">
        <f>ROUND(E993+Q993,2)</f>
        <v>#REF!</v>
      </c>
      <c r="S993" s="313"/>
      <c r="T993" s="313"/>
      <c r="U993" s="165"/>
      <c r="V993" s="165"/>
      <c r="W993" s="316"/>
      <c r="X993" s="165"/>
      <c r="Y993" s="20"/>
      <c r="Z993" s="20"/>
      <c r="AA993" s="20"/>
      <c r="AB993" s="20"/>
    </row>
    <row r="994" spans="1:28">
      <c r="A994" s="314" t="s">
        <v>500</v>
      </c>
      <c r="B994" s="187"/>
      <c r="C994" s="148"/>
      <c r="D994" s="148"/>
      <c r="E994" s="317"/>
      <c r="F994" s="187"/>
      <c r="G994" s="187"/>
      <c r="H994" s="187"/>
      <c r="I994" s="317"/>
      <c r="J994" s="187"/>
      <c r="K994" s="187"/>
      <c r="M994" s="20"/>
      <c r="N994" s="20"/>
      <c r="O994" s="41"/>
      <c r="P994" s="319"/>
      <c r="Q994" s="319"/>
      <c r="R994" s="320"/>
      <c r="S994" s="313"/>
      <c r="T994" s="313"/>
      <c r="U994" s="321"/>
      <c r="V994" s="20"/>
      <c r="W994" s="316"/>
      <c r="X994" s="20"/>
      <c r="Y994" s="20"/>
      <c r="Z994" s="20"/>
      <c r="AA994" s="20"/>
      <c r="AB994" s="20"/>
    </row>
    <row r="995" spans="1:28">
      <c r="A995" s="3" t="s">
        <v>342</v>
      </c>
      <c r="C995" s="148">
        <f>2270</f>
        <v>2270</v>
      </c>
      <c r="D995" s="148">
        <f>ROUND(($D$1001/$C$1001)*C995,0)</f>
        <v>2195</v>
      </c>
      <c r="E995" s="149">
        <v>9.18</v>
      </c>
      <c r="G995" s="2">
        <f>ROUND(E995*$C995,0)</f>
        <v>20839</v>
      </c>
      <c r="H995" s="2">
        <f>ROUND(E995*$D995,0)</f>
        <v>20150</v>
      </c>
      <c r="I995" s="149">
        <v>9.18</v>
      </c>
      <c r="K995" s="2">
        <f>ROUND(I995*$D995,0)</f>
        <v>20150</v>
      </c>
      <c r="M995" s="81">
        <f>I995*D995</f>
        <v>20150.099999999999</v>
      </c>
      <c r="N995" s="20"/>
      <c r="O995" s="286">
        <v>76</v>
      </c>
      <c r="P995" s="71">
        <f>O995*D995</f>
        <v>166820</v>
      </c>
      <c r="Q995" s="287" t="e">
        <f>O995*$P$1001</f>
        <v>#REF!</v>
      </c>
      <c r="R995" s="288" t="e">
        <f>ROUND(E995+Q995,2)</f>
        <v>#REF!</v>
      </c>
      <c r="S995" s="313"/>
      <c r="T995" s="313"/>
      <c r="U995" s="165"/>
      <c r="V995" s="165"/>
      <c r="W995" s="316"/>
      <c r="X995" s="165"/>
      <c r="Y995" s="20"/>
      <c r="Z995" s="20"/>
      <c r="AA995" s="20"/>
      <c r="AB995" s="20"/>
    </row>
    <row r="996" spans="1:28">
      <c r="A996" s="3" t="s">
        <v>343</v>
      </c>
      <c r="C996" s="148">
        <f>1694</f>
        <v>1694</v>
      </c>
      <c r="D996" s="148">
        <f>ROUND(($D$1001/$C$1001)*C996,0)</f>
        <v>1638</v>
      </c>
      <c r="E996" s="149">
        <v>16.079999999999998</v>
      </c>
      <c r="G996" s="2">
        <f>ROUND(E996*$C996,0)</f>
        <v>27240</v>
      </c>
      <c r="H996" s="2">
        <f>ROUND(E996*$D996,0)</f>
        <v>26339</v>
      </c>
      <c r="I996" s="149">
        <v>16.079999999999998</v>
      </c>
      <c r="K996" s="2">
        <f>ROUND(I996*$D996,0)</f>
        <v>26339</v>
      </c>
      <c r="M996" s="81">
        <f>I996*D996</f>
        <v>26339.039999999997</v>
      </c>
      <c r="N996" s="20"/>
      <c r="O996" s="286">
        <v>172</v>
      </c>
      <c r="P996" s="71">
        <f>O996*D996</f>
        <v>281736</v>
      </c>
      <c r="Q996" s="287" t="e">
        <f>O996*$P$1001</f>
        <v>#REF!</v>
      </c>
      <c r="R996" s="288" t="e">
        <f>ROUND(E996+Q996,2)</f>
        <v>#REF!</v>
      </c>
      <c r="S996" s="313"/>
      <c r="T996" s="313"/>
      <c r="U996" s="165"/>
      <c r="V996" s="165"/>
      <c r="W996" s="316"/>
      <c r="X996" s="165"/>
      <c r="Y996" s="20"/>
      <c r="Z996" s="20"/>
      <c r="AA996" s="20"/>
      <c r="AB996" s="20"/>
    </row>
    <row r="997" spans="1:28">
      <c r="A997" s="3" t="s">
        <v>344</v>
      </c>
      <c r="C997" s="148">
        <v>0</v>
      </c>
      <c r="D997" s="148">
        <f>ROUND(($D$1001/$C$1001)*C997,0)</f>
        <v>0</v>
      </c>
      <c r="E997" s="149">
        <v>34.340000000000003</v>
      </c>
      <c r="G997" s="2">
        <f>ROUND(E997*$C997,0)</f>
        <v>0</v>
      </c>
      <c r="H997" s="2">
        <f>ROUND(E997*$D997,0)</f>
        <v>0</v>
      </c>
      <c r="I997" s="149">
        <v>34.340000000000003</v>
      </c>
      <c r="K997" s="2">
        <f>ROUND(I997*$D997,0)</f>
        <v>0</v>
      </c>
      <c r="M997" s="81">
        <f>I997*D997</f>
        <v>0</v>
      </c>
      <c r="N997" s="20"/>
      <c r="O997" s="286">
        <v>412</v>
      </c>
      <c r="P997" s="71">
        <f>O997*D997</f>
        <v>0</v>
      </c>
      <c r="Q997" s="287" t="e">
        <f>O997*$P$1001</f>
        <v>#REF!</v>
      </c>
      <c r="R997" s="288" t="e">
        <f>ROUND(E997+Q997,2)</f>
        <v>#REF!</v>
      </c>
      <c r="S997" s="313"/>
      <c r="T997" s="313"/>
      <c r="U997" s="165"/>
      <c r="V997" s="165"/>
      <c r="W997" s="316"/>
      <c r="X997" s="165"/>
      <c r="Y997" s="20"/>
      <c r="Z997" s="20"/>
      <c r="AA997" s="20"/>
      <c r="AB997" s="20"/>
    </row>
    <row r="998" spans="1:28">
      <c r="A998" s="5" t="s">
        <v>501</v>
      </c>
      <c r="C998" s="148"/>
      <c r="D998" s="148"/>
      <c r="E998" s="149"/>
      <c r="G998" s="2"/>
      <c r="H998" s="2"/>
      <c r="I998" s="149"/>
      <c r="K998" s="2"/>
      <c r="M998" s="20"/>
      <c r="N998" s="20"/>
      <c r="O998" s="41"/>
      <c r="P998" s="319"/>
      <c r="Q998" s="319"/>
      <c r="R998" s="322"/>
      <c r="S998" s="313"/>
      <c r="T998" s="313"/>
      <c r="U998" s="321"/>
      <c r="V998" s="20"/>
      <c r="W998" s="316"/>
      <c r="X998" s="20"/>
      <c r="Y998" s="20"/>
      <c r="Z998" s="20"/>
      <c r="AA998" s="20"/>
      <c r="AB998" s="20"/>
    </row>
    <row r="999" spans="1:28">
      <c r="A999" s="3" t="s">
        <v>502</v>
      </c>
      <c r="C999" s="148">
        <f>96</f>
        <v>96</v>
      </c>
      <c r="D999" s="148">
        <f>ROUND(($D$1001/$C$1001)*C999,0)</f>
        <v>93</v>
      </c>
      <c r="E999" s="149">
        <v>32.950000000000003</v>
      </c>
      <c r="G999" s="2">
        <f>ROUND(E999*$C999,0)</f>
        <v>3163</v>
      </c>
      <c r="H999" s="2">
        <f>ROUND(E999*$D999,0)</f>
        <v>3064</v>
      </c>
      <c r="I999" s="149">
        <v>32.950000000000003</v>
      </c>
      <c r="K999" s="2">
        <f>ROUND(I999*$D999,0)</f>
        <v>3064</v>
      </c>
      <c r="M999" s="81">
        <f>I999*D999</f>
        <v>3064.3500000000004</v>
      </c>
      <c r="N999" s="20"/>
      <c r="O999" s="286">
        <v>172</v>
      </c>
      <c r="P999" s="71">
        <f>O999*D999</f>
        <v>15996</v>
      </c>
      <c r="Q999" s="287" t="e">
        <f>O999*$P$1001</f>
        <v>#REF!</v>
      </c>
      <c r="R999" s="288" t="e">
        <f>ROUND(E999+Q999,2)</f>
        <v>#REF!</v>
      </c>
      <c r="S999" s="313"/>
      <c r="T999" s="313"/>
      <c r="U999" s="165"/>
      <c r="V999" s="165"/>
      <c r="W999" s="316"/>
      <c r="X999" s="165"/>
      <c r="Y999" s="20"/>
      <c r="Z999" s="20"/>
      <c r="AA999" s="20"/>
      <c r="AB999" s="20"/>
    </row>
    <row r="1000" spans="1:28">
      <c r="A1000" s="3" t="s">
        <v>350</v>
      </c>
      <c r="C1000" s="148">
        <f>608</f>
        <v>608</v>
      </c>
      <c r="D1000" s="148">
        <v>588</v>
      </c>
      <c r="E1000" s="323"/>
      <c r="G1000" s="2"/>
      <c r="H1000" s="2"/>
      <c r="I1000" s="323"/>
      <c r="K1000" s="2"/>
      <c r="N1000" s="20"/>
      <c r="O1000" s="286"/>
      <c r="P1000" s="324" t="e">
        <f>O1003-H1003</f>
        <v>#REF!</v>
      </c>
      <c r="Q1000" s="20"/>
      <c r="R1000" s="290"/>
      <c r="S1000" s="162"/>
      <c r="T1000" s="162"/>
      <c r="U1000" s="165"/>
      <c r="V1000" s="165"/>
      <c r="W1000" s="165"/>
      <c r="X1000" s="165"/>
      <c r="Y1000" s="20"/>
      <c r="Z1000" s="20"/>
      <c r="AA1000" s="20"/>
      <c r="AB1000" s="20"/>
    </row>
    <row r="1001" spans="1:28">
      <c r="A1001" s="3" t="s">
        <v>369</v>
      </c>
      <c r="C1001" s="148">
        <v>2147214</v>
      </c>
      <c r="D1001" s="148">
        <v>2075987.7990116791</v>
      </c>
      <c r="E1001" s="153"/>
      <c r="F1001" s="20"/>
      <c r="G1001" s="156">
        <f>SUM(G972:G999)</f>
        <v>233013</v>
      </c>
      <c r="H1001" s="156">
        <f>SUM(H972:H999)</f>
        <v>225301</v>
      </c>
      <c r="I1001" s="153"/>
      <c r="J1001" s="20"/>
      <c r="K1001" s="156">
        <f>SUM(K972:K999)</f>
        <v>225301</v>
      </c>
      <c r="M1001" s="81">
        <f>SUM(M972:M1000)</f>
        <v>225302.50999999998</v>
      </c>
      <c r="N1001" s="20"/>
      <c r="O1001" s="325"/>
      <c r="P1001" s="326" t="e">
        <f>P1000/SUM(P972:P999)</f>
        <v>#REF!</v>
      </c>
      <c r="Q1001" s="109"/>
      <c r="R1001" s="327"/>
      <c r="S1001" s="162"/>
      <c r="T1001" s="162"/>
      <c r="U1001" s="172"/>
      <c r="V1001" s="162"/>
      <c r="W1001" s="162"/>
      <c r="X1001" s="162"/>
      <c r="Y1001" s="20"/>
      <c r="Z1001" s="20"/>
      <c r="AA1001" s="20"/>
      <c r="AB1001" s="20"/>
    </row>
    <row r="1002" spans="1:28">
      <c r="A1002" s="3" t="s">
        <v>351</v>
      </c>
      <c r="C1002" s="148">
        <v>26832.990592215094</v>
      </c>
      <c r="D1002" s="148">
        <v>0</v>
      </c>
      <c r="E1002" s="153"/>
      <c r="F1002" s="20"/>
      <c r="G1002" s="156">
        <v>2789.9580256418058</v>
      </c>
      <c r="H1002" s="156">
        <v>0</v>
      </c>
      <c r="I1002" s="153"/>
      <c r="J1002" s="20"/>
      <c r="K1002" s="156">
        <v>0</v>
      </c>
      <c r="M1002" s="173"/>
      <c r="N1002" s="328"/>
      <c r="O1002" s="171"/>
      <c r="P1002" s="162"/>
      <c r="Q1002" s="162"/>
      <c r="R1002" s="167"/>
      <c r="S1002" s="165"/>
      <c r="T1002" s="162"/>
      <c r="U1002" s="20"/>
      <c r="V1002" s="20"/>
      <c r="W1002" s="20"/>
      <c r="X1002" s="20"/>
      <c r="Y1002" s="20"/>
      <c r="Z1002" s="20"/>
      <c r="AA1002" s="20"/>
      <c r="AB1002" s="20"/>
    </row>
    <row r="1003" spans="1:28" ht="16.5" thickBot="1">
      <c r="A1003" s="3" t="s">
        <v>9</v>
      </c>
      <c r="C1003" s="157">
        <f>C1001+C1002</f>
        <v>2174046.9905922152</v>
      </c>
      <c r="D1003" s="157">
        <f>D1001+D1002</f>
        <v>2075987.7990116791</v>
      </c>
      <c r="E1003" s="158"/>
      <c r="F1003" s="158"/>
      <c r="G1003" s="158">
        <f>G1001+G1002</f>
        <v>235802.9580256418</v>
      </c>
      <c r="H1003" s="158">
        <f>H1001+H1002</f>
        <v>225301</v>
      </c>
      <c r="I1003" s="158"/>
      <c r="J1003" s="158"/>
      <c r="K1003" s="158">
        <f>K1001+K1002</f>
        <v>225301</v>
      </c>
      <c r="M1003" s="175"/>
      <c r="N1003" s="161" t="s">
        <v>397</v>
      </c>
      <c r="O1003" s="313" t="e">
        <f>#REF!*1000</f>
        <v>#REF!</v>
      </c>
      <c r="P1003" s="71"/>
      <c r="Q1003" s="162"/>
      <c r="R1003" s="162"/>
      <c r="S1003" s="162"/>
      <c r="T1003" s="162"/>
      <c r="U1003" s="20"/>
      <c r="V1003" s="20"/>
      <c r="W1003" s="20"/>
      <c r="X1003" s="20"/>
      <c r="Y1003" s="20"/>
      <c r="Z1003" s="20"/>
      <c r="AA1003" s="20"/>
      <c r="AB1003" s="20"/>
    </row>
    <row r="1004" spans="1:28" ht="16.5" thickTop="1">
      <c r="C1004" s="159"/>
      <c r="D1004" s="159"/>
      <c r="E1004" s="159"/>
      <c r="F1004" s="159"/>
      <c r="G1004" s="147"/>
      <c r="H1004" s="147"/>
      <c r="I1004" s="159" t="s">
        <v>31</v>
      </c>
      <c r="J1004" s="159"/>
      <c r="K1004" s="2" t="s">
        <v>31</v>
      </c>
      <c r="M1004" s="161"/>
      <c r="N1004" s="161" t="s">
        <v>256</v>
      </c>
      <c r="O1004" s="300" t="e">
        <f>O1003-K1003</f>
        <v>#REF!</v>
      </c>
      <c r="P1004" s="178" t="e">
        <f>(O1003-K1003)/K1003</f>
        <v>#REF!</v>
      </c>
      <c r="Q1004" s="162"/>
      <c r="R1004" s="162"/>
      <c r="S1004" s="162"/>
      <c r="T1004" s="162"/>
      <c r="U1004" s="20"/>
      <c r="V1004" s="20"/>
      <c r="W1004" s="20"/>
      <c r="X1004" s="20"/>
      <c r="Y1004" s="20"/>
      <c r="Z1004" s="20"/>
      <c r="AA1004" s="20"/>
      <c r="AB1004" s="20"/>
    </row>
    <row r="1005" spans="1:28">
      <c r="A1005" s="187"/>
      <c r="B1005" s="197"/>
      <c r="C1005" s="329"/>
      <c r="D1005" s="329"/>
      <c r="E1005" s="330"/>
      <c r="F1005" s="2"/>
      <c r="G1005" s="2"/>
      <c r="H1005" s="2"/>
      <c r="I1005" s="330"/>
      <c r="J1005" s="187"/>
      <c r="K1005" s="2"/>
      <c r="M1005" s="20"/>
      <c r="N1005" s="20"/>
      <c r="O1005" s="71"/>
      <c r="P1005" s="71"/>
      <c r="Q1005" s="20"/>
      <c r="R1005" s="20"/>
      <c r="S1005" s="20"/>
      <c r="T1005" s="20"/>
      <c r="U1005" s="20"/>
      <c r="V1005" s="20"/>
      <c r="W1005" s="20"/>
      <c r="X1005" s="20"/>
    </row>
    <row r="1006" spans="1:28" s="4" customFormat="1" ht="19.899999999999999" customHeight="1" thickBot="1">
      <c r="A1006" s="331" t="s">
        <v>503</v>
      </c>
      <c r="B1006" s="332"/>
      <c r="C1006" s="333">
        <f>C27+C91+C176+C474+C508+C627+C760+C787+C911+C922+C933+C966+C1003</f>
        <v>4024330101.6098857</v>
      </c>
      <c r="D1006" s="333">
        <f>D27+D91+D176+D474+D508+D627+D760+D787+D911+D922+D933+D966+D1003</f>
        <v>4081125561.3610039</v>
      </c>
      <c r="E1006" s="334"/>
      <c r="F1006" s="335"/>
      <c r="G1006" s="335">
        <f>G27+G91+G176+G474+G508+G627+G760+G787+G911+G922+G933+G966+G1003</f>
        <v>236218228.53999999</v>
      </c>
      <c r="H1006" s="335">
        <f>H27+H91+H176+H474+H508+H627+H760+H787+H911+H922+H933+H966+H1003</f>
        <v>238933609.53999999</v>
      </c>
      <c r="I1006" s="334"/>
      <c r="J1006" s="335"/>
      <c r="K1006" s="335">
        <f>K27+K91+K176+K474+K508+K627+K760+K787+K911+K922+K933+K966+K1003</f>
        <v>257330671.53999999</v>
      </c>
      <c r="M1006" s="20"/>
      <c r="N1006" s="20"/>
      <c r="O1006" s="71"/>
      <c r="P1006" s="336"/>
      <c r="Q1006" s="7"/>
      <c r="R1006" s="7"/>
      <c r="S1006" s="7"/>
      <c r="T1006" s="7"/>
      <c r="U1006" s="7"/>
      <c r="V1006" s="7"/>
      <c r="W1006" s="7"/>
      <c r="X1006" s="7"/>
    </row>
    <row r="1007" spans="1:28" ht="16.5" thickTop="1">
      <c r="A1007" s="1"/>
      <c r="B1007" s="197"/>
      <c r="C1007" s="21"/>
      <c r="D1007" s="21"/>
      <c r="E1007" s="221"/>
      <c r="F1007" s="2"/>
      <c r="G1007" s="2"/>
      <c r="H1007" s="2"/>
      <c r="I1007" s="237" t="s">
        <v>31</v>
      </c>
      <c r="J1007" s="1"/>
      <c r="K1007" s="2" t="s">
        <v>31</v>
      </c>
      <c r="M1007" s="20"/>
      <c r="N1007" s="20"/>
      <c r="O1007" s="71"/>
      <c r="P1007" s="71"/>
      <c r="Q1007" s="20"/>
      <c r="R1007" s="20"/>
      <c r="S1007" s="20"/>
      <c r="T1007" s="20"/>
      <c r="U1007" s="20"/>
      <c r="V1007" s="20"/>
      <c r="W1007" s="20"/>
      <c r="X1007" s="20"/>
    </row>
    <row r="1008" spans="1:28">
      <c r="A1008" s="1" t="s">
        <v>34</v>
      </c>
      <c r="B1008" s="197"/>
      <c r="C1008" s="337"/>
      <c r="D1008" s="337"/>
      <c r="E1008" s="338"/>
      <c r="F1008" s="339"/>
      <c r="G1008" s="339">
        <v>311006.74</v>
      </c>
      <c r="H1008" s="339">
        <v>311006.74</v>
      </c>
      <c r="I1008" s="340"/>
      <c r="J1008" s="341"/>
      <c r="K1008" s="339">
        <f>G1008</f>
        <v>311006.74</v>
      </c>
      <c r="M1008" s="20"/>
      <c r="N1008" s="7" t="s">
        <v>397</v>
      </c>
      <c r="O1008" s="342" t="e">
        <f>#REF!*1000</f>
        <v>#REF!</v>
      </c>
      <c r="P1008" s="71"/>
      <c r="Q1008" s="20"/>
      <c r="R1008" s="20"/>
      <c r="S1008" s="20"/>
      <c r="T1008" s="20"/>
      <c r="U1008" s="20"/>
      <c r="V1008" s="20"/>
      <c r="W1008" s="20"/>
      <c r="X1008" s="20"/>
    </row>
    <row r="1009" spans="1:24" s="4" customFormat="1" ht="19.899999999999999" customHeight="1" thickBot="1">
      <c r="A1009" s="343" t="s">
        <v>504</v>
      </c>
      <c r="B1009" s="344"/>
      <c r="C1009" s="345">
        <f>C1006+C1008</f>
        <v>4024330101.6098857</v>
      </c>
      <c r="D1009" s="345">
        <f>D1006+D1008</f>
        <v>4081125561.3610039</v>
      </c>
      <c r="E1009" s="346"/>
      <c r="F1009" s="347"/>
      <c r="G1009" s="348">
        <f>G1006+G1008</f>
        <v>236529235.28</v>
      </c>
      <c r="H1009" s="348">
        <f>H1006+H1008</f>
        <v>239244616.28</v>
      </c>
      <c r="I1009" s="349"/>
      <c r="J1009" s="347"/>
      <c r="K1009" s="345">
        <f>K1006+K1008</f>
        <v>257641678.28</v>
      </c>
      <c r="M1009" s="7"/>
      <c r="N1009" s="20" t="s">
        <v>256</v>
      </c>
      <c r="O1009" s="71" t="e">
        <f>O1008-K1009</f>
        <v>#REF!</v>
      </c>
      <c r="P1009" s="198" t="e">
        <f>(O1008-K1009)/K1009</f>
        <v>#REF!</v>
      </c>
      <c r="Q1009" s="7"/>
      <c r="R1009" s="7"/>
      <c r="S1009" s="7"/>
      <c r="T1009" s="7"/>
      <c r="U1009" s="7"/>
      <c r="V1009" s="7"/>
      <c r="W1009" s="7"/>
      <c r="X1009" s="7"/>
    </row>
    <row r="1010" spans="1:24" ht="16.5" thickTop="1">
      <c r="A1010" s="1"/>
      <c r="B1010" s="197"/>
      <c r="C1010" s="21"/>
      <c r="D1010" s="21"/>
      <c r="E1010" s="350">
        <v>0</v>
      </c>
      <c r="F1010" s="2"/>
      <c r="G1010" s="2" t="s">
        <v>31</v>
      </c>
      <c r="H1010" s="2" t="s">
        <v>31</v>
      </c>
      <c r="I1010" s="221"/>
      <c r="J1010" s="1"/>
      <c r="K1010" s="2"/>
      <c r="M1010" s="20"/>
      <c r="P1010" s="71"/>
      <c r="Q1010" s="20"/>
      <c r="R1010" s="20"/>
      <c r="S1010" s="20"/>
      <c r="T1010" s="20"/>
      <c r="U1010" s="20"/>
      <c r="V1010" s="20"/>
      <c r="W1010" s="20"/>
      <c r="X1010" s="20"/>
    </row>
    <row r="1011" spans="1:24">
      <c r="C1011" s="351"/>
      <c r="D1011" s="351"/>
      <c r="E1011" s="154"/>
      <c r="H1011" s="352"/>
      <c r="M1011" s="20"/>
      <c r="N1011" s="20"/>
      <c r="O1011" s="71"/>
      <c r="P1011" s="71"/>
      <c r="Q1011" s="20"/>
      <c r="R1011" s="20"/>
      <c r="S1011" s="20"/>
      <c r="T1011" s="20"/>
      <c r="U1011" s="20"/>
      <c r="V1011" s="20"/>
      <c r="W1011" s="20"/>
      <c r="X1011" s="20"/>
    </row>
    <row r="1012" spans="1:24">
      <c r="A1012" s="353"/>
      <c r="K1012" s="148">
        <f>K1009-H1009</f>
        <v>18397062</v>
      </c>
      <c r="M1012" s="20"/>
      <c r="N1012" s="300"/>
      <c r="O1012" s="71"/>
      <c r="P1012" s="71"/>
      <c r="Q1012" s="20"/>
      <c r="R1012" s="20"/>
      <c r="S1012" s="20"/>
      <c r="T1012" s="20"/>
      <c r="U1012" s="20"/>
      <c r="V1012" s="20"/>
      <c r="W1012" s="20"/>
      <c r="X1012" s="20"/>
    </row>
    <row r="1013" spans="1:24">
      <c r="A1013" s="1" t="s">
        <v>161</v>
      </c>
      <c r="B1013" s="3" t="s">
        <v>505</v>
      </c>
      <c r="C1013" s="148">
        <v>4024330100</v>
      </c>
      <c r="D1013" s="148">
        <v>4081125563.3743143</v>
      </c>
      <c r="G1013" s="81">
        <v>236529235.27999997</v>
      </c>
      <c r="H1013" s="81">
        <v>239244616.27999997</v>
      </c>
      <c r="M1013" s="20"/>
      <c r="N1013" s="20"/>
      <c r="O1013" s="71"/>
      <c r="P1013" s="71"/>
      <c r="Q1013" s="20"/>
      <c r="R1013" s="20"/>
      <c r="S1013" s="20"/>
      <c r="T1013" s="20"/>
      <c r="U1013" s="20"/>
      <c r="V1013" s="20"/>
      <c r="W1013" s="20"/>
      <c r="X1013" s="20"/>
    </row>
    <row r="1014" spans="1:24">
      <c r="B1014" s="3" t="s">
        <v>506</v>
      </c>
      <c r="C1014" s="148">
        <v>4024330100</v>
      </c>
      <c r="D1014" s="148">
        <v>4081125563.3743143</v>
      </c>
      <c r="G1014" s="81">
        <v>236529235.27999997</v>
      </c>
      <c r="H1014" s="81">
        <v>239244616.27999997</v>
      </c>
      <c r="M1014" s="20"/>
      <c r="N1014" s="20"/>
      <c r="O1014" s="71"/>
      <c r="P1014" s="71"/>
      <c r="Q1014" s="20"/>
      <c r="R1014" s="20"/>
      <c r="S1014" s="20"/>
      <c r="T1014" s="20"/>
      <c r="U1014" s="20"/>
      <c r="V1014" s="20"/>
      <c r="W1014" s="20"/>
      <c r="X1014" s="20"/>
    </row>
    <row r="1015" spans="1:24">
      <c r="M1015" s="20"/>
      <c r="N1015" s="20"/>
      <c r="O1015" s="71"/>
      <c r="P1015" s="71"/>
      <c r="Q1015" s="20"/>
      <c r="R1015" s="20"/>
      <c r="S1015" s="20"/>
      <c r="T1015" s="20"/>
      <c r="U1015" s="20"/>
      <c r="V1015" s="20"/>
      <c r="W1015" s="20"/>
      <c r="X1015" s="20"/>
    </row>
    <row r="1016" spans="1:24">
      <c r="B1016" s="3" t="s">
        <v>244</v>
      </c>
      <c r="C1016" s="148">
        <f>C1009-C1014</f>
        <v>1.6098856925964355</v>
      </c>
      <c r="D1016" s="148">
        <f>D1009-D1014</f>
        <v>-2.013310432434082</v>
      </c>
      <c r="G1016" s="148">
        <f>G1009-G1014</f>
        <v>0</v>
      </c>
      <c r="H1016" s="148">
        <f>H1009-H1014</f>
        <v>0</v>
      </c>
      <c r="M1016" s="20"/>
      <c r="N1016" s="20"/>
      <c r="O1016" s="71"/>
      <c r="P1016" s="71"/>
      <c r="Q1016" s="20"/>
      <c r="R1016" s="20"/>
      <c r="S1016" s="20"/>
      <c r="T1016" s="20"/>
      <c r="U1016" s="20"/>
      <c r="V1016" s="20"/>
      <c r="W1016" s="20"/>
      <c r="X1016" s="20"/>
    </row>
    <row r="1017" spans="1:24">
      <c r="M1017" s="20"/>
      <c r="N1017" s="20"/>
      <c r="O1017" s="71"/>
      <c r="P1017" s="71"/>
      <c r="Q1017" s="20"/>
      <c r="R1017" s="20"/>
      <c r="S1017" s="20"/>
      <c r="T1017" s="20"/>
      <c r="U1017" s="20"/>
      <c r="V1017" s="20"/>
      <c r="W1017" s="20"/>
      <c r="X1017" s="20"/>
    </row>
    <row r="1019" spans="1:24">
      <c r="B1019" s="3" t="s">
        <v>507</v>
      </c>
      <c r="C1019" s="148">
        <f>C24+C83+C157+C483+C587+C737+C768+C908+C919+C930+C962+C1000</f>
        <v>1450753</v>
      </c>
      <c r="D1019" s="148">
        <f>D24+D83+D157+D483+D587+D737+D768+D908+D919+D930+D962+D1000</f>
        <v>1466661.75</v>
      </c>
    </row>
    <row r="1020" spans="1:24">
      <c r="B1020" s="3" t="s">
        <v>40</v>
      </c>
      <c r="C1020" s="148">
        <f>((C83+C186+C271+C483+C737+C768+C908+C919+C930+C962+C1000)/12)+C358+C587+C24</f>
        <v>128412.75</v>
      </c>
      <c r="D1020" s="148">
        <f>((D83+D186+D271+D483+D737+D768+D908+D919+D930+D962+D1000)/12)+D358+D587+D24</f>
        <v>129738.25</v>
      </c>
    </row>
    <row r="1022" spans="1:24">
      <c r="B1022" s="3" t="s">
        <v>244</v>
      </c>
      <c r="C1022" s="148">
        <v>0</v>
      </c>
      <c r="D1022" s="148">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52"/>
  <sheetViews>
    <sheetView topLeftCell="A46" workbookViewId="0">
      <selection activeCell="B8" sqref="B8"/>
    </sheetView>
  </sheetViews>
  <sheetFormatPr defaultRowHeight="15.75"/>
  <cols>
    <col min="1" max="1" width="3.625" style="4" customWidth="1"/>
    <col min="2" max="2" width="15.5" style="4" customWidth="1"/>
    <col min="3" max="3" width="3.625" style="4" customWidth="1"/>
    <col min="4" max="17" width="13.5" style="4" customWidth="1"/>
    <col min="18" max="18" width="9" style="4"/>
    <col min="19" max="20" width="14.625" style="4" bestFit="1" customWidth="1"/>
    <col min="21" max="23" width="11.125" style="4" bestFit="1" customWidth="1"/>
    <col min="24" max="24" width="9" style="4"/>
    <col min="25" max="25" width="10.375" style="4" customWidth="1"/>
    <col min="26" max="26" width="9" style="4"/>
    <col min="27" max="28" width="15.25" style="4" bestFit="1" customWidth="1"/>
    <col min="29" max="29" width="12.75" style="4" bestFit="1" customWidth="1"/>
    <col min="30" max="33" width="9" style="4"/>
    <col min="34" max="36" width="13.625" style="4" bestFit="1" customWidth="1"/>
    <col min="37" max="16384" width="9" style="4"/>
  </cols>
  <sheetData>
    <row r="1" spans="1:25">
      <c r="M1" s="517"/>
      <c r="N1" s="517"/>
      <c r="Q1" s="4" t="s">
        <v>98</v>
      </c>
    </row>
    <row r="2" spans="1:25">
      <c r="Q2" s="4" t="s">
        <v>165</v>
      </c>
    </row>
    <row r="3" spans="1:25">
      <c r="B3" s="458"/>
      <c r="C3" s="458"/>
      <c r="D3" s="458"/>
      <c r="E3" s="458"/>
      <c r="F3" s="458"/>
      <c r="G3" s="458"/>
      <c r="H3" s="458"/>
      <c r="I3" s="458"/>
      <c r="J3" s="458"/>
      <c r="K3" s="458"/>
      <c r="L3" s="458"/>
      <c r="M3" s="458"/>
      <c r="N3" s="458"/>
      <c r="O3" s="458"/>
      <c r="P3" s="458"/>
      <c r="Q3" s="458"/>
      <c r="R3" s="456"/>
      <c r="S3" s="456"/>
      <c r="T3" s="456"/>
      <c r="U3" s="456"/>
      <c r="V3" s="305"/>
      <c r="W3" s="305"/>
      <c r="X3" s="305"/>
      <c r="Y3" s="305"/>
    </row>
    <row r="4" spans="1:25" ht="18.75">
      <c r="A4" s="457" t="s">
        <v>718</v>
      </c>
      <c r="B4" s="458"/>
      <c r="C4" s="458"/>
      <c r="D4" s="458"/>
      <c r="E4" s="458"/>
      <c r="F4" s="458"/>
      <c r="G4" s="458"/>
      <c r="H4" s="458"/>
      <c r="I4" s="458"/>
      <c r="J4" s="458"/>
      <c r="K4" s="458"/>
      <c r="L4" s="458"/>
      <c r="M4" s="458"/>
      <c r="N4" s="458"/>
      <c r="O4" s="458"/>
      <c r="P4" s="458"/>
      <c r="Q4" s="458"/>
      <c r="R4" s="456"/>
      <c r="S4" s="456"/>
      <c r="T4" s="456"/>
      <c r="U4" s="456"/>
      <c r="V4" s="305"/>
      <c r="W4" s="305"/>
      <c r="X4" s="305"/>
      <c r="Y4" s="305"/>
    </row>
    <row r="5" spans="1:25" ht="18.75">
      <c r="A5" s="457" t="s">
        <v>2</v>
      </c>
      <c r="B5" s="458"/>
      <c r="C5" s="458"/>
      <c r="D5" s="458"/>
      <c r="E5" s="458"/>
      <c r="F5" s="458"/>
      <c r="G5" s="458"/>
      <c r="H5" s="458"/>
      <c r="I5" s="458"/>
      <c r="J5" s="458"/>
      <c r="K5" s="458"/>
      <c r="L5" s="458"/>
      <c r="M5" s="458"/>
      <c r="N5" s="458"/>
      <c r="O5" s="458"/>
      <c r="P5" s="458"/>
      <c r="Q5" s="458"/>
      <c r="R5" s="456"/>
      <c r="S5" s="456"/>
      <c r="T5" s="456"/>
      <c r="U5" s="456"/>
      <c r="V5" s="305"/>
      <c r="W5" s="305"/>
      <c r="X5" s="305"/>
      <c r="Y5" s="305"/>
    </row>
    <row r="6" spans="1:25" ht="18.75">
      <c r="A6" s="457" t="str">
        <f>'305 Inputs'!B4</f>
        <v>12 Months Ended June 2019</v>
      </c>
      <c r="B6" s="458"/>
      <c r="C6" s="458"/>
      <c r="D6" s="458"/>
      <c r="E6" s="458"/>
      <c r="F6" s="458"/>
      <c r="G6" s="458"/>
      <c r="H6" s="458"/>
      <c r="I6" s="458"/>
      <c r="J6" s="458"/>
      <c r="K6" s="458"/>
      <c r="L6" s="458"/>
      <c r="M6" s="458"/>
      <c r="N6" s="458"/>
      <c r="O6" s="458"/>
      <c r="P6" s="458"/>
      <c r="Q6" s="458"/>
      <c r="R6" s="456"/>
      <c r="S6" s="456"/>
      <c r="T6" s="518"/>
      <c r="U6" s="456"/>
      <c r="V6" s="305"/>
      <c r="W6" s="305"/>
      <c r="X6" s="305"/>
      <c r="Y6" s="305"/>
    </row>
    <row r="7" spans="1:25" ht="18.75">
      <c r="A7" s="519"/>
      <c r="B7" s="460"/>
      <c r="C7" s="460"/>
      <c r="D7" s="460"/>
      <c r="E7" s="460"/>
      <c r="F7" s="460"/>
      <c r="G7" s="460"/>
      <c r="H7" s="460"/>
      <c r="I7" s="460"/>
      <c r="J7" s="460"/>
      <c r="K7" s="460"/>
      <c r="L7" s="460"/>
      <c r="M7" s="460"/>
      <c r="N7" s="460"/>
      <c r="O7" s="460"/>
      <c r="P7" s="460"/>
      <c r="Q7" s="460"/>
      <c r="R7" s="456"/>
      <c r="S7" s="456"/>
      <c r="T7" s="518"/>
      <c r="U7" s="456"/>
      <c r="V7" s="305"/>
      <c r="W7" s="305"/>
      <c r="X7" s="305"/>
      <c r="Y7" s="305"/>
    </row>
    <row r="8" spans="1:25" ht="18.75">
      <c r="A8" s="457"/>
      <c r="B8" s="458"/>
      <c r="C8" s="458"/>
      <c r="D8" s="460"/>
      <c r="E8" s="460"/>
      <c r="F8" s="460"/>
      <c r="G8" s="460"/>
      <c r="H8" s="460"/>
      <c r="I8" s="460"/>
      <c r="J8" s="460" t="s">
        <v>654</v>
      </c>
      <c r="K8" s="460"/>
      <c r="L8" s="460"/>
      <c r="M8" s="460"/>
      <c r="N8" s="460"/>
      <c r="O8" s="460"/>
      <c r="P8" s="460"/>
      <c r="Q8" s="460"/>
      <c r="R8" s="456"/>
      <c r="S8" s="456"/>
      <c r="T8" s="518"/>
      <c r="U8" s="456"/>
      <c r="V8" s="305"/>
      <c r="W8" s="305"/>
      <c r="X8" s="305"/>
      <c r="Y8" s="305"/>
    </row>
    <row r="9" spans="1:25" ht="18.75">
      <c r="A9" s="457"/>
      <c r="B9" s="458"/>
      <c r="C9" s="458"/>
      <c r="D9" s="460"/>
      <c r="E9" s="460"/>
      <c r="F9" s="469" t="s">
        <v>39</v>
      </c>
      <c r="G9" s="460"/>
      <c r="H9" s="460"/>
      <c r="I9" s="460"/>
      <c r="J9" s="469" t="s">
        <v>12</v>
      </c>
      <c r="K9" s="469" t="s">
        <v>9</v>
      </c>
      <c r="L9" s="520"/>
      <c r="M9" s="460" t="s">
        <v>41</v>
      </c>
      <c r="N9" s="460" t="s">
        <v>654</v>
      </c>
      <c r="O9" s="460" t="s">
        <v>45</v>
      </c>
      <c r="P9" s="460"/>
      <c r="Q9" s="460"/>
      <c r="R9" s="458"/>
      <c r="S9" s="458"/>
      <c r="T9" s="459"/>
      <c r="U9" s="458"/>
      <c r="V9" s="305"/>
      <c r="W9" s="305"/>
      <c r="X9" s="305"/>
      <c r="Y9" s="305"/>
    </row>
    <row r="10" spans="1:25" ht="19.5">
      <c r="A10" s="457"/>
      <c r="B10" s="458"/>
      <c r="C10" s="458"/>
      <c r="D10" s="469" t="s">
        <v>39</v>
      </c>
      <c r="E10" s="469"/>
      <c r="F10" s="469" t="s">
        <v>40</v>
      </c>
      <c r="G10" s="39" t="s">
        <v>41</v>
      </c>
      <c r="H10" s="469" t="s">
        <v>192</v>
      </c>
      <c r="I10" s="469" t="s">
        <v>696</v>
      </c>
      <c r="J10" s="39" t="s">
        <v>169</v>
      </c>
      <c r="K10" s="39" t="s">
        <v>75</v>
      </c>
      <c r="L10" s="520" t="s">
        <v>14</v>
      </c>
      <c r="M10" s="39" t="s">
        <v>37</v>
      </c>
      <c r="N10" s="39" t="s">
        <v>663</v>
      </c>
      <c r="O10" s="39" t="s">
        <v>15</v>
      </c>
      <c r="P10" s="460" t="s">
        <v>9</v>
      </c>
      <c r="Q10" s="460" t="s">
        <v>14</v>
      </c>
      <c r="R10" s="458"/>
      <c r="S10" s="458"/>
      <c r="T10" s="459"/>
      <c r="U10" s="458"/>
      <c r="V10" s="305"/>
      <c r="W10" s="305"/>
      <c r="X10" s="305"/>
      <c r="Y10" s="305"/>
    </row>
    <row r="11" spans="1:25">
      <c r="B11" s="5"/>
      <c r="C11" s="7"/>
      <c r="D11" s="26" t="s">
        <v>40</v>
      </c>
      <c r="E11" s="26" t="s">
        <v>44</v>
      </c>
      <c r="F11" s="26" t="s">
        <v>294</v>
      </c>
      <c r="G11" s="26" t="s">
        <v>81</v>
      </c>
      <c r="H11" s="26" t="s">
        <v>44</v>
      </c>
      <c r="I11" s="26" t="s">
        <v>15</v>
      </c>
      <c r="J11" s="26" t="s">
        <v>81</v>
      </c>
      <c r="K11" s="26" t="s">
        <v>81</v>
      </c>
      <c r="L11" s="27" t="s">
        <v>81</v>
      </c>
      <c r="M11" s="26" t="s">
        <v>70</v>
      </c>
      <c r="N11" s="26" t="s">
        <v>70</v>
      </c>
      <c r="O11" s="26" t="s">
        <v>70</v>
      </c>
      <c r="P11" s="26" t="s">
        <v>15</v>
      </c>
      <c r="Q11" s="26" t="s">
        <v>1</v>
      </c>
    </row>
    <row r="12" spans="1:25" ht="15.75" customHeight="1">
      <c r="A12" s="5" t="s">
        <v>17</v>
      </c>
      <c r="B12" s="5"/>
      <c r="D12" s="9"/>
      <c r="E12" s="9"/>
      <c r="F12" s="9"/>
      <c r="G12" s="9"/>
      <c r="H12" s="9"/>
      <c r="I12" s="9"/>
      <c r="J12" s="9"/>
      <c r="K12" s="9"/>
      <c r="L12" s="47"/>
      <c r="M12" s="7"/>
      <c r="N12" s="7"/>
      <c r="O12" s="7"/>
      <c r="P12" s="7"/>
      <c r="U12" s="54"/>
    </row>
    <row r="13" spans="1:25" ht="15.75" customHeight="1">
      <c r="B13" s="4" t="s">
        <v>48</v>
      </c>
      <c r="D13" s="31">
        <f>SUMIF('305 Inputs'!$A$125:$A$154,"=16",'305 Inputs'!$L$125:$L$154)</f>
        <v>101753.91666666667</v>
      </c>
      <c r="E13" s="31">
        <f t="shared" ref="E13:E18" si="0">F13-D13</f>
        <v>-261.36709677666659</v>
      </c>
      <c r="F13" s="31">
        <f>'Exhibit No.__(RMM-11) p1-8'!C108/12</f>
        <v>101492.54956989</v>
      </c>
      <c r="G13" s="31">
        <f>SUMIF('305 Inputs'!$A$125:$A$154,"=16",'305 Inputs'!$H$125:$H$154)</f>
        <v>1510928203</v>
      </c>
      <c r="H13" s="31">
        <f>G13/($G$20+$G$23-$G$19)*$G$36</f>
        <v>-19398896.755837858</v>
      </c>
      <c r="I13" s="31">
        <f>'305 VS COGNOS kWh'!E7+'305 VS COGNOS kWh'!K7</f>
        <v>-44432</v>
      </c>
      <c r="J13" s="31">
        <f>Temperature!B22*1000</f>
        <v>-56391635.92382659</v>
      </c>
      <c r="K13" s="31">
        <f>H13+I13+J13</f>
        <v>-75834964.679664448</v>
      </c>
      <c r="L13" s="89">
        <f t="shared" ref="L13:L18" si="1">G13+K13</f>
        <v>1435093238.3203356</v>
      </c>
      <c r="M13" s="28">
        <f>'Table 3'!D13</f>
        <v>127643581.39000002</v>
      </c>
      <c r="N13" s="28">
        <f>'Table 3'!I13</f>
        <v>11818689.342113322</v>
      </c>
      <c r="O13" s="28">
        <f>'Table 3'!M13</f>
        <v>0</v>
      </c>
      <c r="P13" s="28">
        <f>N13+O13</f>
        <v>11818689.342113322</v>
      </c>
      <c r="Q13" s="28">
        <f t="shared" ref="Q13:Q18" si="2">+P13+M13</f>
        <v>139462270.73211333</v>
      </c>
      <c r="S13" s="8"/>
      <c r="T13" s="8"/>
      <c r="U13" s="54"/>
    </row>
    <row r="14" spans="1:25" ht="15.75" customHeight="1">
      <c r="B14" s="4" t="s">
        <v>93</v>
      </c>
      <c r="D14" s="31">
        <f>SUMIF('305 Inputs'!$A$125:$A$154,"=17",'305 Inputs'!$L$125:$L$154)</f>
        <v>5102.5</v>
      </c>
      <c r="E14" s="31">
        <f t="shared" si="0"/>
        <v>-41.49075268816614</v>
      </c>
      <c r="F14" s="31">
        <f>'Exhibit No.__(RMM-11) p1-8'!C139/12</f>
        <v>5061.0092473118339</v>
      </c>
      <c r="G14" s="31">
        <f>SUMIF('305 Inputs'!$A$125:$A$154,"=17",'305 Inputs'!$H$125:$H$154)</f>
        <v>79640499</v>
      </c>
      <c r="H14" s="31">
        <f t="shared" ref="H14:H18" si="3">G14/($G$20+$G$23-$G$19)*$G$36</f>
        <v>-1022509.0872067123</v>
      </c>
      <c r="I14" s="31">
        <f>'305 VS COGNOS kWh'!E8+'305 VS COGNOS kWh'!K8</f>
        <v>-6286</v>
      </c>
      <c r="J14" s="31">
        <f>Temperature!B40*1000</f>
        <v>-3544776.4952980368</v>
      </c>
      <c r="K14" s="31">
        <f t="shared" ref="K14:K18" si="4">H14+I14+J14</f>
        <v>-4573571.5825047493</v>
      </c>
      <c r="L14" s="89">
        <f t="shared" si="1"/>
        <v>75066927.417495251</v>
      </c>
      <c r="M14" s="28">
        <f>'Table 3'!D14</f>
        <v>6710938.9100000001</v>
      </c>
      <c r="N14" s="28">
        <f>'Table 3'!I14</f>
        <v>597768.98679702752</v>
      </c>
      <c r="O14" s="28">
        <f>'Table 3'!M14</f>
        <v>0.10183002054691315</v>
      </c>
      <c r="P14" s="28">
        <f t="shared" ref="P14:P18" si="5">N14+O14</f>
        <v>597769.08862704807</v>
      </c>
      <c r="Q14" s="28">
        <f t="shared" si="2"/>
        <v>7308707.998627048</v>
      </c>
      <c r="S14" s="8"/>
      <c r="T14" s="8"/>
      <c r="U14" s="54"/>
    </row>
    <row r="15" spans="1:25" ht="15.75" customHeight="1">
      <c r="B15" s="4" t="s">
        <v>49</v>
      </c>
      <c r="D15" s="31">
        <f>SUMIF('305 Inputs'!$A$125:$A$154,"=18",'305 Inputs'!$L$125:$L$154)</f>
        <v>78.916666666666671</v>
      </c>
      <c r="E15" s="31">
        <f t="shared" si="0"/>
        <v>0.13634408602149506</v>
      </c>
      <c r="F15" s="31">
        <f>'Exhibit No.__(RMM-11) p1-8'!C154/12</f>
        <v>79.053010752688166</v>
      </c>
      <c r="G15" s="31">
        <f>SUMIF('305 Inputs'!$A$125:$A$154,"=18",'305 Inputs'!$H$125:$H$154)</f>
        <v>2117570</v>
      </c>
      <c r="H15" s="31">
        <f t="shared" si="3"/>
        <v>-27187.606745109897</v>
      </c>
      <c r="I15" s="31">
        <f>'305 VS COGNOS kWh'!E9+'305 VS COGNOS kWh'!K9</f>
        <v>-3399</v>
      </c>
      <c r="J15" s="31">
        <f>Temperature!B58*1000</f>
        <v>-80541.434275372114</v>
      </c>
      <c r="K15" s="31">
        <f t="shared" si="4"/>
        <v>-111128.04102048201</v>
      </c>
      <c r="L15" s="89">
        <f t="shared" si="1"/>
        <v>2006441.9589795179</v>
      </c>
      <c r="M15" s="28">
        <f>'Table 3'!D15</f>
        <v>199014.39</v>
      </c>
      <c r="N15" s="28">
        <f>'Table 3'!I15</f>
        <v>15062.361585298771</v>
      </c>
      <c r="O15" s="28">
        <f>'Table 3'!M15</f>
        <v>-0.10950741899432614</v>
      </c>
      <c r="P15" s="28">
        <f t="shared" si="5"/>
        <v>15062.252077879777</v>
      </c>
      <c r="Q15" s="28">
        <f t="shared" si="2"/>
        <v>214076.64207787981</v>
      </c>
      <c r="S15" s="8"/>
      <c r="T15" s="8"/>
      <c r="U15" s="54"/>
    </row>
    <row r="16" spans="1:25" ht="15.75" customHeight="1">
      <c r="B16" s="7" t="s">
        <v>155</v>
      </c>
      <c r="D16" s="31">
        <f>SUMIF('305 Inputs'!$A$125:$A$154,"=18x",'305 Inputs'!$L$125:$L$154)</f>
        <v>12.833333333333334</v>
      </c>
      <c r="E16" s="31">
        <f t="shared" si="0"/>
        <v>0.16387096774191612</v>
      </c>
      <c r="F16" s="31">
        <f>'Exhibit No.__(RMM-11) p1-8'!C169/12</f>
        <v>12.99720430107525</v>
      </c>
      <c r="G16" s="31">
        <f>SUMIF('305 Inputs'!$A$125:$A$154,"=18x",'305 Inputs'!$H$125:$H$154)</f>
        <v>321154</v>
      </c>
      <c r="H16" s="31">
        <f t="shared" si="3"/>
        <v>-4123.3152418191712</v>
      </c>
      <c r="I16" s="31">
        <f>'305 VS COGNOS kWh'!E10+'305 VS COGNOS kWh'!K10</f>
        <v>0</v>
      </c>
      <c r="J16" s="31">
        <v>0</v>
      </c>
      <c r="K16" s="31">
        <f t="shared" si="4"/>
        <v>-4123.3152418191712</v>
      </c>
      <c r="L16" s="89">
        <f t="shared" si="1"/>
        <v>317030.68475818081</v>
      </c>
      <c r="M16" s="28">
        <f>'Table 3'!D16</f>
        <v>29742.63</v>
      </c>
      <c r="N16" s="28">
        <f>'Table 3'!I16</f>
        <v>3377.3674517082991</v>
      </c>
      <c r="O16" s="28">
        <f>'Table 3'!M16</f>
        <v>0.27631290320277913</v>
      </c>
      <c r="P16" s="28">
        <f t="shared" si="5"/>
        <v>3377.6437646115019</v>
      </c>
      <c r="Q16" s="28">
        <f t="shared" si="2"/>
        <v>33120.273764611506</v>
      </c>
      <c r="S16" s="8"/>
      <c r="T16" s="8"/>
      <c r="U16" s="54"/>
    </row>
    <row r="17" spans="2:21" ht="15.75" customHeight="1">
      <c r="B17" s="7" t="s">
        <v>243</v>
      </c>
      <c r="D17" s="31">
        <f>SUMIF('305 Inputs'!$A$125:$A$154,"=135",'305 Inputs'!$L$125:$L$154)</f>
        <v>1089.4166666666667</v>
      </c>
      <c r="E17" s="31">
        <f t="shared" si="0"/>
        <v>54.678602150541565</v>
      </c>
      <c r="F17" s="31">
        <f>'Exhibit No.__(RMM-11) p1-8'!C124/12</f>
        <v>1144.0952688172083</v>
      </c>
      <c r="G17" s="31">
        <f>SUMIF('305 Inputs'!$A$125:$A$154,"=135",'305 Inputs'!$H$125:$H$154)</f>
        <v>12389265</v>
      </c>
      <c r="H17" s="31">
        <f t="shared" si="3"/>
        <v>-159066.50768614683</v>
      </c>
      <c r="I17" s="31">
        <f>'305 VS COGNOS kWh'!E11+'305 VS COGNOS kWh'!K11</f>
        <v>4375</v>
      </c>
      <c r="J17" s="31">
        <v>0</v>
      </c>
      <c r="K17" s="31">
        <f t="shared" si="4"/>
        <v>-154691.50768614683</v>
      </c>
      <c r="L17" s="89">
        <f t="shared" si="1"/>
        <v>12234573.492313853</v>
      </c>
      <c r="M17" s="28">
        <f>'Table 3'!D17</f>
        <v>1117750.58</v>
      </c>
      <c r="N17" s="28">
        <f>'Table 3'!I17</f>
        <v>149039.08049792747</v>
      </c>
      <c r="O17" s="28">
        <f>'Table 3'!M17</f>
        <v>0</v>
      </c>
      <c r="P17" s="28">
        <f t="shared" si="5"/>
        <v>149039.08049792747</v>
      </c>
      <c r="Q17" s="28">
        <f t="shared" si="2"/>
        <v>1266789.6604979276</v>
      </c>
      <c r="S17" s="8"/>
      <c r="T17" s="8"/>
      <c r="U17" s="54"/>
    </row>
    <row r="18" spans="2:21" ht="15.75" customHeight="1">
      <c r="B18" s="7" t="s">
        <v>664</v>
      </c>
      <c r="D18" s="31">
        <f>SUMIF('305 Inputs'!$A$125:$A$154,"=24",'305 Inputs'!$L$125:$L$154)</f>
        <v>3459.5833333333335</v>
      </c>
      <c r="E18" s="31">
        <f t="shared" si="0"/>
        <v>6.8111111111020364</v>
      </c>
      <c r="F18" s="31">
        <f>'Exhibit No.__(RMM-11) p1-8'!C267/12</f>
        <v>3466.3944444444355</v>
      </c>
      <c r="G18" s="31">
        <f>SUMIF('305 Inputs'!$A$125:$A$154,"=24",'305 Inputs'!$H$125:$H$154)</f>
        <v>21191503</v>
      </c>
      <c r="H18" s="31">
        <f t="shared" si="3"/>
        <v>-272078.96310479299</v>
      </c>
      <c r="I18" s="31">
        <f>'305 VS COGNOS kWh'!E13+'305 VS COGNOS kWh'!K13+'305 VS COGNOS kWh'!E14+'305 VS COGNOS kWh'!K14</f>
        <v>-155017</v>
      </c>
      <c r="J18" s="31">
        <f>Temperature!O75*1000</f>
        <v>-209418.77664011726</v>
      </c>
      <c r="K18" s="31">
        <f t="shared" si="4"/>
        <v>-636514.73974491027</v>
      </c>
      <c r="L18" s="89">
        <f t="shared" si="1"/>
        <v>20554988.260255091</v>
      </c>
      <c r="M18" s="28">
        <f>'Table 3'!D18</f>
        <v>2335928.9</v>
      </c>
      <c r="N18" s="28">
        <f>'Table 3'!I18</f>
        <v>167368.15180299684</v>
      </c>
      <c r="O18" s="28">
        <f>'Table 3'!M18</f>
        <v>0</v>
      </c>
      <c r="P18" s="28">
        <f t="shared" si="5"/>
        <v>167368.15180299684</v>
      </c>
      <c r="Q18" s="28">
        <f t="shared" si="2"/>
        <v>2503297.0518029965</v>
      </c>
      <c r="S18" s="8"/>
      <c r="T18" s="8"/>
      <c r="U18" s="54"/>
    </row>
    <row r="19" spans="2:21" ht="15.75" customHeight="1">
      <c r="B19" s="7" t="s">
        <v>877</v>
      </c>
      <c r="D19" s="90">
        <v>0</v>
      </c>
      <c r="E19" s="90">
        <f t="shared" ref="E19" si="6">F19-D19</f>
        <v>0</v>
      </c>
      <c r="F19" s="90">
        <v>0</v>
      </c>
      <c r="G19" s="90">
        <f>'305 Inputs'!H153</f>
        <v>1581480</v>
      </c>
      <c r="H19" s="90">
        <v>0</v>
      </c>
      <c r="I19" s="90">
        <v>0</v>
      </c>
      <c r="J19" s="90">
        <f>Temperature!O76*1000</f>
        <v>0</v>
      </c>
      <c r="K19" s="90">
        <f t="shared" ref="K19" si="7">H19+I19+J19</f>
        <v>0</v>
      </c>
      <c r="L19" s="91">
        <f t="shared" ref="L19" si="8">G19+K19</f>
        <v>1581480</v>
      </c>
      <c r="M19" s="30">
        <f>'Table 3'!D19</f>
        <v>119191.29</v>
      </c>
      <c r="N19" s="30">
        <f>'Table 3'!I19</f>
        <v>0</v>
      </c>
      <c r="O19" s="30">
        <f>'Table 3'!M19</f>
        <v>0</v>
      </c>
      <c r="P19" s="30">
        <f t="shared" ref="P19" si="9">N19+O19</f>
        <v>0</v>
      </c>
      <c r="Q19" s="30">
        <f t="shared" ref="Q19" si="10">+P19+M19</f>
        <v>119191.29</v>
      </c>
      <c r="S19" s="8"/>
      <c r="T19" s="8"/>
      <c r="U19" s="54"/>
    </row>
    <row r="20" spans="2:21" ht="15.75" customHeight="1">
      <c r="B20" s="7" t="s">
        <v>35</v>
      </c>
      <c r="C20" s="11"/>
      <c r="D20" s="31">
        <f t="shared" ref="D20:Q20" si="11">SUM(D13:D19)</f>
        <v>111497.16666666667</v>
      </c>
      <c r="E20" s="31">
        <f t="shared" si="11"/>
        <v>-241.06792114942573</v>
      </c>
      <c r="F20" s="31">
        <f t="shared" si="11"/>
        <v>111256.09874551724</v>
      </c>
      <c r="G20" s="31">
        <f t="shared" si="11"/>
        <v>1628169674</v>
      </c>
      <c r="H20" s="31">
        <f t="shared" si="11"/>
        <v>-20883862.235822435</v>
      </c>
      <c r="I20" s="31">
        <f t="shared" si="11"/>
        <v>-204759</v>
      </c>
      <c r="J20" s="31">
        <f t="shared" si="11"/>
        <v>-60226372.630040117</v>
      </c>
      <c r="K20" s="31">
        <f t="shared" si="11"/>
        <v>-81314993.865862563</v>
      </c>
      <c r="L20" s="89">
        <f t="shared" si="11"/>
        <v>1546854680.1341376</v>
      </c>
      <c r="M20" s="28">
        <f t="shared" si="11"/>
        <v>138156148.09</v>
      </c>
      <c r="N20" s="28">
        <f t="shared" si="11"/>
        <v>12751305.29024828</v>
      </c>
      <c r="O20" s="28">
        <f t="shared" si="11"/>
        <v>0.26863550475536613</v>
      </c>
      <c r="P20" s="28">
        <f t="shared" si="11"/>
        <v>12751305.558883784</v>
      </c>
      <c r="Q20" s="28">
        <f t="shared" si="11"/>
        <v>150907453.64888379</v>
      </c>
      <c r="S20" s="8"/>
      <c r="T20" s="8"/>
      <c r="U20" s="54"/>
    </row>
    <row r="21" spans="2:21" ht="15.75" customHeight="1">
      <c r="B21" s="7"/>
      <c r="C21" s="11"/>
      <c r="D21" s="9"/>
      <c r="E21" s="9"/>
      <c r="F21" s="9"/>
      <c r="G21" s="9"/>
      <c r="H21" s="9"/>
      <c r="I21" s="9"/>
      <c r="J21" s="9"/>
      <c r="K21" s="9"/>
      <c r="L21" s="47"/>
      <c r="M21" s="28"/>
      <c r="N21" s="28"/>
      <c r="O21" s="28"/>
      <c r="P21" s="28"/>
      <c r="Q21" s="8"/>
      <c r="S21" s="8"/>
      <c r="T21" s="8"/>
      <c r="U21" s="54"/>
    </row>
    <row r="22" spans="2:21" ht="15.75" customHeight="1">
      <c r="B22" s="4" t="s">
        <v>50</v>
      </c>
      <c r="C22" s="11"/>
      <c r="D22" s="90">
        <f>SUMIF('305 Inputs'!$A$125:$A$154,"=15r",'305 Inputs'!$L$125:$L$154)</f>
        <v>1033.3333333333333</v>
      </c>
      <c r="E22" s="90">
        <f>F22-D22+D26</f>
        <v>2.5</v>
      </c>
      <c r="F22" s="90">
        <f>'Exhibit No.__(RMM-11) p1-8'!C45/12</f>
        <v>1035.8333333333333</v>
      </c>
      <c r="G22" s="90">
        <f>SUMIF('305 Inputs'!$A$125:$A$154,"=15r",'305 Inputs'!$H$125:$H$154)</f>
        <v>945378</v>
      </c>
      <c r="H22" s="90">
        <f t="shared" ref="H22" si="12">G22/($G$20+$G$23-$G$19)*$G$36</f>
        <v>-12137.764177561308</v>
      </c>
      <c r="I22" s="90">
        <f>'305 VS COGNOS kWh'!E12+'305 VS COGNOS kWh'!K12</f>
        <v>4163</v>
      </c>
      <c r="J22" s="90">
        <v>0</v>
      </c>
      <c r="K22" s="90">
        <f>H22+I22+J22</f>
        <v>-7974.7641775613083</v>
      </c>
      <c r="L22" s="91">
        <f>G22+K22</f>
        <v>937403.23582243873</v>
      </c>
      <c r="M22" s="87">
        <f>'Table 3'!D22</f>
        <v>140238.6</v>
      </c>
      <c r="N22" s="30">
        <f ca="1">'Table 3'!I22</f>
        <v>8612.836632558674</v>
      </c>
      <c r="O22" s="30">
        <f>'Table 3'!M22</f>
        <v>-1.8393620848655701E-8</v>
      </c>
      <c r="P22" s="30">
        <f ca="1">N22+O22</f>
        <v>8612.8366325402803</v>
      </c>
      <c r="Q22" s="30">
        <f ca="1">+P22+M22</f>
        <v>148851.43663254028</v>
      </c>
      <c r="S22" s="8"/>
      <c r="T22" s="8"/>
      <c r="U22" s="54"/>
    </row>
    <row r="23" spans="2:21" ht="15.75" customHeight="1">
      <c r="B23" s="4" t="s">
        <v>35</v>
      </c>
      <c r="D23" s="31">
        <f>SUM(D22:D22)</f>
        <v>1033.3333333333333</v>
      </c>
      <c r="E23" s="31">
        <f>SUM(E22:E22)</f>
        <v>2.5</v>
      </c>
      <c r="F23" s="31">
        <f>SUM(F22:F22)</f>
        <v>1035.8333333333333</v>
      </c>
      <c r="G23" s="31">
        <f t="shared" ref="G23:Q23" si="13">SUM(G22:G22)</f>
        <v>945378</v>
      </c>
      <c r="H23" s="31">
        <f t="shared" si="13"/>
        <v>-12137.764177561308</v>
      </c>
      <c r="I23" s="31">
        <f t="shared" si="13"/>
        <v>4163</v>
      </c>
      <c r="J23" s="31">
        <f t="shared" si="13"/>
        <v>0</v>
      </c>
      <c r="K23" s="31">
        <f t="shared" si="13"/>
        <v>-7974.7641775613083</v>
      </c>
      <c r="L23" s="89">
        <f t="shared" si="13"/>
        <v>937403.23582243873</v>
      </c>
      <c r="M23" s="28">
        <f t="shared" si="13"/>
        <v>140238.6</v>
      </c>
      <c r="N23" s="28">
        <f t="shared" ca="1" si="13"/>
        <v>8612.836632558674</v>
      </c>
      <c r="O23" s="28">
        <f t="shared" si="13"/>
        <v>-1.8393620848655701E-8</v>
      </c>
      <c r="P23" s="28">
        <f t="shared" ca="1" si="13"/>
        <v>8612.8366325402803</v>
      </c>
      <c r="Q23" s="28">
        <f t="shared" ca="1" si="13"/>
        <v>148851.43663254028</v>
      </c>
      <c r="S23" s="12"/>
      <c r="T23" s="12"/>
      <c r="U23" s="16"/>
    </row>
    <row r="24" spans="2:21" ht="15.75" customHeight="1">
      <c r="D24" s="9"/>
      <c r="E24" s="9"/>
      <c r="F24" s="9"/>
      <c r="G24" s="9"/>
      <c r="H24" s="9"/>
      <c r="I24" s="9"/>
      <c r="J24" s="9"/>
      <c r="K24" s="9"/>
      <c r="L24" s="47"/>
      <c r="M24" s="28"/>
      <c r="N24" s="28"/>
      <c r="O24" s="28"/>
      <c r="P24" s="28"/>
      <c r="Q24" s="28"/>
      <c r="S24" s="12"/>
      <c r="T24" s="12"/>
      <c r="U24" s="16"/>
    </row>
    <row r="25" spans="2:21" s="11" customFormat="1" ht="15.75" customHeight="1">
      <c r="B25" s="4" t="s">
        <v>34</v>
      </c>
      <c r="D25" s="90">
        <v>0</v>
      </c>
      <c r="E25" s="90"/>
      <c r="F25" s="90"/>
      <c r="G25" s="90">
        <f>SUMIF('305 Inputs'!$A$125:$A$150,"=aga",'305 Inputs'!$H$125:$H$150)</f>
        <v>0</v>
      </c>
      <c r="H25" s="90"/>
      <c r="I25" s="90"/>
      <c r="J25" s="90">
        <v>0</v>
      </c>
      <c r="K25" s="90">
        <f>J25</f>
        <v>0</v>
      </c>
      <c r="L25" s="91">
        <f>G25+K25</f>
        <v>0</v>
      </c>
      <c r="M25" s="30">
        <f>'Table 3'!D25</f>
        <v>1819.5</v>
      </c>
      <c r="N25" s="30">
        <f>'Table 3'!I25</f>
        <v>0</v>
      </c>
      <c r="O25" s="30">
        <f>'Table 3'!M25</f>
        <v>0</v>
      </c>
      <c r="P25" s="30">
        <f>N25+O25</f>
        <v>0</v>
      </c>
      <c r="Q25" s="30">
        <f>+P25+M25</f>
        <v>1819.5</v>
      </c>
      <c r="S25" s="12"/>
      <c r="T25" s="12"/>
      <c r="U25" s="16"/>
    </row>
    <row r="26" spans="2:21" s="11" customFormat="1" ht="15.75" customHeight="1">
      <c r="B26" s="4"/>
      <c r="D26" s="90"/>
      <c r="E26" s="90"/>
      <c r="F26" s="90"/>
      <c r="G26" s="31"/>
      <c r="H26" s="31"/>
      <c r="I26" s="31"/>
      <c r="J26" s="90"/>
      <c r="K26" s="90"/>
      <c r="L26" s="91"/>
      <c r="M26" s="30"/>
      <c r="N26" s="30"/>
      <c r="O26" s="30"/>
      <c r="P26" s="30"/>
      <c r="Q26" s="30"/>
      <c r="S26" s="12"/>
      <c r="T26" s="12"/>
      <c r="U26" s="16"/>
    </row>
    <row r="27" spans="2:21" s="11" customFormat="1" ht="15.75" customHeight="1">
      <c r="B27" s="4" t="s">
        <v>618</v>
      </c>
      <c r="D27" s="90">
        <v>0</v>
      </c>
      <c r="E27" s="90"/>
      <c r="F27" s="90"/>
      <c r="G27" s="90">
        <f>SUMIF('305 Inputs'!$A$125:$A$150,"=def",'305 Inputs'!$H$125:$H$150)</f>
        <v>0</v>
      </c>
      <c r="H27" s="90"/>
      <c r="I27" s="90"/>
      <c r="J27" s="90">
        <v>0</v>
      </c>
      <c r="K27" s="90">
        <v>0</v>
      </c>
      <c r="L27" s="91">
        <v>0</v>
      </c>
      <c r="M27" s="30">
        <f>'Table 3'!D27</f>
        <v>62654.2</v>
      </c>
      <c r="N27" s="30">
        <f>'Table 3'!I27</f>
        <v>-62654.2</v>
      </c>
      <c r="O27" s="30">
        <f>'Table 3'!M27</f>
        <v>0</v>
      </c>
      <c r="P27" s="30">
        <f>N27+O27</f>
        <v>-62654.2</v>
      </c>
      <c r="Q27" s="30">
        <f t="shared" ref="Q27:Q34" si="14">+P27+M27</f>
        <v>0</v>
      </c>
      <c r="S27" s="12"/>
      <c r="T27" s="12"/>
      <c r="U27" s="16"/>
    </row>
    <row r="28" spans="2:21" ht="15.75" customHeight="1">
      <c r="B28" s="4" t="s">
        <v>665</v>
      </c>
      <c r="D28" s="90">
        <v>0</v>
      </c>
      <c r="E28" s="90"/>
      <c r="F28" s="90"/>
      <c r="G28" s="90">
        <f>SUMIF('305 Inputs'!$A$125:$A$150,"=rev",'305 Inputs'!$H$125:$H$150)</f>
        <v>0</v>
      </c>
      <c r="H28" s="90"/>
      <c r="I28" s="90"/>
      <c r="J28" s="90">
        <v>0</v>
      </c>
      <c r="K28" s="90">
        <v>0</v>
      </c>
      <c r="L28" s="91">
        <v>0</v>
      </c>
      <c r="M28" s="30">
        <f>'Table 3'!D28</f>
        <v>-8932140.9000000004</v>
      </c>
      <c r="N28" s="30">
        <f>'Table 3'!I28</f>
        <v>8932140.9000000004</v>
      </c>
      <c r="O28" s="30">
        <f>'Table 3'!M28</f>
        <v>0</v>
      </c>
      <c r="P28" s="30">
        <f t="shared" ref="P28:P36" si="15">N28+O28</f>
        <v>8932140.9000000004</v>
      </c>
      <c r="Q28" s="30">
        <f t="shared" si="14"/>
        <v>0</v>
      </c>
      <c r="S28" s="12"/>
      <c r="T28" s="12"/>
      <c r="U28" s="16"/>
    </row>
    <row r="29" spans="2:21" s="11" customFormat="1" ht="15.75" customHeight="1">
      <c r="B29" s="4" t="s">
        <v>232</v>
      </c>
      <c r="D29" s="90">
        <v>0</v>
      </c>
      <c r="E29" s="90"/>
      <c r="F29" s="90"/>
      <c r="G29" s="90">
        <f>SUMIF('305 Inputs'!$A$125:$A$150,"=acq",'305 Inputs'!$H$125:$H$150)</f>
        <v>0</v>
      </c>
      <c r="H29" s="90"/>
      <c r="I29" s="90"/>
      <c r="J29" s="90">
        <v>0</v>
      </c>
      <c r="K29" s="90">
        <f t="shared" ref="K29:K34" si="16">J29</f>
        <v>0</v>
      </c>
      <c r="L29" s="91">
        <f t="shared" ref="L29:L34" si="17">G29+K29</f>
        <v>0</v>
      </c>
      <c r="M29" s="30">
        <f>'Table 3'!D29</f>
        <v>1597390.06</v>
      </c>
      <c r="N29" s="30">
        <f>'Table 3'!I29</f>
        <v>-1597390.06</v>
      </c>
      <c r="O29" s="30">
        <f>'Table 3'!M29</f>
        <v>0</v>
      </c>
      <c r="P29" s="30">
        <f t="shared" si="15"/>
        <v>-1597390.06</v>
      </c>
      <c r="Q29" s="30">
        <f t="shared" si="14"/>
        <v>0</v>
      </c>
      <c r="S29" s="12"/>
      <c r="T29" s="12"/>
      <c r="U29" s="16"/>
    </row>
    <row r="30" spans="2:21" s="11" customFormat="1" ht="15.75" customHeight="1">
      <c r="B30" s="4" t="s">
        <v>156</v>
      </c>
      <c r="D30" s="90">
        <v>0</v>
      </c>
      <c r="E30" s="90"/>
      <c r="F30" s="90"/>
      <c r="G30" s="90">
        <f>SUMIF('305 Inputs'!$A$125:$A$150,"=cent",'305 Inputs'!$H$125:$H$150)</f>
        <v>0</v>
      </c>
      <c r="H30" s="90"/>
      <c r="I30" s="90"/>
      <c r="J30" s="90">
        <v>0</v>
      </c>
      <c r="K30" s="90">
        <f t="shared" si="16"/>
        <v>0</v>
      </c>
      <c r="L30" s="91">
        <f t="shared" si="17"/>
        <v>0</v>
      </c>
      <c r="M30" s="30">
        <f>'Table 3'!D30</f>
        <v>101815.87</v>
      </c>
      <c r="N30" s="30">
        <f>'Table 3'!I30</f>
        <v>-101815.87</v>
      </c>
      <c r="O30" s="30">
        <f>'Table 3'!M30</f>
        <v>0</v>
      </c>
      <c r="P30" s="30">
        <f t="shared" si="15"/>
        <v>-101815.87</v>
      </c>
      <c r="Q30" s="30">
        <f t="shared" si="14"/>
        <v>0</v>
      </c>
      <c r="S30" s="12"/>
      <c r="T30" s="12"/>
      <c r="U30" s="16"/>
    </row>
    <row r="31" spans="2:21" s="11" customFormat="1" ht="15.75" customHeight="1">
      <c r="B31" s="4" t="s">
        <v>170</v>
      </c>
      <c r="D31" s="90">
        <v>0</v>
      </c>
      <c r="E31" s="90"/>
      <c r="F31" s="90"/>
      <c r="G31" s="90">
        <f>SUMIF('305 Inputs'!$A$125:$A$150,"=merger",'305 Inputs'!$H$125:$H$150)</f>
        <v>0</v>
      </c>
      <c r="H31" s="90"/>
      <c r="I31" s="90"/>
      <c r="J31" s="90">
        <v>0</v>
      </c>
      <c r="K31" s="90">
        <f t="shared" si="16"/>
        <v>0</v>
      </c>
      <c r="L31" s="91">
        <f t="shared" si="17"/>
        <v>0</v>
      </c>
      <c r="M31" s="30">
        <f>'Table 3'!D31</f>
        <v>-3.56</v>
      </c>
      <c r="N31" s="30">
        <f>'Table 3'!I31</f>
        <v>3.56</v>
      </c>
      <c r="O31" s="30">
        <f>'Table 3'!M31</f>
        <v>0</v>
      </c>
      <c r="P31" s="30">
        <f t="shared" si="15"/>
        <v>3.56</v>
      </c>
      <c r="Q31" s="30">
        <f t="shared" si="14"/>
        <v>0</v>
      </c>
      <c r="S31" s="12"/>
      <c r="T31" s="12"/>
      <c r="U31" s="16"/>
    </row>
    <row r="32" spans="2:21" s="11" customFormat="1" ht="15.75" customHeight="1">
      <c r="B32" s="4" t="s">
        <v>672</v>
      </c>
      <c r="D32" s="90">
        <v>0</v>
      </c>
      <c r="E32" s="90"/>
      <c r="F32" s="90"/>
      <c r="G32" s="90">
        <f>SUMIF('305 Inputs'!$A$125:$A$150,"=merger",'305 Inputs'!$H$125:$H$150)</f>
        <v>0</v>
      </c>
      <c r="H32" s="90"/>
      <c r="I32" s="90"/>
      <c r="J32" s="90">
        <v>0</v>
      </c>
      <c r="K32" s="90">
        <f t="shared" si="16"/>
        <v>0</v>
      </c>
      <c r="L32" s="91">
        <f t="shared" si="17"/>
        <v>0</v>
      </c>
      <c r="M32" s="30">
        <f>'Table 3'!D32</f>
        <v>4584004.46</v>
      </c>
      <c r="N32" s="30">
        <f>'Table 3'!I32</f>
        <v>-4584004.46</v>
      </c>
      <c r="O32" s="30">
        <f>'Table 3'!M32</f>
        <v>0</v>
      </c>
      <c r="P32" s="30">
        <f t="shared" ref="P32" si="18">N32+O32</f>
        <v>-4584004.46</v>
      </c>
      <c r="Q32" s="30">
        <f t="shared" ref="Q32" si="19">+P32+M32</f>
        <v>0</v>
      </c>
      <c r="S32" s="12"/>
      <c r="T32" s="12"/>
      <c r="U32" s="16"/>
    </row>
    <row r="33" spans="1:21" s="11" customFormat="1" ht="15.75" customHeight="1">
      <c r="B33" s="4" t="s">
        <v>673</v>
      </c>
      <c r="D33" s="90">
        <v>0</v>
      </c>
      <c r="E33" s="90"/>
      <c r="F33" s="90"/>
      <c r="G33" s="90">
        <f>SUMIF('305 Inputs'!$A$125:$A$150,"=merger",'305 Inputs'!$H$125:$H$150)</f>
        <v>0</v>
      </c>
      <c r="H33" s="90"/>
      <c r="I33" s="90"/>
      <c r="J33" s="90">
        <v>0</v>
      </c>
      <c r="K33" s="90">
        <f t="shared" si="16"/>
        <v>0</v>
      </c>
      <c r="L33" s="91">
        <f t="shared" si="17"/>
        <v>0</v>
      </c>
      <c r="M33" s="30">
        <f>'Table 3'!D33</f>
        <v>153646.56</v>
      </c>
      <c r="N33" s="30">
        <f>'Table 3'!I33</f>
        <v>-153646.56</v>
      </c>
      <c r="O33" s="30">
        <f>'Table 3'!M33</f>
        <v>0</v>
      </c>
      <c r="P33" s="30">
        <f t="shared" ref="P33" si="20">N33+O33</f>
        <v>-153646.56</v>
      </c>
      <c r="Q33" s="30">
        <f t="shared" ref="Q33" si="21">+P33+M33</f>
        <v>0</v>
      </c>
      <c r="S33" s="12"/>
      <c r="T33" s="12"/>
      <c r="U33" s="16"/>
    </row>
    <row r="34" spans="1:21" s="11" customFormat="1" ht="15.75" customHeight="1">
      <c r="B34" s="4" t="s">
        <v>82</v>
      </c>
      <c r="D34" s="90">
        <v>0</v>
      </c>
      <c r="E34" s="90"/>
      <c r="F34" s="90"/>
      <c r="G34" s="90">
        <f>SUMIF('305 Inputs'!$A$125:$A$150,"=bpa",'305 Inputs'!$H$125:$H$150)</f>
        <v>0</v>
      </c>
      <c r="H34" s="90"/>
      <c r="I34" s="90"/>
      <c r="J34" s="90">
        <v>0</v>
      </c>
      <c r="K34" s="90">
        <f t="shared" si="16"/>
        <v>0</v>
      </c>
      <c r="L34" s="91">
        <f t="shared" si="17"/>
        <v>0</v>
      </c>
      <c r="M34" s="30">
        <f>'Table 3'!D34</f>
        <v>654601.77</v>
      </c>
      <c r="N34" s="30">
        <f>'Table 3'!I34</f>
        <v>-654601.77</v>
      </c>
      <c r="O34" s="30">
        <f>'Table 3'!M34</f>
        <v>0</v>
      </c>
      <c r="P34" s="30">
        <f t="shared" si="15"/>
        <v>-654601.77</v>
      </c>
      <c r="Q34" s="30">
        <f t="shared" si="14"/>
        <v>0</v>
      </c>
      <c r="S34" s="12"/>
      <c r="T34" s="12"/>
      <c r="U34" s="16"/>
    </row>
    <row r="35" spans="1:21" ht="15.75" customHeight="1">
      <c r="B35" s="11"/>
      <c r="D35" s="9"/>
      <c r="E35" s="9"/>
      <c r="F35" s="9"/>
      <c r="G35" s="9"/>
      <c r="H35" s="9"/>
      <c r="I35" s="9"/>
      <c r="J35" s="9"/>
      <c r="K35" s="9"/>
      <c r="L35" s="47"/>
      <c r="M35" s="28"/>
      <c r="N35" s="28"/>
      <c r="O35" s="28"/>
      <c r="P35" s="28"/>
      <c r="Q35" s="28"/>
      <c r="S35" s="12"/>
      <c r="T35" s="12"/>
      <c r="U35" s="16"/>
    </row>
    <row r="36" spans="1:21" s="11" customFormat="1" ht="15.75" customHeight="1">
      <c r="B36" s="4" t="s">
        <v>80</v>
      </c>
      <c r="D36" s="90">
        <v>0</v>
      </c>
      <c r="E36" s="90"/>
      <c r="F36" s="90"/>
      <c r="G36" s="90">
        <f>SUMIF('305 Inputs'!$A$125:$A$154,"=unbilled",'305 Inputs'!$H$125:$H$154)</f>
        <v>-20896000</v>
      </c>
      <c r="H36" s="90">
        <f>-G36</f>
        <v>20896000</v>
      </c>
      <c r="I36" s="90"/>
      <c r="J36" s="90">
        <v>0</v>
      </c>
      <c r="K36" s="90">
        <f>H36+I36+J36</f>
        <v>20896000</v>
      </c>
      <c r="L36" s="91">
        <f>G36+K36</f>
        <v>0</v>
      </c>
      <c r="M36" s="30">
        <f>'Table 3'!D36</f>
        <v>590000</v>
      </c>
      <c r="N36" s="30">
        <f>'Table 3'!I36</f>
        <v>-590000</v>
      </c>
      <c r="O36" s="30">
        <f>'Table 3'!M36</f>
        <v>0</v>
      </c>
      <c r="P36" s="30">
        <f t="shared" si="15"/>
        <v>-590000</v>
      </c>
      <c r="Q36" s="30">
        <f>+P36+M36</f>
        <v>0</v>
      </c>
      <c r="S36" s="12"/>
      <c r="T36" s="12"/>
      <c r="U36" s="16"/>
    </row>
    <row r="37" spans="1:21" ht="15.75" customHeight="1">
      <c r="D37" s="92"/>
      <c r="E37" s="92"/>
      <c r="F37" s="92"/>
      <c r="G37" s="92"/>
      <c r="H37" s="92"/>
      <c r="I37" s="92"/>
      <c r="J37" s="92"/>
      <c r="K37" s="92"/>
      <c r="L37" s="93"/>
      <c r="M37" s="87"/>
      <c r="N37" s="87"/>
      <c r="O37" s="87"/>
      <c r="P37" s="87"/>
      <c r="Q37" s="8"/>
      <c r="S37" s="12"/>
      <c r="T37" s="12"/>
      <c r="U37" s="16"/>
    </row>
    <row r="38" spans="1:21" ht="15.75" customHeight="1">
      <c r="B38" s="32" t="s">
        <v>9</v>
      </c>
      <c r="C38" s="33"/>
      <c r="D38" s="94">
        <f t="shared" ref="D38:Q38" si="22">+D20+D23+D25+SUM(D27:D36)</f>
        <v>112530.5</v>
      </c>
      <c r="E38" s="94">
        <f t="shared" si="22"/>
        <v>-238.56792114942573</v>
      </c>
      <c r="F38" s="94">
        <f t="shared" si="22"/>
        <v>112291.93207885057</v>
      </c>
      <c r="G38" s="94">
        <f t="shared" si="22"/>
        <v>1608219052</v>
      </c>
      <c r="H38" s="94">
        <f t="shared" si="22"/>
        <v>0</v>
      </c>
      <c r="I38" s="94">
        <f t="shared" si="22"/>
        <v>-200596</v>
      </c>
      <c r="J38" s="94">
        <f t="shared" si="22"/>
        <v>-60226372.630040117</v>
      </c>
      <c r="K38" s="94">
        <f t="shared" si="22"/>
        <v>-60426968.630040124</v>
      </c>
      <c r="L38" s="94">
        <f t="shared" si="22"/>
        <v>1547792083.3699601</v>
      </c>
      <c r="M38" s="36">
        <f t="shared" si="22"/>
        <v>137110174.65000001</v>
      </c>
      <c r="N38" s="36">
        <f t="shared" ca="1" si="22"/>
        <v>13947949.666880839</v>
      </c>
      <c r="O38" s="36">
        <f t="shared" si="22"/>
        <v>0.26863548636174528</v>
      </c>
      <c r="P38" s="36">
        <f t="shared" ca="1" si="22"/>
        <v>13947949.935516324</v>
      </c>
      <c r="Q38" s="36">
        <f t="shared" ca="1" si="22"/>
        <v>151058124.58551633</v>
      </c>
      <c r="S38" s="8"/>
      <c r="T38" s="8"/>
      <c r="U38" s="54"/>
    </row>
    <row r="39" spans="1:21" ht="15.75" customHeight="1">
      <c r="D39" s="9"/>
      <c r="E39" s="9"/>
      <c r="F39" s="9" t="s">
        <v>31</v>
      </c>
      <c r="G39" s="521"/>
      <c r="H39" s="521"/>
      <c r="I39" s="521"/>
      <c r="J39" s="9"/>
      <c r="K39" s="9"/>
      <c r="L39" s="47"/>
      <c r="M39" s="28"/>
      <c r="N39" s="421"/>
      <c r="O39" s="421"/>
      <c r="P39" s="421"/>
      <c r="Q39" s="8"/>
      <c r="S39" s="8"/>
      <c r="T39" s="8"/>
      <c r="U39" s="54"/>
    </row>
    <row r="40" spans="1:21" ht="15.75" customHeight="1">
      <c r="A40" s="5" t="s">
        <v>18</v>
      </c>
      <c r="B40" s="5"/>
      <c r="D40" s="9"/>
      <c r="E40" s="9"/>
      <c r="F40" s="9"/>
      <c r="G40" s="9"/>
      <c r="H40" s="9"/>
      <c r="I40" s="9"/>
      <c r="J40" s="9"/>
      <c r="K40" s="9"/>
      <c r="L40" s="47"/>
      <c r="M40" s="28"/>
      <c r="N40" s="28"/>
      <c r="O40" s="28"/>
      <c r="P40" s="28"/>
      <c r="Q40" s="8"/>
      <c r="S40" s="8"/>
      <c r="T40" s="8"/>
      <c r="U40" s="54"/>
    </row>
    <row r="41" spans="1:21" ht="15.75" customHeight="1">
      <c r="B41" s="522" t="s">
        <v>51</v>
      </c>
      <c r="D41" s="31">
        <f>SUMIF('305 Inputs'!$A$7:$A$46,"=24",'305 Inputs'!$L$7:$L$46)</f>
        <v>15946.666666666666</v>
      </c>
      <c r="E41" s="31">
        <f t="shared" ref="E41:E43" si="23">F41-D41</f>
        <v>-40.033333333427436</v>
      </c>
      <c r="F41" s="31">
        <f>'Exhibit No.__(RMM-11) p1-8'!C302/12</f>
        <v>15906.633333333239</v>
      </c>
      <c r="G41" s="31">
        <f>SUMIF('305 Inputs'!$A$7:$A$46,"=24",'305 Inputs'!$H$7:$H$46)</f>
        <v>516083774</v>
      </c>
      <c r="H41" s="31">
        <f>G41/($G$44+$G$47+$G$50+$G$54+'305 Inputs'!$H$153)*$G$67</f>
        <v>4703700.3237753101</v>
      </c>
      <c r="I41" s="31">
        <f>'305 VS COGNOS kWh'!E20+'305 VS COGNOS kWh'!K20+'305 VS COGNOS kWh'!E28+'305 VS COGNOS kWh'!K28</f>
        <v>728592</v>
      </c>
      <c r="J41" s="31">
        <f>Temperature!B75*1000</f>
        <v>-5144880.8246873794</v>
      </c>
      <c r="K41" s="31">
        <f>H41+I41+J41</f>
        <v>287411.49908793066</v>
      </c>
      <c r="L41" s="89">
        <f>G41+K41</f>
        <v>516371185.49908793</v>
      </c>
      <c r="M41" s="28">
        <f>'Table 3'!D41</f>
        <v>47177392.560000002</v>
      </c>
      <c r="N41" s="28">
        <f>'Table 3'!I41</f>
        <v>1028070.3617347085</v>
      </c>
      <c r="O41" s="28">
        <f>'Table 3'!M41</f>
        <v>9.3827415112173185E-3</v>
      </c>
      <c r="P41" s="28">
        <f>N41+O41</f>
        <v>1028070.3711174501</v>
      </c>
      <c r="Q41" s="28">
        <f>+P41+M41</f>
        <v>48205462.931117453</v>
      </c>
      <c r="S41" s="8"/>
      <c r="T41" s="8"/>
      <c r="U41" s="54"/>
    </row>
    <row r="42" spans="1:21" s="11" customFormat="1" ht="15.75" customHeight="1">
      <c r="B42" s="522" t="s">
        <v>52</v>
      </c>
      <c r="D42" s="31">
        <f>SUMIF('305 Inputs'!$A$7:$A$46,"=24f",'305 Inputs'!$L$7:$L$46)</f>
        <v>110</v>
      </c>
      <c r="E42" s="31">
        <f t="shared" si="23"/>
        <v>0.26666666666666572</v>
      </c>
      <c r="F42" s="31">
        <f>'Exhibit No.__(RMM-11) p1-8'!C406/12</f>
        <v>110.26666666666667</v>
      </c>
      <c r="G42" s="31">
        <f>SUMIF('305 Inputs'!$A$7:$A$46,"=24f",'305 Inputs'!$H$7:$H$46)</f>
        <v>1223885</v>
      </c>
      <c r="H42" s="31">
        <f>G42/($G$44+$G$47+$G$50+$G$54+'305 Inputs'!$H$153)*$G$67</f>
        <v>11154.755411402928</v>
      </c>
      <c r="I42" s="31">
        <f>'305 VS COGNOS kWh'!E21+'305 VS COGNOS kWh'!K21</f>
        <v>2234.1537199490704</v>
      </c>
      <c r="J42" s="31">
        <v>0</v>
      </c>
      <c r="K42" s="31">
        <f>H42+I42+J42</f>
        <v>13388.909131351998</v>
      </c>
      <c r="L42" s="89">
        <f>G42+K42</f>
        <v>1237273.9091313521</v>
      </c>
      <c r="M42" s="28">
        <f>'Table 3'!D42</f>
        <v>168997.77000000002</v>
      </c>
      <c r="N42" s="28">
        <f>'Table 3'!I42</f>
        <v>3846.0449479249783</v>
      </c>
      <c r="O42" s="28">
        <f>'Table 3'!M42</f>
        <v>0</v>
      </c>
      <c r="P42" s="28">
        <f>N42+O42</f>
        <v>3846.0449479249783</v>
      </c>
      <c r="Q42" s="28">
        <f>+P42+M42</f>
        <v>172843.81494792498</v>
      </c>
      <c r="S42" s="12"/>
      <c r="T42" s="12"/>
      <c r="U42" s="16"/>
    </row>
    <row r="43" spans="1:21" ht="15.75" customHeight="1">
      <c r="B43" s="522" t="s">
        <v>57</v>
      </c>
      <c r="D43" s="90">
        <f>SUMIF('305 Inputs'!$A$7:$A$46,"=24fp",'305 Inputs'!$L$7:$L$46)</f>
        <v>73.916666666666671</v>
      </c>
      <c r="E43" s="90">
        <f t="shared" si="23"/>
        <v>-2.9274999999999523</v>
      </c>
      <c r="F43" s="90">
        <f>'Exhibit No.__(RMM-11) p1-8'!C512/12</f>
        <v>70.989166666666719</v>
      </c>
      <c r="G43" s="90">
        <f>SUMIF('305 Inputs'!$A$7:$A$46,"=24fp",'305 Inputs'!$H$7:$H$46)</f>
        <v>130258</v>
      </c>
      <c r="H43" s="90">
        <f>G43/($G$44+$G$47+$G$50+$G$54+'305 Inputs'!$H$153)*$G$67</f>
        <v>1187.1998842853066</v>
      </c>
      <c r="I43" s="90">
        <f>'305 VS COGNOS kWh'!E22+'305 VS COGNOS kWh'!K22</f>
        <v>-387</v>
      </c>
      <c r="J43" s="90">
        <v>0</v>
      </c>
      <c r="K43" s="90">
        <f>H43+I43+J43</f>
        <v>800.19988428530655</v>
      </c>
      <c r="L43" s="91">
        <f>G43+K43</f>
        <v>131058.19988428531</v>
      </c>
      <c r="M43" s="30">
        <f>'Table 3'!D43</f>
        <v>68383.239999999991</v>
      </c>
      <c r="N43" s="30">
        <f>'Table 3'!I43</f>
        <v>1990.8645668800432</v>
      </c>
      <c r="O43" s="30">
        <f>'Table 3'!M43</f>
        <v>0</v>
      </c>
      <c r="P43" s="30">
        <f t="shared" ref="P43" si="24">N43+O43</f>
        <v>1990.8645668800432</v>
      </c>
      <c r="Q43" s="30">
        <f>+P43+M43</f>
        <v>70374.104566880036</v>
      </c>
      <c r="S43" s="8"/>
      <c r="T43" s="8"/>
      <c r="U43" s="54"/>
    </row>
    <row r="44" spans="1:21" ht="15.75" customHeight="1">
      <c r="B44" s="4" t="s">
        <v>35</v>
      </c>
      <c r="D44" s="31">
        <f t="shared" ref="D44:J44" si="25">SUM(D41:D43)</f>
        <v>16130.583333333332</v>
      </c>
      <c r="E44" s="31">
        <f t="shared" si="25"/>
        <v>-42.694166666760722</v>
      </c>
      <c r="F44" s="31">
        <f t="shared" si="25"/>
        <v>16087.889166666571</v>
      </c>
      <c r="G44" s="31">
        <f>SUM(G41:G43)</f>
        <v>517437917</v>
      </c>
      <c r="H44" s="31">
        <f t="shared" si="25"/>
        <v>4716042.2790709985</v>
      </c>
      <c r="I44" s="31">
        <f t="shared" si="25"/>
        <v>730439.15371994907</v>
      </c>
      <c r="J44" s="31">
        <f t="shared" si="25"/>
        <v>-5144880.8246873794</v>
      </c>
      <c r="K44" s="31">
        <f>H44+I44+J44</f>
        <v>301600.60810356867</v>
      </c>
      <c r="L44" s="89">
        <f t="shared" ref="L44:Q44" si="26">SUM(L41:L43)</f>
        <v>517739517.60810357</v>
      </c>
      <c r="M44" s="31">
        <f t="shared" si="26"/>
        <v>47414773.570000008</v>
      </c>
      <c r="N44" s="31">
        <f t="shared" si="26"/>
        <v>1033907.2712495136</v>
      </c>
      <c r="O44" s="31">
        <f t="shared" si="26"/>
        <v>9.3827415112173185E-3</v>
      </c>
      <c r="P44" s="31">
        <f t="shared" si="26"/>
        <v>1033907.2806322551</v>
      </c>
      <c r="Q44" s="31">
        <f t="shared" si="26"/>
        <v>48448680.850632258</v>
      </c>
      <c r="U44" s="54"/>
    </row>
    <row r="45" spans="1:21" ht="15.75" customHeight="1">
      <c r="D45" s="31"/>
      <c r="E45" s="31"/>
      <c r="F45" s="31"/>
      <c r="G45" s="9"/>
      <c r="H45" s="9"/>
      <c r="I45" s="9"/>
      <c r="J45" s="9"/>
      <c r="K45" s="9"/>
      <c r="L45" s="47" t="s">
        <v>31</v>
      </c>
      <c r="M45" s="28"/>
      <c r="N45" s="28"/>
      <c r="O45" s="28"/>
      <c r="P45" s="28"/>
      <c r="Q45" s="8"/>
      <c r="S45" s="8"/>
      <c r="T45" s="8"/>
      <c r="U45" s="54"/>
    </row>
    <row r="46" spans="1:21" ht="15.75" customHeight="1">
      <c r="B46" s="522" t="s">
        <v>53</v>
      </c>
      <c r="D46" s="90">
        <f>SUMIF('305 Inputs'!$A$7:$A$46,"=36",'305 Inputs'!$L$7:$L$46)+SUMIF('305 Inputs'!$A$125:$A$154,"=36",'305 Inputs'!$L$125:$L$154)</f>
        <v>976.24999999999989</v>
      </c>
      <c r="E46" s="90">
        <f>F46-D46</f>
        <v>-2.4277777777774645</v>
      </c>
      <c r="F46" s="90">
        <f>'Exhibit No.__(RMM-11) p1-8'!C664/12</f>
        <v>973.82222222222242</v>
      </c>
      <c r="G46" s="90">
        <f>SUMIF('305 Inputs'!$A$7:$A$46,"=36",'305 Inputs'!$H$7:$H$46)</f>
        <v>845092131</v>
      </c>
      <c r="H46" s="90">
        <f>(G46+G19)/($G$44+$G$47+$G$50+$G$54+'305 Inputs'!$H$153)*$G$67</f>
        <v>7716768.3597677127</v>
      </c>
      <c r="I46" s="90">
        <f>'305 VS COGNOS kWh'!E24+'305 VS COGNOS kWh'!K24+'305 VS COGNOS kWh'!E29+'305 VS COGNOS kWh'!K29</f>
        <v>-32214</v>
      </c>
      <c r="J46" s="90">
        <f>Temperature!B110*1000</f>
        <v>-7672616.9529263787</v>
      </c>
      <c r="K46" s="90">
        <f>H46+I46+J46</f>
        <v>11937.406841333956</v>
      </c>
      <c r="L46" s="91">
        <f>G46+K46</f>
        <v>845104068.40684128</v>
      </c>
      <c r="M46" s="30">
        <f>'Table 3'!D46</f>
        <v>65916319.790000007</v>
      </c>
      <c r="N46" s="30">
        <f>'Table 3'!I46</f>
        <v>1702637.4938548701</v>
      </c>
      <c r="O46" s="30">
        <f>'Table 3'!M46</f>
        <v>2.2741058201063424E-3</v>
      </c>
      <c r="P46" s="30">
        <f t="shared" ref="P46" si="27">N46+O46</f>
        <v>1702637.4961289759</v>
      </c>
      <c r="Q46" s="30">
        <f>+P46+M46</f>
        <v>67618957.286128983</v>
      </c>
      <c r="S46" s="8"/>
      <c r="T46" s="8"/>
      <c r="U46" s="54"/>
    </row>
    <row r="47" spans="1:21" ht="15.75" customHeight="1">
      <c r="B47" s="4" t="s">
        <v>35</v>
      </c>
      <c r="D47" s="31">
        <f t="shared" ref="D47:I47" si="28">SUM(D46:D46)</f>
        <v>976.24999999999989</v>
      </c>
      <c r="E47" s="31">
        <f t="shared" si="28"/>
        <v>-2.4277777777774645</v>
      </c>
      <c r="F47" s="31">
        <f t="shared" si="28"/>
        <v>973.82222222222242</v>
      </c>
      <c r="G47" s="31">
        <f>SUM(G46:G46)</f>
        <v>845092131</v>
      </c>
      <c r="H47" s="31">
        <f t="shared" si="28"/>
        <v>7716768.3597677127</v>
      </c>
      <c r="I47" s="31">
        <f t="shared" si="28"/>
        <v>-32214</v>
      </c>
      <c r="J47" s="31">
        <f t="shared" ref="J47:Q47" si="29">SUM(J46:J46)</f>
        <v>-7672616.9529263787</v>
      </c>
      <c r="K47" s="31">
        <f t="shared" si="29"/>
        <v>11937.406841333956</v>
      </c>
      <c r="L47" s="89">
        <f t="shared" si="29"/>
        <v>845104068.40684128</v>
      </c>
      <c r="M47" s="28">
        <f t="shared" si="29"/>
        <v>65916319.790000007</v>
      </c>
      <c r="N47" s="28">
        <f t="shared" si="29"/>
        <v>1702637.4938548701</v>
      </c>
      <c r="O47" s="28">
        <f t="shared" si="29"/>
        <v>2.2741058201063424E-3</v>
      </c>
      <c r="P47" s="28">
        <f t="shared" si="29"/>
        <v>1702637.4961289759</v>
      </c>
      <c r="Q47" s="28">
        <f t="shared" si="29"/>
        <v>67618957.286128983</v>
      </c>
      <c r="S47" s="8"/>
      <c r="T47" s="8"/>
      <c r="U47" s="54"/>
    </row>
    <row r="48" spans="1:21" ht="15.75" customHeight="1">
      <c r="D48" s="31"/>
      <c r="E48" s="31"/>
      <c r="F48" s="31"/>
      <c r="G48" s="9"/>
      <c r="H48" s="9"/>
      <c r="I48" s="9"/>
      <c r="J48" s="9" t="s">
        <v>31</v>
      </c>
      <c r="K48" s="9" t="s">
        <v>31</v>
      </c>
      <c r="L48" s="47" t="s">
        <v>31</v>
      </c>
      <c r="M48" s="28" t="s">
        <v>31</v>
      </c>
      <c r="N48" s="28" t="s">
        <v>31</v>
      </c>
      <c r="O48" s="28" t="s">
        <v>31</v>
      </c>
      <c r="P48" s="28"/>
      <c r="Q48" s="28" t="s">
        <v>31</v>
      </c>
      <c r="S48" s="8"/>
      <c r="T48" s="8"/>
      <c r="U48" s="54"/>
    </row>
    <row r="49" spans="2:21" ht="15.75" customHeight="1">
      <c r="B49" s="522" t="s">
        <v>54</v>
      </c>
      <c r="C49" s="11"/>
      <c r="D49" s="90">
        <f>SUMIF('305 Inputs'!$A$7:$A$46,"=48t",'305 Inputs'!$L$7:$L$46)</f>
        <v>36.333333333333336</v>
      </c>
      <c r="E49" s="90">
        <f>F49-D49</f>
        <v>7.0707070707079822E-2</v>
      </c>
      <c r="F49" s="90">
        <f>'Exhibit No.__(RMM-11) p1-8'!C1072/12</f>
        <v>36.404040404040416</v>
      </c>
      <c r="G49" s="90">
        <f>SUMIF('305 Inputs'!$A$7:$A$46,"=48t",'305 Inputs'!$H$7:$H$46)</f>
        <v>194294801</v>
      </c>
      <c r="H49" s="90">
        <f>G49/($G$44+$G$47+$G$50+$G$54+'305 Inputs'!$H$153)*$G$67</f>
        <v>1770845.2860049801</v>
      </c>
      <c r="I49" s="90">
        <f>'305 VS COGNOS kWh'!E25+'305 VS COGNOS kWh'!K25</f>
        <v>126900</v>
      </c>
      <c r="J49" s="90">
        <f>(Temperature!B127+Temperature!F127)*1000</f>
        <v>-1686957.3716461251</v>
      </c>
      <c r="K49" s="90">
        <f>H49+I49+J49</f>
        <v>210787.91435885499</v>
      </c>
      <c r="L49" s="91">
        <f>G49+K49</f>
        <v>194505588.91435885</v>
      </c>
      <c r="M49" s="30">
        <f>'Table 3'!D49</f>
        <v>14223219.33</v>
      </c>
      <c r="N49" s="30">
        <f>'Table 3'!I49</f>
        <v>202433.87362280392</v>
      </c>
      <c r="O49" s="30">
        <f>'Table 3'!M49</f>
        <v>1.0709823982324451E-5</v>
      </c>
      <c r="P49" s="30">
        <f t="shared" ref="P49" si="30">N49+O49</f>
        <v>202433.87363351375</v>
      </c>
      <c r="Q49" s="30">
        <f>+P49+M49</f>
        <v>14425653.203633513</v>
      </c>
      <c r="U49" s="54"/>
    </row>
    <row r="50" spans="2:21" ht="15.75" customHeight="1">
      <c r="B50" s="4" t="s">
        <v>35</v>
      </c>
      <c r="D50" s="31">
        <f t="shared" ref="D50:I50" si="31">SUM(D49)</f>
        <v>36.333333333333336</v>
      </c>
      <c r="E50" s="31">
        <f t="shared" si="31"/>
        <v>7.0707070707079822E-2</v>
      </c>
      <c r="F50" s="31">
        <f t="shared" si="31"/>
        <v>36.404040404040416</v>
      </c>
      <c r="G50" s="31">
        <f>SUM(G49)</f>
        <v>194294801</v>
      </c>
      <c r="H50" s="31">
        <f t="shared" si="31"/>
        <v>1770845.2860049801</v>
      </c>
      <c r="I50" s="31">
        <f t="shared" si="31"/>
        <v>126900</v>
      </c>
      <c r="J50" s="31">
        <f t="shared" ref="J50:Q50" si="32">SUM(J49)</f>
        <v>-1686957.3716461251</v>
      </c>
      <c r="K50" s="31">
        <f t="shared" si="32"/>
        <v>210787.91435885499</v>
      </c>
      <c r="L50" s="89">
        <f>SUM(L49)</f>
        <v>194505588.91435885</v>
      </c>
      <c r="M50" s="28">
        <f>SUM(M49)</f>
        <v>14223219.33</v>
      </c>
      <c r="N50" s="28">
        <f t="shared" si="32"/>
        <v>202433.87362280392</v>
      </c>
      <c r="O50" s="28">
        <f t="shared" si="32"/>
        <v>1.0709823982324451E-5</v>
      </c>
      <c r="P50" s="28">
        <f t="shared" si="32"/>
        <v>202433.87363351375</v>
      </c>
      <c r="Q50" s="28">
        <f t="shared" si="32"/>
        <v>14425653.203633513</v>
      </c>
      <c r="S50" s="8"/>
      <c r="T50" s="8"/>
      <c r="U50" s="54"/>
    </row>
    <row r="51" spans="2:21" ht="15.75" customHeight="1">
      <c r="D51" s="31"/>
      <c r="E51" s="31"/>
      <c r="F51" s="31"/>
      <c r="G51" s="9"/>
      <c r="H51" s="9"/>
      <c r="I51" s="9"/>
      <c r="J51" s="9" t="s">
        <v>31</v>
      </c>
      <c r="K51" s="9" t="s">
        <v>31</v>
      </c>
      <c r="L51" s="47" t="s">
        <v>31</v>
      </c>
      <c r="M51" s="28" t="s">
        <v>31</v>
      </c>
      <c r="N51" s="28" t="s">
        <v>31</v>
      </c>
      <c r="O51" s="28" t="s">
        <v>31</v>
      </c>
      <c r="P51" s="28"/>
      <c r="Q51" s="28" t="s">
        <v>31</v>
      </c>
      <c r="S51" s="8"/>
      <c r="T51" s="8"/>
      <c r="U51" s="54"/>
    </row>
    <row r="52" spans="2:21" ht="15.75" customHeight="1">
      <c r="B52" s="522" t="s">
        <v>55</v>
      </c>
      <c r="D52" s="31">
        <f>SUMIF('305 Inputs'!$A$7:$A$46,"=15n",'305 Inputs'!$L$7:$L$46)</f>
        <v>1234.6666666666667</v>
      </c>
      <c r="E52" s="31">
        <f t="shared" ref="E52:E53" si="33">F52-D52</f>
        <v>2.3333333333332575</v>
      </c>
      <c r="F52" s="31">
        <f>'Exhibit No.__(RMM-11) p1-8'!C63/12</f>
        <v>1237</v>
      </c>
      <c r="G52" s="31">
        <f>SUMIF('305 Inputs'!$A$7:$A$46,"=15n",'305 Inputs'!$H$7:$H$46)</f>
        <v>1950213</v>
      </c>
      <c r="H52" s="31">
        <f>G52/($G$44+$G$47+$G$50+$G$54+'305 Inputs'!$H$153)*$G$67</f>
        <v>17774.667566918739</v>
      </c>
      <c r="I52" s="31">
        <f>'305 VS COGNOS kWh'!E26+'305 VS COGNOS kWh'!K26</f>
        <v>6908.5</v>
      </c>
      <c r="J52" s="31">
        <v>0</v>
      </c>
      <c r="K52" s="31">
        <f>H52+I52+J52</f>
        <v>24683.167566918739</v>
      </c>
      <c r="L52" s="89">
        <f>G52+K52</f>
        <v>1974896.1675669188</v>
      </c>
      <c r="M52" s="28">
        <f>'Table 3'!D52</f>
        <v>286985.58</v>
      </c>
      <c r="N52" s="28">
        <f>'Table 3'!I52</f>
        <v>8995.9427825772582</v>
      </c>
      <c r="O52" s="28">
        <f>'Table 3'!M52</f>
        <v>0</v>
      </c>
      <c r="P52" s="28">
        <f>N52+O52</f>
        <v>8995.9427825772582</v>
      </c>
      <c r="Q52" s="28">
        <f>+P52+M52</f>
        <v>295981.52278257726</v>
      </c>
      <c r="S52" s="8"/>
      <c r="T52" s="8"/>
      <c r="U52" s="54"/>
    </row>
    <row r="53" spans="2:21" ht="15.75" customHeight="1">
      <c r="B53" s="522" t="s">
        <v>56</v>
      </c>
      <c r="D53" s="90">
        <f>SUMIF('305 Inputs'!$A$7:$A$46,"=54",'305 Inputs'!$L$7:$L$46)</f>
        <v>27</v>
      </c>
      <c r="E53" s="90">
        <f t="shared" si="33"/>
        <v>0</v>
      </c>
      <c r="F53" s="90">
        <f>'Exhibit No.__(RMM-11) p1-8'!C1249/12</f>
        <v>27</v>
      </c>
      <c r="G53" s="90">
        <f>SUMIF('305 Inputs'!$A$7:$A$46,"=54",'305 Inputs'!$H$7:$H$46)</f>
        <v>281912</v>
      </c>
      <c r="H53" s="90">
        <f>G53/($G$44+$G$47+$G$50+$G$54+'305 Inputs'!$H$153)*$G$67</f>
        <v>2569.407589389054</v>
      </c>
      <c r="I53" s="90">
        <f>'305 VS COGNOS kWh'!E27+'305 VS COGNOS kWh'!K27</f>
        <v>800</v>
      </c>
      <c r="J53" s="90">
        <v>0</v>
      </c>
      <c r="K53" s="90">
        <f>H53+I53+J53</f>
        <v>3369.407589389054</v>
      </c>
      <c r="L53" s="91">
        <f>G53+K53</f>
        <v>285281.40758938907</v>
      </c>
      <c r="M53" s="30">
        <f>'Table 3'!D53</f>
        <v>26057.85</v>
      </c>
      <c r="N53" s="30">
        <f>'Table 3'!I53</f>
        <v>371.04560655615774</v>
      </c>
      <c r="O53" s="30">
        <f>'Table 3'!M53</f>
        <v>0</v>
      </c>
      <c r="P53" s="30">
        <f t="shared" ref="P53" si="34">N53+O53</f>
        <v>371.04560655615774</v>
      </c>
      <c r="Q53" s="30">
        <f>+P53+M53</f>
        <v>26428.895606556158</v>
      </c>
      <c r="S53" s="8"/>
      <c r="T53" s="8"/>
      <c r="U53" s="54"/>
    </row>
    <row r="54" spans="2:21" ht="15.75" customHeight="1">
      <c r="B54" s="4" t="s">
        <v>35</v>
      </c>
      <c r="D54" s="31">
        <f t="shared" ref="D54:I54" si="35">SUM(D52:D53)</f>
        <v>1261.6666666666667</v>
      </c>
      <c r="E54" s="31">
        <f t="shared" si="35"/>
        <v>2.3333333333332575</v>
      </c>
      <c r="F54" s="31">
        <f t="shared" si="35"/>
        <v>1264</v>
      </c>
      <c r="G54" s="31">
        <f>SUM(G52:G53)</f>
        <v>2232125</v>
      </c>
      <c r="H54" s="31">
        <f t="shared" si="35"/>
        <v>20344.075156307794</v>
      </c>
      <c r="I54" s="31">
        <f t="shared" si="35"/>
        <v>7708.5</v>
      </c>
      <c r="J54" s="31">
        <f t="shared" ref="J54:Q54" si="36">SUM(J52:J53)</f>
        <v>0</v>
      </c>
      <c r="K54" s="31">
        <f t="shared" si="36"/>
        <v>28052.575156307794</v>
      </c>
      <c r="L54" s="89">
        <f t="shared" si="36"/>
        <v>2260177.5751563078</v>
      </c>
      <c r="M54" s="28">
        <f t="shared" si="36"/>
        <v>313043.43</v>
      </c>
      <c r="N54" s="28">
        <f t="shared" si="36"/>
        <v>9366.9883891334157</v>
      </c>
      <c r="O54" s="28">
        <f t="shared" si="36"/>
        <v>0</v>
      </c>
      <c r="P54" s="28">
        <f t="shared" si="36"/>
        <v>9366.9883891334157</v>
      </c>
      <c r="Q54" s="28">
        <f t="shared" si="36"/>
        <v>322410.41838913341</v>
      </c>
      <c r="U54" s="54"/>
    </row>
    <row r="55" spans="2:21" ht="15.75" customHeight="1">
      <c r="D55" s="31"/>
      <c r="E55" s="31"/>
      <c r="F55" s="31" t="s">
        <v>31</v>
      </c>
      <c r="G55" s="9"/>
      <c r="H55" s="9"/>
      <c r="I55" s="9"/>
      <c r="J55" s="9" t="s">
        <v>31</v>
      </c>
      <c r="K55" s="9" t="s">
        <v>31</v>
      </c>
      <c r="L55" s="47" t="s">
        <v>31</v>
      </c>
      <c r="M55" s="28" t="s">
        <v>31</v>
      </c>
      <c r="N55" s="28" t="s">
        <v>31</v>
      </c>
      <c r="O55" s="28" t="s">
        <v>31</v>
      </c>
      <c r="P55" s="28"/>
      <c r="Q55" s="8"/>
      <c r="S55" s="8"/>
      <c r="T55" s="8"/>
      <c r="U55" s="54"/>
    </row>
    <row r="56" spans="2:21" s="11" customFormat="1" ht="15.75" customHeight="1">
      <c r="B56" s="4" t="s">
        <v>34</v>
      </c>
      <c r="D56" s="90">
        <v>0</v>
      </c>
      <c r="E56" s="90"/>
      <c r="F56" s="90"/>
      <c r="G56" s="90">
        <f ca="1">SUMIF('305 Inputs'!$A$7:$A$45,"=aga",'305 Inputs'!$H$7:$H$44)</f>
        <v>0</v>
      </c>
      <c r="H56" s="90"/>
      <c r="I56" s="90"/>
      <c r="J56" s="90">
        <v>0</v>
      </c>
      <c r="K56" s="90">
        <f>J56</f>
        <v>0</v>
      </c>
      <c r="L56" s="91">
        <f ca="1">G56+K56</f>
        <v>0</v>
      </c>
      <c r="M56" s="30">
        <f>'Table 3'!D56</f>
        <v>481432.67999999993</v>
      </c>
      <c r="N56" s="30">
        <f>'Table 3'!I56</f>
        <v>0</v>
      </c>
      <c r="O56" s="30">
        <f>'Table 3'!M56</f>
        <v>0</v>
      </c>
      <c r="P56" s="30">
        <f t="shared" ref="P56" si="37">N56+O56</f>
        <v>0</v>
      </c>
      <c r="Q56" s="30">
        <f>+P56+M56</f>
        <v>481432.67999999993</v>
      </c>
      <c r="S56" s="12"/>
      <c r="T56" s="12"/>
      <c r="U56" s="16"/>
    </row>
    <row r="57" spans="2:21" s="11" customFormat="1" ht="15.75" customHeight="1">
      <c r="B57" s="4"/>
      <c r="D57" s="90"/>
      <c r="E57" s="90"/>
      <c r="F57" s="90"/>
      <c r="G57" s="31"/>
      <c r="H57" s="31"/>
      <c r="I57" s="31"/>
      <c r="J57" s="90"/>
      <c r="K57" s="90"/>
      <c r="L57" s="91"/>
      <c r="M57" s="30"/>
      <c r="N57" s="30"/>
      <c r="O57" s="30"/>
      <c r="P57" s="30"/>
      <c r="Q57" s="30"/>
      <c r="S57" s="12"/>
      <c r="T57" s="12"/>
      <c r="U57" s="16"/>
    </row>
    <row r="58" spans="2:21" s="11" customFormat="1" ht="15.75" customHeight="1">
      <c r="B58" s="4" t="s">
        <v>873</v>
      </c>
      <c r="D58" s="90">
        <v>0</v>
      </c>
      <c r="E58" s="90"/>
      <c r="F58" s="90"/>
      <c r="G58" s="90">
        <f ca="1">SUMIF('305 Inputs'!$A$7:$A$45,"=def",'305 Inputs'!$H$7:$H$44)</f>
        <v>0</v>
      </c>
      <c r="H58" s="90"/>
      <c r="I58" s="90"/>
      <c r="J58" s="90">
        <v>0</v>
      </c>
      <c r="K58" s="90">
        <f>J58</f>
        <v>0</v>
      </c>
      <c r="L58" s="91">
        <v>0</v>
      </c>
      <c r="M58" s="30">
        <f>'Table 3'!D58</f>
        <v>60444.92</v>
      </c>
      <c r="N58" s="30">
        <f>'Table 3'!I58</f>
        <v>-60444.92</v>
      </c>
      <c r="O58" s="30">
        <f>'Table 3'!M58</f>
        <v>0</v>
      </c>
      <c r="P58" s="30">
        <f t="shared" ref="P58:P67" si="38">N58+O58</f>
        <v>-60444.92</v>
      </c>
      <c r="Q58" s="30">
        <f t="shared" ref="Q58:Q64" si="39">+P58+M58</f>
        <v>0</v>
      </c>
      <c r="S58" s="12"/>
      <c r="T58" s="12"/>
      <c r="U58" s="16"/>
    </row>
    <row r="59" spans="2:21" ht="15.75" customHeight="1">
      <c r="B59" s="4" t="s">
        <v>665</v>
      </c>
      <c r="D59" s="90">
        <v>0</v>
      </c>
      <c r="E59" s="90"/>
      <c r="F59" s="90"/>
      <c r="G59" s="90">
        <f ca="1">SUMIF('305 Inputs'!$A$7:$A$45,"=rep",'305 Inputs'!$H$7:$H$44)</f>
        <v>0</v>
      </c>
      <c r="H59" s="90"/>
      <c r="I59" s="90"/>
      <c r="J59" s="90">
        <v>0</v>
      </c>
      <c r="K59" s="90">
        <f t="shared" ref="K59:K64" si="40">J59</f>
        <v>0</v>
      </c>
      <c r="L59" s="91">
        <v>0</v>
      </c>
      <c r="M59" s="28">
        <f>'Table 3'!D59</f>
        <v>-9069190.5299999993</v>
      </c>
      <c r="N59" s="421">
        <f>'Table 3'!I59</f>
        <v>9069190.5299999993</v>
      </c>
      <c r="O59" s="30">
        <f>'Table 3'!M59</f>
        <v>0</v>
      </c>
      <c r="P59" s="30">
        <f t="shared" si="38"/>
        <v>9069190.5299999993</v>
      </c>
      <c r="Q59" s="30">
        <f t="shared" si="39"/>
        <v>0</v>
      </c>
      <c r="S59" s="8"/>
      <c r="T59" s="8"/>
      <c r="U59" s="54"/>
    </row>
    <row r="60" spans="2:21" s="11" customFormat="1" ht="15.75" customHeight="1">
      <c r="B60" s="4" t="s">
        <v>232</v>
      </c>
      <c r="D60" s="90">
        <v>0</v>
      </c>
      <c r="E60" s="90"/>
      <c r="F60" s="90"/>
      <c r="G60" s="90">
        <f ca="1">SUMIF('305 Inputs'!$A$7:$A$45,"=acq",'305 Inputs'!$H$7:$H$44)</f>
        <v>0</v>
      </c>
      <c r="H60" s="90"/>
      <c r="I60" s="90"/>
      <c r="J60" s="90">
        <v>0</v>
      </c>
      <c r="K60" s="90">
        <f t="shared" si="40"/>
        <v>0</v>
      </c>
      <c r="L60" s="91">
        <f ca="1">G60+K60</f>
        <v>0</v>
      </c>
      <c r="M60" s="30">
        <f>'Table 3'!D60</f>
        <v>0</v>
      </c>
      <c r="N60" s="30">
        <f>'Table 3'!I60</f>
        <v>0</v>
      </c>
      <c r="O60" s="30">
        <f>'Table 3'!M60</f>
        <v>0</v>
      </c>
      <c r="P60" s="30">
        <f t="shared" si="38"/>
        <v>0</v>
      </c>
      <c r="Q60" s="30">
        <f t="shared" si="39"/>
        <v>0</v>
      </c>
      <c r="S60" s="12"/>
      <c r="T60" s="12"/>
      <c r="U60" s="16"/>
    </row>
    <row r="61" spans="2:21" s="11" customFormat="1" ht="15.75" customHeight="1">
      <c r="B61" s="4" t="s">
        <v>672</v>
      </c>
      <c r="D61" s="90">
        <v>0</v>
      </c>
      <c r="E61" s="90"/>
      <c r="F61" s="90"/>
      <c r="G61" s="90">
        <f ca="1">SUMIF('305 Inputs'!$A$7:$A$45,"=cent",'305 Inputs'!$H$7:$H$44)</f>
        <v>0</v>
      </c>
      <c r="H61" s="90"/>
      <c r="I61" s="90"/>
      <c r="J61" s="90">
        <v>0</v>
      </c>
      <c r="K61" s="90">
        <f t="shared" si="40"/>
        <v>0</v>
      </c>
      <c r="L61" s="91">
        <f ca="1">G61+K61</f>
        <v>0</v>
      </c>
      <c r="M61" s="30">
        <f>'Table 3'!D61</f>
        <v>3814919.4</v>
      </c>
      <c r="N61" s="30">
        <f>'Table 3'!I61</f>
        <v>-3814919.4</v>
      </c>
      <c r="O61" s="30">
        <f>'Table 3'!M61</f>
        <v>0</v>
      </c>
      <c r="P61" s="30">
        <f t="shared" si="38"/>
        <v>-3814919.4</v>
      </c>
      <c r="Q61" s="30">
        <f t="shared" si="39"/>
        <v>0</v>
      </c>
      <c r="S61" s="12"/>
      <c r="T61" s="12"/>
      <c r="U61" s="16"/>
    </row>
    <row r="62" spans="2:21" s="11" customFormat="1" ht="15.75" customHeight="1">
      <c r="B62" s="4" t="s">
        <v>673</v>
      </c>
      <c r="D62" s="90">
        <v>0</v>
      </c>
      <c r="E62" s="90"/>
      <c r="F62" s="90"/>
      <c r="G62" s="90">
        <f ca="1">SUMIF('305 Inputs'!$A$7:$A$45,"=merger",'305 Inputs'!$H$7:$H$44)</f>
        <v>0</v>
      </c>
      <c r="H62" s="90"/>
      <c r="I62" s="90"/>
      <c r="J62" s="90">
        <v>0</v>
      </c>
      <c r="K62" s="90">
        <f t="shared" si="40"/>
        <v>0</v>
      </c>
      <c r="L62" s="91">
        <v>0</v>
      </c>
      <c r="M62" s="30">
        <f>'Table 3'!D62</f>
        <v>15727.42</v>
      </c>
      <c r="N62" s="30">
        <f>'Table 3'!I62</f>
        <v>-15727.42</v>
      </c>
      <c r="O62" s="30">
        <f>'Table 3'!M62</f>
        <v>0</v>
      </c>
      <c r="P62" s="30">
        <f t="shared" si="38"/>
        <v>-15727.42</v>
      </c>
      <c r="Q62" s="30">
        <f t="shared" si="39"/>
        <v>0</v>
      </c>
      <c r="S62" s="12"/>
      <c r="T62" s="12"/>
      <c r="U62" s="16"/>
    </row>
    <row r="63" spans="2:21" s="11" customFormat="1" ht="15.75" customHeight="1">
      <c r="B63" s="4" t="s">
        <v>95</v>
      </c>
      <c r="D63" s="90">
        <v>0</v>
      </c>
      <c r="E63" s="90"/>
      <c r="F63" s="90"/>
      <c r="G63" s="90">
        <f ca="1">SUMIF('305 Inputs'!$A$7:$A$45,"=bpa",'305 Inputs'!$H$7:$H$44)</f>
        <v>0</v>
      </c>
      <c r="H63" s="90"/>
      <c r="I63" s="90"/>
      <c r="J63" s="90">
        <v>0</v>
      </c>
      <c r="K63" s="90">
        <f t="shared" si="40"/>
        <v>0</v>
      </c>
      <c r="L63" s="91">
        <f ca="1">G63+K63</f>
        <v>0</v>
      </c>
      <c r="M63" s="30">
        <f>'Table 3'!D63</f>
        <v>19092.09</v>
      </c>
      <c r="N63" s="30">
        <f>'Table 3'!I63</f>
        <v>-19092.09</v>
      </c>
      <c r="O63" s="30">
        <f>'Table 3'!M63</f>
        <v>0</v>
      </c>
      <c r="P63" s="30">
        <f t="shared" si="38"/>
        <v>-19092.09</v>
      </c>
      <c r="Q63" s="30">
        <f t="shared" si="39"/>
        <v>0</v>
      </c>
      <c r="S63" s="12"/>
      <c r="T63" s="12"/>
      <c r="U63" s="16"/>
    </row>
    <row r="64" spans="2:21" s="11" customFormat="1" ht="15.75" customHeight="1">
      <c r="B64" s="4" t="s">
        <v>878</v>
      </c>
      <c r="D64" s="90">
        <v>0</v>
      </c>
      <c r="E64" s="90"/>
      <c r="F64" s="90"/>
      <c r="G64" s="90">
        <f ca="1">SUMIF('305 Inputs'!$A$7:$A$45,"=smud",'305 Inputs'!$H$7:$H$44)</f>
        <v>0</v>
      </c>
      <c r="H64" s="90"/>
      <c r="I64" s="90"/>
      <c r="J64" s="90">
        <v>0</v>
      </c>
      <c r="K64" s="90">
        <f t="shared" si="40"/>
        <v>0</v>
      </c>
      <c r="L64" s="91">
        <f ca="1">G64+K64</f>
        <v>0</v>
      </c>
      <c r="M64" s="30">
        <f>'Table 3'!D64</f>
        <v>-967039.15</v>
      </c>
      <c r="N64" s="30">
        <f>'Table 3'!I64</f>
        <v>967039.15</v>
      </c>
      <c r="O64" s="30">
        <f>'Table 3'!M64</f>
        <v>0</v>
      </c>
      <c r="P64" s="30">
        <f t="shared" si="38"/>
        <v>967039.15</v>
      </c>
      <c r="Q64" s="30">
        <f t="shared" si="39"/>
        <v>0</v>
      </c>
      <c r="S64" s="12"/>
      <c r="T64" s="12"/>
      <c r="U64" s="16"/>
    </row>
    <row r="65" spans="1:21" s="11" customFormat="1" ht="15.75" customHeight="1">
      <c r="B65" s="4" t="s">
        <v>879</v>
      </c>
      <c r="D65" s="90">
        <v>0</v>
      </c>
      <c r="E65" s="90"/>
      <c r="F65" s="90"/>
      <c r="G65" s="90">
        <f ca="1">SUMIF('305 Inputs'!$A$7:$A$45,"=smud",'305 Inputs'!$H$7:$H$44)</f>
        <v>0</v>
      </c>
      <c r="H65" s="90"/>
      <c r="I65" s="90"/>
      <c r="J65" s="90">
        <v>0</v>
      </c>
      <c r="K65" s="90">
        <f t="shared" ref="K65" si="41">J65</f>
        <v>0</v>
      </c>
      <c r="L65" s="91">
        <f ca="1">G65+K65</f>
        <v>0</v>
      </c>
      <c r="M65" s="30">
        <f>'Table 3'!D65</f>
        <v>93091.33</v>
      </c>
      <c r="N65" s="30">
        <f>'Table 3'!I65</f>
        <v>-93091.33</v>
      </c>
      <c r="O65" s="30">
        <f>'Table 3'!M65</f>
        <v>0</v>
      </c>
      <c r="P65" s="30">
        <f t="shared" ref="P65" si="42">N65+O65</f>
        <v>-93091.33</v>
      </c>
      <c r="Q65" s="30">
        <f t="shared" ref="Q65" si="43">+P65+M65</f>
        <v>0</v>
      </c>
      <c r="S65" s="12"/>
      <c r="T65" s="12"/>
      <c r="U65" s="16"/>
    </row>
    <row r="66" spans="1:21" ht="15.75" customHeight="1">
      <c r="B66" s="11"/>
      <c r="D66" s="31"/>
      <c r="E66" s="31"/>
      <c r="F66" s="31"/>
      <c r="G66" s="31"/>
      <c r="H66" s="31"/>
      <c r="I66" s="31"/>
      <c r="J66" s="9"/>
      <c r="K66" s="9"/>
      <c r="L66" s="47"/>
      <c r="M66" s="28"/>
      <c r="N66" s="421"/>
      <c r="O66" s="28"/>
      <c r="P66" s="28"/>
      <c r="Q66" s="28"/>
      <c r="S66" s="8"/>
      <c r="T66" s="8"/>
      <c r="U66" s="54"/>
    </row>
    <row r="67" spans="1:21" s="11" customFormat="1" ht="15.75" customHeight="1">
      <c r="B67" s="4" t="s">
        <v>80</v>
      </c>
      <c r="D67" s="90">
        <v>0</v>
      </c>
      <c r="E67" s="90"/>
      <c r="F67" s="90"/>
      <c r="G67" s="90">
        <f>SUMIF('305 Inputs'!$A$7:$A$46,"=unbilled",'305 Inputs'!$H$7:$H$46)</f>
        <v>14224000</v>
      </c>
      <c r="H67" s="90">
        <f>-G67</f>
        <v>-14224000</v>
      </c>
      <c r="I67" s="90"/>
      <c r="J67" s="90">
        <v>0</v>
      </c>
      <c r="K67" s="90">
        <f>H67+I67+J67</f>
        <v>-14224000</v>
      </c>
      <c r="L67" s="91">
        <f>G67+K67</f>
        <v>0</v>
      </c>
      <c r="M67" s="30">
        <f>'Table 3'!D67</f>
        <v>1694000</v>
      </c>
      <c r="N67" s="30">
        <f>'Table 3'!I67</f>
        <v>-1694000</v>
      </c>
      <c r="O67" s="30">
        <f>'Table 3'!M67</f>
        <v>0</v>
      </c>
      <c r="P67" s="30">
        <f t="shared" si="38"/>
        <v>-1694000</v>
      </c>
      <c r="Q67" s="30">
        <f>+P67+M67</f>
        <v>0</v>
      </c>
      <c r="S67" s="12"/>
      <c r="T67" s="12"/>
      <c r="U67" s="16"/>
    </row>
    <row r="68" spans="1:21" ht="15.75" customHeight="1">
      <c r="B68" s="11"/>
      <c r="D68" s="31"/>
      <c r="E68" s="31"/>
      <c r="F68" s="31"/>
      <c r="G68" s="95"/>
      <c r="H68" s="9"/>
      <c r="I68" s="9"/>
      <c r="J68" s="9"/>
      <c r="K68" s="9"/>
      <c r="L68" s="96"/>
      <c r="M68" s="28"/>
      <c r="N68" s="421"/>
      <c r="O68" s="421"/>
      <c r="P68" s="421"/>
      <c r="Q68" s="8"/>
      <c r="S68" s="8"/>
      <c r="T68" s="8"/>
      <c r="U68" s="54"/>
    </row>
    <row r="69" spans="1:21" ht="15.75" customHeight="1">
      <c r="B69" s="32" t="s">
        <v>9</v>
      </c>
      <c r="C69" s="33"/>
      <c r="D69" s="94">
        <f>+D44+D47+D50+SUM(D56:D67)+D54</f>
        <v>18404.833333333332</v>
      </c>
      <c r="E69" s="94">
        <f>+E44+E47+E50+SUM(E56:E67)+E54</f>
        <v>-42.717904040497849</v>
      </c>
      <c r="F69" s="94">
        <f>+F44+F47+F50+SUM(F56:F67)+F54</f>
        <v>18362.115429292833</v>
      </c>
      <c r="G69" s="94">
        <f ca="1">+G44+G47+G50+G54+SUM(G56:G67)</f>
        <v>1573280974</v>
      </c>
      <c r="H69" s="94">
        <f>+H44+H47+H50+H54+SUM(H56:H67)</f>
        <v>0</v>
      </c>
      <c r="I69" s="94">
        <f>+I44+I47+I50+I54+SUM(I56:I67)</f>
        <v>832833.65371994907</v>
      </c>
      <c r="J69" s="94">
        <f>+J44+J47+J50+SUM(J56:J67)+J54</f>
        <v>-14504455.149259884</v>
      </c>
      <c r="K69" s="94">
        <f>+K44+K47+K50+SUM(K56:K67)+K54</f>
        <v>-13671621.495539933</v>
      </c>
      <c r="L69" s="94">
        <f ca="1">+L44+L47+L50+SUM(L56:L67)+L54</f>
        <v>1559609352.5044599</v>
      </c>
      <c r="M69" s="36">
        <f>+M44+M47+M50+M54+M56+SUM(M58:M67)</f>
        <v>124009834.28000003</v>
      </c>
      <c r="N69" s="36">
        <f>+N44+N47+N50+N54+N56+SUM(N58:N67)</f>
        <v>7287300.1471163202</v>
      </c>
      <c r="O69" s="36">
        <f>+O44+O47+O50+O54+O56+SUM(O58:O67)</f>
        <v>1.1667557155305985E-2</v>
      </c>
      <c r="P69" s="36">
        <f>+P44+P47+P50+P54+P56+SUM(P58:P67)</f>
        <v>7287300.1587838773</v>
      </c>
      <c r="Q69" s="36">
        <f>+Q44+Q47+Q50+Q54+Q56+Q60+Q61+Q62+Q63+Q67+Q64</f>
        <v>131297134.4387839</v>
      </c>
      <c r="S69" s="8"/>
      <c r="T69" s="8"/>
      <c r="U69" s="54"/>
    </row>
    <row r="70" spans="1:21" ht="15.75" customHeight="1">
      <c r="D70" s="31"/>
      <c r="E70" s="31"/>
      <c r="F70" s="31"/>
      <c r="G70" s="97"/>
      <c r="H70" s="31"/>
      <c r="I70" s="31"/>
      <c r="J70" s="31"/>
      <c r="K70" s="31"/>
      <c r="L70" s="89"/>
      <c r="M70" s="28"/>
      <c r="N70" s="28"/>
      <c r="O70" s="28"/>
      <c r="P70" s="28"/>
      <c r="Q70" s="421" t="s">
        <v>31</v>
      </c>
      <c r="U70" s="54"/>
    </row>
    <row r="71" spans="1:21" ht="15.75" customHeight="1">
      <c r="A71" s="5" t="s">
        <v>30</v>
      </c>
      <c r="B71" s="5"/>
      <c r="D71" s="31"/>
      <c r="E71" s="31"/>
      <c r="F71" s="31"/>
      <c r="G71" s="9"/>
      <c r="H71" s="9"/>
      <c r="I71" s="9"/>
      <c r="J71" s="9"/>
      <c r="K71" s="9"/>
      <c r="L71" s="47"/>
      <c r="M71" s="28"/>
      <c r="N71" s="28"/>
      <c r="O71" s="28"/>
      <c r="P71" s="28"/>
      <c r="Q71" s="8" t="s">
        <v>31</v>
      </c>
      <c r="S71" s="8"/>
      <c r="T71" s="8"/>
      <c r="U71" s="54"/>
    </row>
    <row r="72" spans="1:21" ht="15.75" customHeight="1">
      <c r="B72" s="522" t="s">
        <v>51</v>
      </c>
      <c r="D72" s="31">
        <f ca="1">SUMIF('305 Inputs'!$A$53:$A$77,"=24",'305 Inputs'!$L$53:$L$73)</f>
        <v>372.49999999999994</v>
      </c>
      <c r="E72" s="31">
        <f ca="1">F72-D72</f>
        <v>-3.0666666666665492</v>
      </c>
      <c r="F72" s="31">
        <f>'Exhibit No.__(RMM-11) p1-8'!C336/12</f>
        <v>369.43333333333339</v>
      </c>
      <c r="G72" s="31">
        <f ca="1">SUMIF('305 Inputs'!$A$53:$A$77,"=24",'305 Inputs'!$H$53:$H$72)</f>
        <v>16054268</v>
      </c>
      <c r="H72" s="31">
        <f ca="1">G72/($G$75+$G$78+$G$83+$G$86)*$G$98</f>
        <v>300686.69518359675</v>
      </c>
      <c r="I72" s="31">
        <f>'305 VS COGNOS kWh'!E34+'305 VS COGNOS kWh'!K34</f>
        <v>51256</v>
      </c>
      <c r="J72" s="31">
        <v>0</v>
      </c>
      <c r="K72" s="31">
        <f ca="1">H72+I72+J72</f>
        <v>351942.69518359675</v>
      </c>
      <c r="L72" s="89">
        <f ca="1">G72+K72</f>
        <v>16406210.695183598</v>
      </c>
      <c r="M72" s="28">
        <f ca="1">'Table 3'!D72</f>
        <v>1500754.0499999998</v>
      </c>
      <c r="N72" s="28">
        <f ca="1">'Table 3'!I72</f>
        <v>38012.220446429972</v>
      </c>
      <c r="O72" s="28">
        <f>'Table 3'!M72</f>
        <v>0</v>
      </c>
      <c r="P72" s="28">
        <f ca="1">N72+O72</f>
        <v>38012.220446429972</v>
      </c>
      <c r="Q72" s="28">
        <f ca="1">+P72+M72</f>
        <v>1538766.2704464297</v>
      </c>
      <c r="S72" s="8"/>
      <c r="T72" s="8"/>
      <c r="U72" s="54"/>
    </row>
    <row r="73" spans="1:21" s="11" customFormat="1" ht="15.75" customHeight="1">
      <c r="B73" s="522" t="s">
        <v>52</v>
      </c>
      <c r="D73" s="31">
        <f ca="1">SUMIF('305 Inputs'!$A$53:$A$77,"=24f",'305 Inputs'!$L$53:$L$73)</f>
        <v>4</v>
      </c>
      <c r="E73" s="31">
        <f t="shared" ref="E73:E74" ca="1" si="44">F73-D73</f>
        <v>0</v>
      </c>
      <c r="F73" s="31">
        <f>'Exhibit No.__(RMM-11) p1-8'!C441/12</f>
        <v>4</v>
      </c>
      <c r="G73" s="31">
        <f ca="1">SUMIF('305 Inputs'!$A$53:$A$77,"=24f",'305 Inputs'!$H$53:$H$72)</f>
        <v>33312</v>
      </c>
      <c r="H73" s="31">
        <f t="shared" ref="H73:H74" ca="1" si="45">G73/($G$75+$G$78+$G$83+$G$86)*$G$98</f>
        <v>623.9135406208477</v>
      </c>
      <c r="I73" s="31">
        <f>'305 VS COGNOS kWh'!E35+'305 VS COGNOS kWh'!K35</f>
        <v>0</v>
      </c>
      <c r="J73" s="31">
        <v>0</v>
      </c>
      <c r="K73" s="31">
        <f ca="1">H73+I73+J73</f>
        <v>623.9135406208477</v>
      </c>
      <c r="L73" s="89">
        <f ca="1">G73+K73</f>
        <v>33935.913540620844</v>
      </c>
      <c r="M73" s="28">
        <f ca="1">'Table 3'!D73</f>
        <v>8734.49</v>
      </c>
      <c r="N73" s="28">
        <f ca="1">'Table 3'!I73</f>
        <v>97.637150935651619</v>
      </c>
      <c r="O73" s="28">
        <f>'Table 3'!M73</f>
        <v>0</v>
      </c>
      <c r="P73" s="28">
        <f ca="1">N73+O73</f>
        <v>97.637150935651619</v>
      </c>
      <c r="Q73" s="28">
        <f ca="1">+P73+M73</f>
        <v>8832.127150935652</v>
      </c>
      <c r="R73" s="4" t="s">
        <v>31</v>
      </c>
      <c r="S73" s="12"/>
      <c r="T73" s="12"/>
      <c r="U73" s="16"/>
    </row>
    <row r="74" spans="1:21" ht="15.75" customHeight="1">
      <c r="B74" s="522" t="s">
        <v>57</v>
      </c>
      <c r="C74" s="11"/>
      <c r="D74" s="90">
        <f ca="1">SUMIF('305 Inputs'!$A$53:$A$77,"=24fp",'305 Inputs'!$L$53:$L$73)</f>
        <v>1</v>
      </c>
      <c r="E74" s="90">
        <f t="shared" ca="1" si="44"/>
        <v>-7.6388888888891615E-2</v>
      </c>
      <c r="F74" s="90">
        <f>'Exhibit No.__(RMM-11) p1-8'!C547/12</f>
        <v>0.92361111111110838</v>
      </c>
      <c r="G74" s="90">
        <f ca="1">SUMIF('305 Inputs'!$A$53:$A$77,"=24fp",'305 Inputs'!H$53:H$72)</f>
        <v>4397</v>
      </c>
      <c r="H74" s="90">
        <f t="shared" ca="1" si="45"/>
        <v>82.35314115363434</v>
      </c>
      <c r="I74" s="90">
        <f>'305 VS COGNOS kWh'!E36+'305 VS COGNOS kWh'!K36</f>
        <v>0</v>
      </c>
      <c r="J74" s="90">
        <v>0</v>
      </c>
      <c r="K74" s="90">
        <f ca="1">H74+I74+J74</f>
        <v>82.35314115363434</v>
      </c>
      <c r="L74" s="91">
        <f ca="1">G74+K74</f>
        <v>4479.3531411536342</v>
      </c>
      <c r="M74" s="30">
        <f ca="1">'Table 3'!D74</f>
        <v>1449.3400000000001</v>
      </c>
      <c r="N74" s="30">
        <f ca="1">'Table 3'!I74</f>
        <v>38.475546750534122</v>
      </c>
      <c r="O74" s="30">
        <f>'Table 3'!M74</f>
        <v>0</v>
      </c>
      <c r="P74" s="30">
        <f t="shared" ref="P74" ca="1" si="46">N74+O74</f>
        <v>38.475546750534122</v>
      </c>
      <c r="Q74" s="30">
        <f ca="1">+P74+M74</f>
        <v>1487.8155467505342</v>
      </c>
      <c r="S74" s="8"/>
      <c r="T74" s="8"/>
      <c r="U74" s="54"/>
    </row>
    <row r="75" spans="1:21" ht="15.75" customHeight="1">
      <c r="B75" s="4" t="s">
        <v>35</v>
      </c>
      <c r="D75" s="31">
        <f t="shared" ref="D75:I75" ca="1" si="47">SUM(D72:D74)</f>
        <v>377.49999999999994</v>
      </c>
      <c r="E75" s="31">
        <f t="shared" ca="1" si="47"/>
        <v>-3.1430555555554407</v>
      </c>
      <c r="F75" s="31">
        <f t="shared" si="47"/>
        <v>374.35694444444448</v>
      </c>
      <c r="G75" s="31">
        <f t="shared" ca="1" si="47"/>
        <v>16091977</v>
      </c>
      <c r="H75" s="31">
        <f t="shared" ca="1" si="47"/>
        <v>301392.96186537121</v>
      </c>
      <c r="I75" s="31">
        <f t="shared" si="47"/>
        <v>51256</v>
      </c>
      <c r="J75" s="31">
        <f t="shared" ref="J75:Q75" si="48">SUM(J72:J74)</f>
        <v>0</v>
      </c>
      <c r="K75" s="31">
        <f ca="1">H75+I75+J75</f>
        <v>352648.96186537121</v>
      </c>
      <c r="L75" s="89">
        <f ca="1">SUM(L72:L74)</f>
        <v>16444625.961865371</v>
      </c>
      <c r="M75" s="28">
        <f t="shared" ca="1" si="48"/>
        <v>1510937.88</v>
      </c>
      <c r="N75" s="28">
        <f t="shared" ca="1" si="48"/>
        <v>38148.333144116157</v>
      </c>
      <c r="O75" s="28">
        <f t="shared" si="48"/>
        <v>0</v>
      </c>
      <c r="P75" s="28">
        <f ca="1">SUM(P72:P74)</f>
        <v>38148.333144116157</v>
      </c>
      <c r="Q75" s="28">
        <f t="shared" ca="1" si="48"/>
        <v>1549086.2131441159</v>
      </c>
      <c r="U75" s="54"/>
    </row>
    <row r="76" spans="1:21" ht="15.75" customHeight="1">
      <c r="D76" s="31"/>
      <c r="E76" s="31"/>
      <c r="F76" s="31"/>
      <c r="G76" s="9"/>
      <c r="H76" s="9"/>
      <c r="I76" s="9"/>
      <c r="J76" s="9" t="s">
        <v>31</v>
      </c>
      <c r="K76" s="9" t="s">
        <v>31</v>
      </c>
      <c r="L76" s="47" t="s">
        <v>31</v>
      </c>
      <c r="M76" s="28" t="s">
        <v>31</v>
      </c>
      <c r="N76" s="28" t="s">
        <v>31</v>
      </c>
      <c r="O76" s="28" t="s">
        <v>31</v>
      </c>
      <c r="P76" s="28"/>
      <c r="Q76" s="8"/>
      <c r="S76" s="8"/>
      <c r="T76" s="8"/>
      <c r="U76" s="54"/>
    </row>
    <row r="77" spans="1:21" s="11" customFormat="1" ht="15.75" customHeight="1">
      <c r="B77" s="522" t="s">
        <v>53</v>
      </c>
      <c r="C77" s="4"/>
      <c r="D77" s="90">
        <f ca="1">SUMIF('305 Inputs'!$A$53:$A$77,"=36",'305 Inputs'!$L$53:$L$73)</f>
        <v>103</v>
      </c>
      <c r="E77" s="90">
        <f ca="1">F77-D77</f>
        <v>-0.7083333333333286</v>
      </c>
      <c r="F77" s="90">
        <f>'Exhibit No.__(RMM-11) p1-8'!C702/12</f>
        <v>102.29166666666667</v>
      </c>
      <c r="G77" s="90">
        <f ca="1">SUMIF('305 Inputs'!$A$53:$A$77,"=36",'305 Inputs'!H$53:H$72)</f>
        <v>101387310</v>
      </c>
      <c r="H77" s="90">
        <f t="shared" ref="H77" ca="1" si="49">G77/($G$75+$G$78+$G$83+$G$86)*$G$98</f>
        <v>1898922.7772611515</v>
      </c>
      <c r="I77" s="90">
        <f>'305 VS COGNOS kWh'!E37+'305 VS COGNOS kWh'!K37</f>
        <v>769480</v>
      </c>
      <c r="J77" s="90">
        <v>0</v>
      </c>
      <c r="K77" s="90">
        <f ca="1">H77+I77+J77</f>
        <v>2668402.7772611515</v>
      </c>
      <c r="L77" s="91">
        <f ca="1">G77+K77</f>
        <v>104055712.77726115</v>
      </c>
      <c r="M77" s="30">
        <f ca="1">'Table 3'!D77</f>
        <v>8286102.8799999999</v>
      </c>
      <c r="N77" s="30">
        <f ca="1">'Table 3'!I77</f>
        <v>223378.97601610405</v>
      </c>
      <c r="O77" s="30">
        <f>'Table 3'!M77</f>
        <v>0</v>
      </c>
      <c r="P77" s="30">
        <f t="shared" ref="P77" ca="1" si="50">N77+O77</f>
        <v>223378.97601610405</v>
      </c>
      <c r="Q77" s="30">
        <f ca="1">+P77+M77</f>
        <v>8509481.8560161032</v>
      </c>
      <c r="S77" s="12"/>
      <c r="T77" s="12"/>
      <c r="U77" s="16"/>
    </row>
    <row r="78" spans="1:21" ht="15.75" customHeight="1">
      <c r="B78" s="4" t="s">
        <v>35</v>
      </c>
      <c r="D78" s="31">
        <f t="shared" ref="D78:Q78" ca="1" si="51">SUM(D77:D77)</f>
        <v>103</v>
      </c>
      <c r="E78" s="31">
        <f t="shared" ca="1" si="51"/>
        <v>-0.7083333333333286</v>
      </c>
      <c r="F78" s="31">
        <f t="shared" si="51"/>
        <v>102.29166666666667</v>
      </c>
      <c r="G78" s="31">
        <f t="shared" ca="1" si="51"/>
        <v>101387310</v>
      </c>
      <c r="H78" s="31">
        <f t="shared" ca="1" si="51"/>
        <v>1898922.7772611515</v>
      </c>
      <c r="I78" s="31">
        <f t="shared" si="51"/>
        <v>769480</v>
      </c>
      <c r="J78" s="31">
        <f t="shared" si="51"/>
        <v>0</v>
      </c>
      <c r="K78" s="31">
        <f t="shared" ca="1" si="51"/>
        <v>2668402.7772611515</v>
      </c>
      <c r="L78" s="89">
        <f t="shared" ca="1" si="51"/>
        <v>104055712.77726115</v>
      </c>
      <c r="M78" s="28">
        <f t="shared" ca="1" si="51"/>
        <v>8286102.8799999999</v>
      </c>
      <c r="N78" s="28">
        <f t="shared" ca="1" si="51"/>
        <v>223378.97601610405</v>
      </c>
      <c r="O78" s="28">
        <f t="shared" si="51"/>
        <v>0</v>
      </c>
      <c r="P78" s="28">
        <f t="shared" ca="1" si="51"/>
        <v>223378.97601610405</v>
      </c>
      <c r="Q78" s="28">
        <f t="shared" ca="1" si="51"/>
        <v>8509481.8560161032</v>
      </c>
      <c r="S78" s="8"/>
      <c r="T78" s="8"/>
      <c r="U78" s="54"/>
    </row>
    <row r="79" spans="1:21" ht="15.75" customHeight="1">
      <c r="D79" s="31"/>
      <c r="E79" s="31"/>
      <c r="F79" s="31"/>
      <c r="G79" s="31"/>
      <c r="H79" s="31"/>
      <c r="I79" s="31"/>
      <c r="J79" s="9"/>
      <c r="K79" s="9"/>
      <c r="L79" s="47"/>
      <c r="M79" s="28"/>
      <c r="N79" s="28"/>
      <c r="O79" s="28"/>
      <c r="P79" s="28"/>
      <c r="Q79" s="8"/>
      <c r="S79" s="8"/>
      <c r="T79" s="8"/>
      <c r="U79" s="54"/>
    </row>
    <row r="80" spans="1:21" ht="15.75" customHeight="1">
      <c r="B80" s="522" t="s">
        <v>158</v>
      </c>
      <c r="C80" s="11"/>
      <c r="D80" s="31">
        <f ca="1">SUMIF('305 Inputs'!$A$53:$A$77,"=47",'305 Inputs'!$L$53:$L$73)</f>
        <v>1</v>
      </c>
      <c r="E80" s="31">
        <f t="shared" ref="E80:E82" ca="1" si="52">F80-D80</f>
        <v>0</v>
      </c>
      <c r="F80" s="31">
        <f>'Exhibit No.__(RMM-11) p1-8'!C899/12</f>
        <v>1</v>
      </c>
      <c r="G80" s="31">
        <f ca="1">SUMIF('305 Inputs'!$A$53:$A$77,"=47",'305 Inputs'!H$53:H$72)</f>
        <v>2624625</v>
      </c>
      <c r="H80" s="31">
        <f ca="1">G80/($G$75+$G$78+$G$83+$G$86)*$G$98</f>
        <v>49157.633181796118</v>
      </c>
      <c r="I80" s="31">
        <f>'305 VS COGNOS kWh'!E38+'305 VS COGNOS kWh'!K38</f>
        <v>5375</v>
      </c>
      <c r="J80" s="31">
        <v>0</v>
      </c>
      <c r="K80" s="31">
        <f ca="1">H80+I80+J80</f>
        <v>54532.633181796118</v>
      </c>
      <c r="L80" s="89">
        <f ca="1">G80+K80</f>
        <v>2679157.6331817959</v>
      </c>
      <c r="M80" s="28">
        <f ca="1">'Table 3'!D80</f>
        <v>380222.11</v>
      </c>
      <c r="N80" s="28">
        <f ca="1">'Table 3'!I80</f>
        <v>4779.5742468239878</v>
      </c>
      <c r="O80" s="28">
        <f>'Table 3'!M80</f>
        <v>0</v>
      </c>
      <c r="P80" s="28">
        <f ca="1">N80+O80</f>
        <v>4779.5742468239878</v>
      </c>
      <c r="Q80" s="28">
        <f ca="1">+P80+M80</f>
        <v>385001.68424682395</v>
      </c>
      <c r="S80" s="8"/>
      <c r="T80" s="8"/>
      <c r="U80" s="54"/>
    </row>
    <row r="81" spans="2:21" ht="15.75" customHeight="1">
      <c r="B81" s="522" t="s">
        <v>54</v>
      </c>
      <c r="C81" s="11"/>
      <c r="D81" s="31">
        <f ca="1">SUMIF('305 Inputs'!$A$53:$A$77,"=48t",'305 Inputs'!$L$53:$L$73)-D82</f>
        <v>28.25</v>
      </c>
      <c r="E81" s="31">
        <f t="shared" ca="1" si="52"/>
        <v>-0.17676767676766758</v>
      </c>
      <c r="F81" s="31">
        <f>'Exhibit No.__(RMM-11) p1-8'!C1091/12</f>
        <v>28.073232323232332</v>
      </c>
      <c r="G81" s="31">
        <f>'305 VS COGNOS kWh'!C39</f>
        <v>202575950</v>
      </c>
      <c r="H81" s="31">
        <f t="shared" ref="H81:H82" ca="1" si="53">G81/($G$75+$G$78+$G$83+$G$86)*$G$98</f>
        <v>3794124.5860089995</v>
      </c>
      <c r="I81" s="31">
        <f>'305 VS COGNOS kWh'!E39+'305 VS COGNOS kWh'!K39</f>
        <v>-690100</v>
      </c>
      <c r="J81" s="31">
        <v>0</v>
      </c>
      <c r="K81" s="31">
        <f ca="1">H81+I81+J81</f>
        <v>3104024.5860089995</v>
      </c>
      <c r="L81" s="89">
        <f ca="1">G81+K81</f>
        <v>205679974.586009</v>
      </c>
      <c r="M81" s="28">
        <f>'Table 3'!D81</f>
        <v>14588579.530000001</v>
      </c>
      <c r="N81" s="28">
        <f ca="1">'Table 3'!I81</f>
        <v>151283.8628067947</v>
      </c>
      <c r="O81" s="28">
        <f>'Table 3'!M81</f>
        <v>0</v>
      </c>
      <c r="P81" s="28">
        <f ca="1">N81+O81</f>
        <v>151283.8628067947</v>
      </c>
      <c r="Q81" s="28">
        <f ca="1">+P81+M81</f>
        <v>14739863.392806796</v>
      </c>
      <c r="S81" s="8"/>
      <c r="T81" s="8"/>
      <c r="U81" s="54"/>
    </row>
    <row r="82" spans="2:21" ht="15.75" customHeight="1">
      <c r="B82" s="522" t="s">
        <v>569</v>
      </c>
      <c r="C82" s="11"/>
      <c r="D82" s="90">
        <v>1</v>
      </c>
      <c r="E82" s="90">
        <f t="shared" si="52"/>
        <v>0</v>
      </c>
      <c r="F82" s="90">
        <f>'Exhibit No.__(RMM-11) p1-8'!C1109/12</f>
        <v>1</v>
      </c>
      <c r="G82" s="90">
        <f>'305 VS COGNOS kWh'!C40</f>
        <v>413046000</v>
      </c>
      <c r="H82" s="90">
        <f t="shared" ca="1" si="53"/>
        <v>7736100.873537424</v>
      </c>
      <c r="I82" s="90">
        <f>'305 VS COGNOS kWh'!E40+'305 VS COGNOS kWh'!K40</f>
        <v>0</v>
      </c>
      <c r="J82" s="90">
        <v>0</v>
      </c>
      <c r="K82" s="90">
        <f ca="1">H82+I82+J82</f>
        <v>7736100.873537424</v>
      </c>
      <c r="L82" s="91">
        <f ca="1">G82+K82</f>
        <v>420782100.87353742</v>
      </c>
      <c r="M82" s="30">
        <f>'Table 3'!D82</f>
        <v>24703958.579999998</v>
      </c>
      <c r="N82" s="30">
        <f ca="1">'Table 3'!I82</f>
        <v>425448.1606027963</v>
      </c>
      <c r="O82" s="30">
        <f>'Table 3'!M82</f>
        <v>0</v>
      </c>
      <c r="P82" s="30">
        <f t="shared" ref="P82" ca="1" si="54">N82+O82</f>
        <v>425448.1606027963</v>
      </c>
      <c r="Q82" s="30">
        <f ca="1">+P82+M82</f>
        <v>25129406.740602795</v>
      </c>
      <c r="U82" s="54"/>
    </row>
    <row r="83" spans="2:21" ht="15.75" customHeight="1">
      <c r="B83" s="4" t="s">
        <v>35</v>
      </c>
      <c r="D83" s="31">
        <f t="shared" ref="D83:I83" ca="1" si="55">SUM(D80:D82)</f>
        <v>30.25</v>
      </c>
      <c r="E83" s="31">
        <f t="shared" ca="1" si="55"/>
        <v>-0.17676767676766758</v>
      </c>
      <c r="F83" s="31">
        <f t="shared" si="55"/>
        <v>30.073232323232332</v>
      </c>
      <c r="G83" s="31">
        <f t="shared" ca="1" si="55"/>
        <v>618246575</v>
      </c>
      <c r="H83" s="31">
        <f t="shared" ca="1" si="55"/>
        <v>11579383.09272822</v>
      </c>
      <c r="I83" s="31">
        <f t="shared" si="55"/>
        <v>-684725</v>
      </c>
      <c r="J83" s="31">
        <f t="shared" ref="J83:Q83" si="56">SUM(J80:J82)</f>
        <v>0</v>
      </c>
      <c r="K83" s="31">
        <f ca="1">H83+I83+J83</f>
        <v>10894658.09272822</v>
      </c>
      <c r="L83" s="89">
        <f ca="1">SUM(L80:L82)</f>
        <v>629141233.09272826</v>
      </c>
      <c r="M83" s="28">
        <f t="shared" ca="1" si="56"/>
        <v>39672760.219999999</v>
      </c>
      <c r="N83" s="28">
        <f t="shared" ca="1" si="56"/>
        <v>581511.59765641496</v>
      </c>
      <c r="O83" s="28">
        <f t="shared" si="56"/>
        <v>0</v>
      </c>
      <c r="P83" s="28">
        <f t="shared" ca="1" si="56"/>
        <v>581511.59765641496</v>
      </c>
      <c r="Q83" s="28">
        <f t="shared" ca="1" si="56"/>
        <v>40254271.817656413</v>
      </c>
      <c r="S83" s="8"/>
      <c r="T83" s="8"/>
      <c r="U83" s="54"/>
    </row>
    <row r="84" spans="2:21" ht="15.75" customHeight="1">
      <c r="D84" s="31"/>
      <c r="E84" s="31"/>
      <c r="F84" s="31"/>
      <c r="G84" s="31"/>
      <c r="H84" s="31"/>
      <c r="I84" s="31"/>
      <c r="J84" s="9"/>
      <c r="K84" s="31"/>
      <c r="L84" s="47"/>
      <c r="M84" s="28"/>
      <c r="N84" s="28"/>
      <c r="O84" s="28"/>
      <c r="P84" s="28"/>
      <c r="Q84" s="8"/>
      <c r="S84" s="8"/>
      <c r="T84" s="8"/>
      <c r="U84" s="54"/>
    </row>
    <row r="85" spans="2:21" ht="15.75" customHeight="1">
      <c r="B85" s="522" t="s">
        <v>55</v>
      </c>
      <c r="D85" s="90">
        <f ca="1">SUMIF('305 Inputs'!$A$53:$A$77,"=15n",'305 Inputs'!$L$53:$L$73)</f>
        <v>51</v>
      </c>
      <c r="E85" s="90">
        <f ca="1">F85-D85</f>
        <v>0</v>
      </c>
      <c r="F85" s="90">
        <f>'Exhibit No.__(RMM-11) p1-8'!C81/12</f>
        <v>51</v>
      </c>
      <c r="G85" s="90">
        <f ca="1">SUMIF('305 Inputs'!$A$53:$A$77,"=15n",'305 Inputs'!H$53:H$72)</f>
        <v>122864</v>
      </c>
      <c r="H85" s="90">
        <f t="shared" ref="H85" ca="1" si="57">G85/($G$75+$G$78+$G$83+$G$86)*$G$98</f>
        <v>2301.1681452581602</v>
      </c>
      <c r="I85" s="90">
        <f>'305 VS COGNOS kWh'!E42+'305 VS COGNOS kWh'!K42</f>
        <v>244</v>
      </c>
      <c r="J85" s="90">
        <v>0</v>
      </c>
      <c r="K85" s="90">
        <f ca="1">H85+I85+J85</f>
        <v>2545.1681452581602</v>
      </c>
      <c r="L85" s="91">
        <f ca="1">G85+K85</f>
        <v>125409.16814525815</v>
      </c>
      <c r="M85" s="87">
        <f ca="1">'Table 3'!D85</f>
        <v>16788.149999999998</v>
      </c>
      <c r="N85" s="30">
        <f ca="1">'Table 3'!I85</f>
        <v>377.92875766915114</v>
      </c>
      <c r="O85" s="30">
        <f>'Table 3'!M85</f>
        <v>0</v>
      </c>
      <c r="P85" s="30">
        <f t="shared" ref="P85" ca="1" si="58">N85+O85</f>
        <v>377.92875766915114</v>
      </c>
      <c r="Q85" s="30">
        <f ca="1">+P85+M85</f>
        <v>17166.078757669147</v>
      </c>
      <c r="S85" s="8"/>
      <c r="T85" s="8"/>
      <c r="U85" s="54"/>
    </row>
    <row r="86" spans="2:21" ht="15.75" customHeight="1">
      <c r="B86" s="4" t="s">
        <v>35</v>
      </c>
      <c r="D86" s="31">
        <f t="shared" ref="D86:Q86" ca="1" si="59">SUM(D85:D85)</f>
        <v>51</v>
      </c>
      <c r="E86" s="31">
        <f t="shared" ca="1" si="59"/>
        <v>0</v>
      </c>
      <c r="F86" s="31">
        <f t="shared" si="59"/>
        <v>51</v>
      </c>
      <c r="G86" s="31">
        <f ca="1">SUM(G85:G85)</f>
        <v>122864</v>
      </c>
      <c r="H86" s="31">
        <f ca="1">SUM(H85:H85)</f>
        <v>2301.1681452581602</v>
      </c>
      <c r="I86" s="31">
        <f>SUM(I85:I85)</f>
        <v>244</v>
      </c>
      <c r="J86" s="31">
        <f t="shared" si="59"/>
        <v>0</v>
      </c>
      <c r="K86" s="31">
        <f t="shared" ca="1" si="59"/>
        <v>2545.1681452581602</v>
      </c>
      <c r="L86" s="89">
        <f t="shared" ca="1" si="59"/>
        <v>125409.16814525815</v>
      </c>
      <c r="M86" s="28">
        <f t="shared" ca="1" si="59"/>
        <v>16788.149999999998</v>
      </c>
      <c r="N86" s="28">
        <f t="shared" ca="1" si="59"/>
        <v>377.92875766915114</v>
      </c>
      <c r="O86" s="28">
        <f t="shared" si="59"/>
        <v>0</v>
      </c>
      <c r="P86" s="28">
        <f ca="1">SUM(P85:P85)</f>
        <v>377.92875766915114</v>
      </c>
      <c r="Q86" s="28">
        <f t="shared" ca="1" si="59"/>
        <v>17166.078757669147</v>
      </c>
      <c r="U86" s="54"/>
    </row>
    <row r="87" spans="2:21" ht="15.75" customHeight="1">
      <c r="D87" s="31"/>
      <c r="E87" s="31"/>
      <c r="F87" s="31"/>
      <c r="G87" s="31"/>
      <c r="H87" s="31"/>
      <c r="I87" s="31"/>
      <c r="J87" s="9" t="s">
        <v>31</v>
      </c>
      <c r="K87" s="9" t="s">
        <v>31</v>
      </c>
      <c r="L87" s="47" t="s">
        <v>31</v>
      </c>
      <c r="M87" s="28" t="s">
        <v>31</v>
      </c>
      <c r="N87" s="28"/>
      <c r="O87" s="28"/>
      <c r="P87" s="28"/>
      <c r="Q87" s="8"/>
      <c r="S87" s="8"/>
      <c r="T87" s="8"/>
      <c r="U87" s="54"/>
    </row>
    <row r="88" spans="2:21" s="11" customFormat="1" ht="15.75" customHeight="1">
      <c r="B88" s="4" t="s">
        <v>34</v>
      </c>
      <c r="D88" s="90">
        <v>0</v>
      </c>
      <c r="E88" s="90"/>
      <c r="F88" s="90"/>
      <c r="G88" s="90">
        <f ca="1">SUMIF('305 Inputs'!$A$53:$A$77,"=aga",'305 Inputs'!H$53:H$72)</f>
        <v>0</v>
      </c>
      <c r="H88" s="90"/>
      <c r="I88" s="90"/>
      <c r="J88" s="90">
        <v>0</v>
      </c>
      <c r="K88" s="31">
        <f>H88+J88</f>
        <v>0</v>
      </c>
      <c r="L88" s="91">
        <f ca="1">G88+K88</f>
        <v>0</v>
      </c>
      <c r="M88" s="30">
        <f ca="1">'Table 3'!D88</f>
        <v>33490.409999999996</v>
      </c>
      <c r="N88" s="30">
        <f>'Table 3'!I88</f>
        <v>0</v>
      </c>
      <c r="O88" s="30">
        <f ca="1">'Table 3'!M88</f>
        <v>0</v>
      </c>
      <c r="P88" s="30">
        <f t="shared" ref="P88" ca="1" si="60">N88+O88</f>
        <v>0</v>
      </c>
      <c r="Q88" s="30">
        <f ca="1">+P88+M88</f>
        <v>33490.409999999996</v>
      </c>
      <c r="S88" s="12"/>
      <c r="T88" s="12"/>
      <c r="U88" s="16"/>
    </row>
    <row r="89" spans="2:21" s="11" customFormat="1" ht="15.75" customHeight="1">
      <c r="B89" s="4"/>
      <c r="D89" s="90"/>
      <c r="E89" s="90"/>
      <c r="F89" s="90"/>
      <c r="G89" s="90"/>
      <c r="H89" s="90"/>
      <c r="I89" s="90"/>
      <c r="J89" s="90"/>
      <c r="K89" s="90"/>
      <c r="L89" s="91"/>
      <c r="M89" s="30"/>
      <c r="N89" s="30"/>
      <c r="O89" s="30"/>
      <c r="P89" s="30"/>
      <c r="Q89" s="30"/>
      <c r="S89" s="12"/>
      <c r="T89" s="12"/>
      <c r="U89" s="16"/>
    </row>
    <row r="90" spans="2:21" s="11" customFormat="1" ht="15.75" customHeight="1">
      <c r="B90" s="4" t="s">
        <v>873</v>
      </c>
      <c r="D90" s="90">
        <v>0</v>
      </c>
      <c r="E90" s="90"/>
      <c r="F90" s="90"/>
      <c r="G90" s="90">
        <f ca="1">SUMIF('305 Inputs'!$A$53:$A$77,"=def",'305 Inputs'!H$53:H$72)</f>
        <v>0</v>
      </c>
      <c r="H90" s="90"/>
      <c r="I90" s="90"/>
      <c r="J90" s="90">
        <v>0</v>
      </c>
      <c r="K90" s="90">
        <f>J90</f>
        <v>0</v>
      </c>
      <c r="L90" s="91">
        <v>0</v>
      </c>
      <c r="M90" s="30">
        <f ca="1">'Table 3'!D90</f>
        <v>0</v>
      </c>
      <c r="N90" s="30">
        <f ca="1">'Table 3'!I90</f>
        <v>0</v>
      </c>
      <c r="O90" s="30">
        <f ca="1">'Table 3'!M90</f>
        <v>0</v>
      </c>
      <c r="P90" s="30">
        <f t="shared" ref="P90:P95" ca="1" si="61">N90+O90</f>
        <v>0</v>
      </c>
      <c r="Q90" s="30">
        <f t="shared" ref="Q90:Q96" ca="1" si="62">+P90+M90</f>
        <v>0</v>
      </c>
      <c r="S90" s="12"/>
      <c r="T90" s="12"/>
      <c r="U90" s="16"/>
    </row>
    <row r="91" spans="2:21" ht="15.75" customHeight="1">
      <c r="B91" s="4" t="s">
        <v>665</v>
      </c>
      <c r="D91" s="90">
        <v>0</v>
      </c>
      <c r="E91" s="90"/>
      <c r="F91" s="90"/>
      <c r="G91" s="90">
        <f ca="1">SUMIF('305 Inputs'!$A$53:$A$77,"=rev",'305 Inputs'!H$53:H$72)</f>
        <v>0</v>
      </c>
      <c r="H91" s="90"/>
      <c r="I91" s="90"/>
      <c r="J91" s="90">
        <v>0</v>
      </c>
      <c r="K91" s="90">
        <f t="shared" ref="K91:K95" si="63">J91</f>
        <v>0</v>
      </c>
      <c r="L91" s="91">
        <v>0</v>
      </c>
      <c r="M91" s="28">
        <f ca="1">'Table 3'!D91</f>
        <v>-3494192.64</v>
      </c>
      <c r="N91" s="28">
        <f ca="1">'Table 3'!I91</f>
        <v>3494192.64</v>
      </c>
      <c r="O91" s="30">
        <f ca="1">'Table 3'!M91</f>
        <v>0</v>
      </c>
      <c r="P91" s="30">
        <f t="shared" ca="1" si="61"/>
        <v>3494192.64</v>
      </c>
      <c r="Q91" s="30">
        <f t="shared" ca="1" si="62"/>
        <v>0</v>
      </c>
      <c r="S91" s="8"/>
      <c r="T91" s="8"/>
      <c r="U91" s="54"/>
    </row>
    <row r="92" spans="2:21" s="11" customFormat="1" ht="15.75" customHeight="1">
      <c r="B92" s="4" t="s">
        <v>672</v>
      </c>
      <c r="D92" s="90">
        <v>0</v>
      </c>
      <c r="E92" s="90"/>
      <c r="F92" s="90"/>
      <c r="G92" s="90">
        <f ca="1">SUMIF('305 Inputs'!$A$53:$A$77,"=cent",'305 Inputs'!H$53:H$72)</f>
        <v>0</v>
      </c>
      <c r="H92" s="90"/>
      <c r="I92" s="90"/>
      <c r="J92" s="90">
        <v>0</v>
      </c>
      <c r="K92" s="90">
        <f t="shared" si="63"/>
        <v>0</v>
      </c>
      <c r="L92" s="91">
        <f ca="1">G92+K92</f>
        <v>0</v>
      </c>
      <c r="M92" s="30">
        <f ca="1">'Table 3'!D92</f>
        <v>1387644.67</v>
      </c>
      <c r="N92" s="30">
        <f ca="1">'Table 3'!I92</f>
        <v>-1387644.67</v>
      </c>
      <c r="O92" s="30">
        <f ca="1">'Table 3'!M92</f>
        <v>0</v>
      </c>
      <c r="P92" s="30">
        <f t="shared" ca="1" si="61"/>
        <v>-1387644.67</v>
      </c>
      <c r="Q92" s="30">
        <f t="shared" ca="1" si="62"/>
        <v>0</v>
      </c>
      <c r="S92" s="12"/>
      <c r="T92" s="12"/>
      <c r="U92" s="16"/>
    </row>
    <row r="93" spans="2:21" s="11" customFormat="1" ht="15.75" customHeight="1">
      <c r="B93" s="4" t="s">
        <v>673</v>
      </c>
      <c r="D93" s="90">
        <v>0</v>
      </c>
      <c r="E93" s="90"/>
      <c r="F93" s="90"/>
      <c r="G93" s="90">
        <f ca="1">SUMIF('305 Inputs'!$A$53:$A$77,"=cent",'305 Inputs'!H$53:H$72)</f>
        <v>0</v>
      </c>
      <c r="H93" s="90"/>
      <c r="I93" s="90"/>
      <c r="J93" s="90">
        <v>0</v>
      </c>
      <c r="K93" s="90">
        <f t="shared" ref="K93" si="64">J93</f>
        <v>0</v>
      </c>
      <c r="L93" s="91">
        <f ca="1">G93+K93</f>
        <v>0</v>
      </c>
      <c r="M93" s="30">
        <f ca="1">'Table 3'!D93</f>
        <v>20.78</v>
      </c>
      <c r="N93" s="30">
        <f ca="1">'Table 3'!I93</f>
        <v>-20.78</v>
      </c>
      <c r="O93" s="30">
        <f ca="1">'Table 3'!M93</f>
        <v>0</v>
      </c>
      <c r="P93" s="30">
        <f t="shared" ref="P93" ca="1" si="65">N93+O93</f>
        <v>-20.78</v>
      </c>
      <c r="Q93" s="30">
        <f t="shared" ca="1" si="62"/>
        <v>0</v>
      </c>
      <c r="S93" s="12"/>
      <c r="T93" s="12"/>
      <c r="U93" s="16"/>
    </row>
    <row r="94" spans="2:21" s="11" customFormat="1" ht="15.75" customHeight="1">
      <c r="B94" s="4" t="s">
        <v>96</v>
      </c>
      <c r="D94" s="90">
        <v>0</v>
      </c>
      <c r="E94" s="90"/>
      <c r="F94" s="90"/>
      <c r="G94" s="90">
        <f ca="1">SUMIF('305 Inputs'!$A$53:$A$77,"=bpa",'305 Inputs'!H$53:H$72)</f>
        <v>0</v>
      </c>
      <c r="H94" s="90"/>
      <c r="I94" s="90"/>
      <c r="J94" s="90">
        <v>0</v>
      </c>
      <c r="K94" s="90">
        <f t="shared" si="63"/>
        <v>0</v>
      </c>
      <c r="L94" s="91">
        <f ca="1">G94+K94</f>
        <v>0</v>
      </c>
      <c r="M94" s="30">
        <f ca="1">'Table 3'!D94</f>
        <v>-175.71</v>
      </c>
      <c r="N94" s="30">
        <f ca="1">'Table 3'!I94</f>
        <v>175.71</v>
      </c>
      <c r="O94" s="30">
        <f ca="1">'Table 3'!M94</f>
        <v>0</v>
      </c>
      <c r="P94" s="30">
        <f t="shared" ca="1" si="61"/>
        <v>175.71</v>
      </c>
      <c r="Q94" s="30">
        <f t="shared" ca="1" si="62"/>
        <v>0</v>
      </c>
      <c r="S94" s="12"/>
      <c r="T94" s="12"/>
      <c r="U94" s="16"/>
    </row>
    <row r="95" spans="2:21" s="11" customFormat="1" ht="15.75" customHeight="1">
      <c r="B95" s="4" t="s">
        <v>878</v>
      </c>
      <c r="D95" s="90">
        <v>0</v>
      </c>
      <c r="E95" s="90"/>
      <c r="F95" s="90"/>
      <c r="G95" s="90">
        <f ca="1">SUMIF('305 Inputs'!$A$53:$A$77,"=smudj",'305 Inputs'!H$53:H$72)</f>
        <v>0</v>
      </c>
      <c r="H95" s="90"/>
      <c r="I95" s="90"/>
      <c r="J95" s="90">
        <v>0</v>
      </c>
      <c r="K95" s="90">
        <f t="shared" si="63"/>
        <v>0</v>
      </c>
      <c r="L95" s="91">
        <f ca="1">G95+K95</f>
        <v>0</v>
      </c>
      <c r="M95" s="30">
        <f ca="1">'Table 3'!D95</f>
        <v>-1435848.99</v>
      </c>
      <c r="N95" s="30">
        <f ca="1">'Table 3'!I95</f>
        <v>1435848.99</v>
      </c>
      <c r="O95" s="30">
        <f ca="1">'Table 3'!M95</f>
        <v>0</v>
      </c>
      <c r="P95" s="30">
        <f t="shared" ca="1" si="61"/>
        <v>1435848.99</v>
      </c>
      <c r="Q95" s="30">
        <f t="shared" ca="1" si="62"/>
        <v>0</v>
      </c>
      <c r="S95" s="12"/>
      <c r="T95" s="12"/>
      <c r="U95" s="16"/>
    </row>
    <row r="96" spans="2:21" s="11" customFormat="1" ht="15.75" customHeight="1">
      <c r="B96" s="4" t="s">
        <v>879</v>
      </c>
      <c r="D96" s="90">
        <v>0</v>
      </c>
      <c r="E96" s="90"/>
      <c r="F96" s="90"/>
      <c r="G96" s="90">
        <f ca="1">SUMIF('305 Inputs'!$A$53:$A$77,"=smudj",'305 Inputs'!H$53:H$72)</f>
        <v>0</v>
      </c>
      <c r="H96" s="90"/>
      <c r="I96" s="90"/>
      <c r="J96" s="90">
        <v>0</v>
      </c>
      <c r="K96" s="90">
        <f t="shared" ref="K96" si="66">J96</f>
        <v>0</v>
      </c>
      <c r="L96" s="91">
        <f ca="1">G96+K96</f>
        <v>0</v>
      </c>
      <c r="M96" s="30">
        <f ca="1">'Table 3'!D96</f>
        <v>48775.1</v>
      </c>
      <c r="N96" s="30">
        <f ca="1">'Table 3'!I96</f>
        <v>-48775.1</v>
      </c>
      <c r="O96" s="30">
        <f ca="1">'Table 3'!M96</f>
        <v>0</v>
      </c>
      <c r="P96" s="30">
        <f t="shared" ref="P96" ca="1" si="67">N96+O96</f>
        <v>-48775.1</v>
      </c>
      <c r="Q96" s="30">
        <f t="shared" ca="1" si="62"/>
        <v>0</v>
      </c>
      <c r="S96" s="12"/>
      <c r="T96" s="12"/>
      <c r="U96" s="16"/>
    </row>
    <row r="97" spans="1:21" ht="15.75" customHeight="1">
      <c r="D97" s="31"/>
      <c r="E97" s="31"/>
      <c r="F97" s="31"/>
      <c r="G97" s="31"/>
      <c r="H97" s="31"/>
      <c r="I97" s="31"/>
      <c r="J97" s="9"/>
      <c r="K97" s="9"/>
      <c r="L97" s="47"/>
      <c r="M97" s="28"/>
      <c r="N97" s="28"/>
      <c r="O97" s="28"/>
      <c r="P97" s="28"/>
      <c r="Q97" s="28"/>
      <c r="S97" s="8"/>
      <c r="T97" s="8"/>
      <c r="U97" s="54"/>
    </row>
    <row r="98" spans="1:21" s="11" customFormat="1" ht="15.75" customHeight="1">
      <c r="B98" s="4" t="s">
        <v>80</v>
      </c>
      <c r="D98" s="90">
        <v>0</v>
      </c>
      <c r="E98" s="90"/>
      <c r="F98" s="90"/>
      <c r="G98" s="90">
        <f ca="1">SUMIF('305 Inputs'!$A$53:$A$77,"unbilled",'305 Inputs'!H$53:H$72)</f>
        <v>13782000</v>
      </c>
      <c r="H98" s="90">
        <f ca="1">-G98</f>
        <v>-13782000</v>
      </c>
      <c r="I98" s="90"/>
      <c r="J98" s="90">
        <v>0</v>
      </c>
      <c r="K98" s="90">
        <f ca="1">H98+I98+J98</f>
        <v>-13782000</v>
      </c>
      <c r="L98" s="91">
        <f ca="1">G98+K98</f>
        <v>0</v>
      </c>
      <c r="M98" s="30">
        <f ca="1">'Table 3'!D98</f>
        <v>301000</v>
      </c>
      <c r="N98" s="30">
        <f ca="1">'Table 3'!I98</f>
        <v>-301000</v>
      </c>
      <c r="O98" s="30">
        <f ca="1">'Table 3'!M98</f>
        <v>0</v>
      </c>
      <c r="P98" s="30">
        <f t="shared" ref="P98" ca="1" si="68">N98+O98</f>
        <v>-301000</v>
      </c>
      <c r="Q98" s="30">
        <f ca="1">+P98+M98</f>
        <v>0</v>
      </c>
      <c r="S98" s="12"/>
      <c r="T98" s="12"/>
      <c r="U98" s="16"/>
    </row>
    <row r="99" spans="1:21" ht="15.75" customHeight="1">
      <c r="B99" s="11"/>
      <c r="D99" s="31"/>
      <c r="E99" s="31"/>
      <c r="F99" s="31"/>
      <c r="G99" s="31"/>
      <c r="H99" s="31"/>
      <c r="I99" s="31"/>
      <c r="J99" s="9"/>
      <c r="K99" s="9"/>
      <c r="L99" s="47"/>
      <c r="M99" s="28"/>
      <c r="N99" s="421"/>
      <c r="O99" s="421"/>
      <c r="P99" s="421"/>
      <c r="Q99" s="8"/>
      <c r="S99" s="8"/>
      <c r="T99" s="8"/>
      <c r="U99" s="54"/>
    </row>
    <row r="100" spans="1:21" ht="15.75" customHeight="1">
      <c r="B100" s="32" t="s">
        <v>9</v>
      </c>
      <c r="C100" s="33"/>
      <c r="D100" s="94">
        <f t="shared" ref="D100:Q100" ca="1" si="69">+D75+D78+D83+D86+D88+SUM(D90:D98)</f>
        <v>561.75</v>
      </c>
      <c r="E100" s="94">
        <f ca="1">+E75+E78+E83+E86+E88+SUM(E90:E98)</f>
        <v>-4.0281565656564364</v>
      </c>
      <c r="F100" s="94">
        <f t="shared" si="69"/>
        <v>557.72184343434355</v>
      </c>
      <c r="G100" s="94">
        <f t="shared" ca="1" si="69"/>
        <v>749630726</v>
      </c>
      <c r="H100" s="94">
        <f t="shared" ca="1" si="69"/>
        <v>0</v>
      </c>
      <c r="I100" s="94">
        <f t="shared" si="69"/>
        <v>136255</v>
      </c>
      <c r="J100" s="94">
        <f t="shared" si="69"/>
        <v>0</v>
      </c>
      <c r="K100" s="94">
        <f t="shared" ca="1" si="69"/>
        <v>136255</v>
      </c>
      <c r="L100" s="94">
        <f t="shared" ca="1" si="69"/>
        <v>749766981.00000012</v>
      </c>
      <c r="M100" s="36">
        <f t="shared" ca="1" si="69"/>
        <v>46327302.749999993</v>
      </c>
      <c r="N100" s="36">
        <f t="shared" ca="1" si="69"/>
        <v>4036193.6255743047</v>
      </c>
      <c r="O100" s="36">
        <f t="shared" ca="1" si="69"/>
        <v>0</v>
      </c>
      <c r="P100" s="36">
        <f t="shared" ca="1" si="69"/>
        <v>4036193.6255743047</v>
      </c>
      <c r="Q100" s="36">
        <f t="shared" ca="1" si="69"/>
        <v>50363496.375574298</v>
      </c>
      <c r="S100" s="8"/>
      <c r="T100" s="8"/>
      <c r="U100" s="54"/>
    </row>
    <row r="101" spans="1:21" ht="15.75" customHeight="1">
      <c r="B101" s="7"/>
      <c r="C101" s="7"/>
      <c r="D101" s="31" t="s">
        <v>31</v>
      </c>
      <c r="E101" s="31"/>
      <c r="F101" s="31"/>
      <c r="G101" s="31"/>
      <c r="H101" s="31"/>
      <c r="I101" s="31"/>
      <c r="J101" s="9"/>
      <c r="K101" s="9"/>
      <c r="L101" s="47"/>
      <c r="M101" s="28" t="s">
        <v>31</v>
      </c>
      <c r="N101" s="9"/>
      <c r="O101" s="9"/>
      <c r="P101" s="9"/>
      <c r="Q101" s="9"/>
      <c r="S101" s="8"/>
      <c r="T101" s="8"/>
      <c r="U101" s="54"/>
    </row>
    <row r="102" spans="1:21" ht="15.75" customHeight="1">
      <c r="A102" s="5" t="s">
        <v>197</v>
      </c>
      <c r="B102" s="522"/>
      <c r="D102" s="31"/>
      <c r="E102" s="31"/>
      <c r="F102" s="31"/>
      <c r="G102" s="31"/>
      <c r="H102" s="31"/>
      <c r="I102" s="31"/>
      <c r="J102" s="9"/>
      <c r="K102" s="9"/>
      <c r="L102" s="47"/>
      <c r="M102" s="28"/>
      <c r="N102" s="28"/>
      <c r="O102" s="28"/>
      <c r="P102" s="28"/>
      <c r="Q102" s="28"/>
      <c r="U102" s="54"/>
    </row>
    <row r="103" spans="1:21" ht="15.75" customHeight="1">
      <c r="A103" s="5"/>
      <c r="B103" s="522"/>
      <c r="D103" s="31"/>
      <c r="E103" s="31"/>
      <c r="F103" s="31"/>
      <c r="G103" s="31"/>
      <c r="H103" s="31"/>
      <c r="I103" s="31"/>
      <c r="J103" s="9"/>
      <c r="K103" s="9"/>
      <c r="L103" s="47"/>
      <c r="M103" s="28"/>
      <c r="N103" s="28"/>
      <c r="O103" s="28"/>
      <c r="P103" s="28"/>
      <c r="Q103" s="28"/>
      <c r="U103" s="54"/>
    </row>
    <row r="104" spans="1:21" ht="15.75" customHeight="1">
      <c r="B104" s="522" t="s">
        <v>58</v>
      </c>
      <c r="D104" s="31">
        <f>SUMIF('305 Inputs'!$A$83:$A$105,"=40",'305 Inputs'!$L$83:$L$105)</f>
        <v>2873.3333333333335</v>
      </c>
      <c r="E104" s="31">
        <f t="shared" ref="E104:E105" si="70">F104-D104</f>
        <v>66.751640572746965</v>
      </c>
      <c r="F104" s="31">
        <f>'Exhibit No.__(RMM-11) p1-8'!C796</f>
        <v>2940.0849739060804</v>
      </c>
      <c r="G104" s="31">
        <f>SUMIF('305 Inputs'!$A$83:$A$105,"=40",'305 Inputs'!$H$83:$H$105)</f>
        <v>99183957</v>
      </c>
      <c r="H104" s="31">
        <f ca="1">G104/$G$106*$G$120</f>
        <v>5472390.0467772651</v>
      </c>
      <c r="I104" s="31">
        <f>'305 VS COGNOS kWh'!E47+'305 VS COGNOS kWh'!K47</f>
        <v>-1117006</v>
      </c>
      <c r="J104" s="31">
        <f>Temperature!B92*1000</f>
        <v>-2371115.1598000005</v>
      </c>
      <c r="K104" s="31">
        <f ca="1">H104+I104+J104</f>
        <v>1984268.8869772647</v>
      </c>
      <c r="L104" s="89">
        <f ca="1">G104+K104</f>
        <v>101168225.88697727</v>
      </c>
      <c r="M104" s="28">
        <f>'Table 3'!D104</f>
        <v>8446189.7500000019</v>
      </c>
      <c r="N104" s="28">
        <f>'Table 3'!I104</f>
        <v>878163.82037308114</v>
      </c>
      <c r="O104" s="28">
        <f>'Table 3'!M104</f>
        <v>5.0396059523336589E-3</v>
      </c>
      <c r="P104" s="28">
        <f>N104+O104</f>
        <v>878163.82541268715</v>
      </c>
      <c r="Q104" s="28">
        <f>+P104+M104</f>
        <v>9324353.5754126888</v>
      </c>
      <c r="S104" s="8"/>
      <c r="T104" s="8"/>
      <c r="U104" s="54"/>
    </row>
    <row r="105" spans="1:21" ht="15.75" customHeight="1">
      <c r="B105" s="522" t="s">
        <v>59</v>
      </c>
      <c r="D105" s="90">
        <f>SUMIF('305 Inputs'!$A$83:$A$105,"=40x",'305 Inputs'!$L$83:$L$105)</f>
        <v>2290.1666666666665</v>
      </c>
      <c r="E105" s="90">
        <f t="shared" si="70"/>
        <v>-94.555020982040787</v>
      </c>
      <c r="F105" s="90">
        <f>'Exhibit No.__(RMM-11) p1-8'!C847</f>
        <v>2195.6116456846257</v>
      </c>
      <c r="G105" s="90">
        <f>SUMIF('305 Inputs'!$A$83:$A$105,"=40x",'305 Inputs'!$H$83:$H$105)</f>
        <v>59314194</v>
      </c>
      <c r="H105" s="90">
        <f ca="1">G105/$G$106*$G$120</f>
        <v>3272609.9532227353</v>
      </c>
      <c r="I105" s="90">
        <f>'305 VS COGNOS kWh'!E48+'305 VS COGNOS kWh'!K48</f>
        <v>1040768</v>
      </c>
      <c r="J105" s="90">
        <v>0</v>
      </c>
      <c r="K105" s="90">
        <f ca="1">H105+I105+J105</f>
        <v>4313377.9532227349</v>
      </c>
      <c r="L105" s="91">
        <f ca="1">G105+K105</f>
        <v>63627571.953222737</v>
      </c>
      <c r="M105" s="87">
        <f>'Table 3'!D105</f>
        <v>5499999.0899999999</v>
      </c>
      <c r="N105" s="30">
        <f>'Table 3'!I105</f>
        <v>340496.33458731271</v>
      </c>
      <c r="O105" s="30">
        <f>'Table 3'!M105</f>
        <v>0</v>
      </c>
      <c r="P105" s="30">
        <f t="shared" ref="P105" si="71">N105+O105</f>
        <v>340496.33458731271</v>
      </c>
      <c r="Q105" s="30">
        <f>+P105+M105</f>
        <v>5840495.4245873122</v>
      </c>
      <c r="S105" s="8"/>
      <c r="T105" s="8"/>
      <c r="U105" s="54"/>
    </row>
    <row r="106" spans="1:21" ht="15.75" customHeight="1">
      <c r="B106" s="4" t="s">
        <v>35</v>
      </c>
      <c r="D106" s="31">
        <f t="shared" ref="D106:I106" si="72">SUM(D104:D105)</f>
        <v>5163.5</v>
      </c>
      <c r="E106" s="31">
        <f t="shared" si="72"/>
        <v>-27.803380409293823</v>
      </c>
      <c r="F106" s="31">
        <f t="shared" si="72"/>
        <v>5135.6966195907062</v>
      </c>
      <c r="G106" s="31">
        <f t="shared" si="72"/>
        <v>158498151</v>
      </c>
      <c r="H106" s="31">
        <f t="shared" ca="1" si="72"/>
        <v>8745000</v>
      </c>
      <c r="I106" s="31">
        <f t="shared" si="72"/>
        <v>-76238</v>
      </c>
      <c r="J106" s="31">
        <f t="shared" ref="J106:Q106" si="73">SUM(J104:J105)</f>
        <v>-2371115.1598000005</v>
      </c>
      <c r="K106" s="31">
        <f ca="1">SUM(K104:K105)</f>
        <v>6297646.8401999995</v>
      </c>
      <c r="L106" s="89">
        <f ca="1">SUM(L104:L105)</f>
        <v>164795797.84020001</v>
      </c>
      <c r="M106" s="28">
        <f t="shared" si="73"/>
        <v>13946188.840000002</v>
      </c>
      <c r="N106" s="28">
        <f t="shared" si="73"/>
        <v>1218660.1549603939</v>
      </c>
      <c r="O106" s="28">
        <f>SUM(O104:O105)</f>
        <v>5.0396059523336589E-3</v>
      </c>
      <c r="P106" s="28">
        <f>SUM(P104:P105)</f>
        <v>1218660.1599999999</v>
      </c>
      <c r="Q106" s="28">
        <f t="shared" si="73"/>
        <v>15164849</v>
      </c>
      <c r="S106" s="8"/>
      <c r="T106" s="8"/>
      <c r="U106" s="54"/>
    </row>
    <row r="107" spans="1:21" s="11" customFormat="1" ht="15.75" customHeight="1">
      <c r="A107" s="4"/>
      <c r="B107" s="4"/>
      <c r="C107" s="4"/>
      <c r="D107" s="31"/>
      <c r="E107" s="31"/>
      <c r="F107" s="31"/>
      <c r="G107" s="31"/>
      <c r="H107" s="31"/>
      <c r="I107" s="31"/>
      <c r="J107" s="9" t="s">
        <v>31</v>
      </c>
      <c r="K107" s="9" t="s">
        <v>31</v>
      </c>
      <c r="L107" s="47" t="s">
        <v>31</v>
      </c>
      <c r="M107" s="28" t="s">
        <v>31</v>
      </c>
      <c r="N107" s="28" t="s">
        <v>31</v>
      </c>
      <c r="O107" s="28" t="s">
        <v>31</v>
      </c>
      <c r="P107" s="28"/>
      <c r="Q107" s="9"/>
      <c r="R107" s="11" t="s">
        <v>31</v>
      </c>
      <c r="S107" s="12"/>
      <c r="T107" s="12"/>
      <c r="U107" s="16"/>
    </row>
    <row r="108" spans="1:21" s="11" customFormat="1" ht="15.75" customHeight="1">
      <c r="B108" s="4" t="s">
        <v>34</v>
      </c>
      <c r="D108" s="90">
        <v>0</v>
      </c>
      <c r="E108" s="90"/>
      <c r="F108" s="90"/>
      <c r="G108" s="90">
        <f ca="1">SUMIF('305 Inputs'!$B$83:$B$104,"=aga",'305 Inputs'!$H$83:$H$102)</f>
        <v>0</v>
      </c>
      <c r="H108" s="90"/>
      <c r="I108" s="90"/>
      <c r="J108" s="90">
        <v>0</v>
      </c>
      <c r="K108" s="90">
        <f>J108</f>
        <v>0</v>
      </c>
      <c r="L108" s="91">
        <f ca="1">G108+K108</f>
        <v>0</v>
      </c>
      <c r="M108" s="30">
        <f>'Table 3'!D108</f>
        <v>210968.67</v>
      </c>
      <c r="N108" s="30">
        <f>'Table 3'!I108</f>
        <v>0</v>
      </c>
      <c r="O108" s="30">
        <f>'Table 3'!M108</f>
        <v>0</v>
      </c>
      <c r="P108" s="30">
        <f t="shared" ref="P108" si="74">N108+O108</f>
        <v>0</v>
      </c>
      <c r="Q108" s="30">
        <f>+P108+M108</f>
        <v>210968.67</v>
      </c>
      <c r="S108" s="12"/>
      <c r="T108" s="12"/>
      <c r="U108" s="16"/>
    </row>
    <row r="109" spans="1:21" s="11" customFormat="1" ht="15.75" customHeight="1">
      <c r="B109" s="4"/>
      <c r="D109" s="90"/>
      <c r="E109" s="90"/>
      <c r="F109" s="90"/>
      <c r="G109" s="90"/>
      <c r="H109" s="90"/>
      <c r="I109" s="90"/>
      <c r="J109" s="90"/>
      <c r="K109" s="90"/>
      <c r="L109" s="91"/>
      <c r="M109" s="30"/>
      <c r="N109" s="30"/>
      <c r="O109" s="30"/>
      <c r="P109" s="30"/>
      <c r="Q109" s="30"/>
      <c r="S109" s="12"/>
      <c r="T109" s="12"/>
      <c r="U109" s="16"/>
    </row>
    <row r="110" spans="1:21" s="11" customFormat="1" ht="15.75" customHeight="1">
      <c r="B110" s="4" t="s">
        <v>666</v>
      </c>
      <c r="D110" s="90">
        <v>0</v>
      </c>
      <c r="E110" s="90"/>
      <c r="F110" s="90"/>
      <c r="G110" s="90">
        <f ca="1">SUMIF('305 Inputs'!$A$83:$A$104,"=irr",'305 Inputs'!$H$83:$H$102)</f>
        <v>0</v>
      </c>
      <c r="H110" s="90"/>
      <c r="I110" s="90"/>
      <c r="J110" s="90">
        <v>0</v>
      </c>
      <c r="K110" s="90">
        <f>J110</f>
        <v>0</v>
      </c>
      <c r="L110" s="91">
        <v>0</v>
      </c>
      <c r="M110" s="30">
        <f>'Table 3'!D110</f>
        <v>122000</v>
      </c>
      <c r="N110" s="30">
        <f>'Table 3'!I110</f>
        <v>-122000</v>
      </c>
      <c r="O110" s="30">
        <f>'Table 3'!M110</f>
        <v>0</v>
      </c>
      <c r="P110" s="30">
        <f t="shared" ref="P110:P117" si="75">N110+O110</f>
        <v>-122000</v>
      </c>
      <c r="Q110" s="30">
        <f t="shared" ref="Q110:Q117" si="76">+P110+M110</f>
        <v>0</v>
      </c>
      <c r="S110" s="12"/>
      <c r="T110" s="12"/>
      <c r="U110" s="16"/>
    </row>
    <row r="111" spans="1:21" s="11" customFormat="1" ht="15.75" customHeight="1">
      <c r="B111" s="4" t="s">
        <v>618</v>
      </c>
      <c r="D111" s="90">
        <v>0</v>
      </c>
      <c r="E111" s="90"/>
      <c r="F111" s="90"/>
      <c r="G111" s="90">
        <f ca="1">SUMIF('305 Inputs'!$A$83:$A$104,"=def",'305 Inputs'!$H$83:$H$102)</f>
        <v>0</v>
      </c>
      <c r="H111" s="90"/>
      <c r="I111" s="90"/>
      <c r="J111" s="90">
        <v>0</v>
      </c>
      <c r="K111" s="90">
        <f t="shared" ref="K111:K117" si="77">J111</f>
        <v>0</v>
      </c>
      <c r="L111" s="91">
        <v>0</v>
      </c>
      <c r="M111" s="30">
        <f>'Table 3'!D111</f>
        <v>6120.75</v>
      </c>
      <c r="N111" s="30">
        <f>'Table 3'!I111</f>
        <v>-6120.75</v>
      </c>
      <c r="O111" s="30">
        <f>'Table 3'!M111</f>
        <v>0</v>
      </c>
      <c r="P111" s="30">
        <f t="shared" si="75"/>
        <v>-6120.75</v>
      </c>
      <c r="Q111" s="30">
        <f t="shared" si="76"/>
        <v>0</v>
      </c>
      <c r="S111" s="12"/>
      <c r="T111" s="12"/>
      <c r="U111" s="16"/>
    </row>
    <row r="112" spans="1:21" ht="15.75" customHeight="1">
      <c r="B112" s="4" t="s">
        <v>665</v>
      </c>
      <c r="D112" s="90">
        <v>0</v>
      </c>
      <c r="E112" s="90"/>
      <c r="F112" s="90"/>
      <c r="G112" s="90">
        <f ca="1">SUMIF('305 Inputs'!$A$83:$A$104,"=rev",'305 Inputs'!$H$83:$H$102)</f>
        <v>0</v>
      </c>
      <c r="H112" s="90"/>
      <c r="I112" s="90"/>
      <c r="J112" s="90">
        <v>0</v>
      </c>
      <c r="K112" s="90">
        <f t="shared" si="77"/>
        <v>0</v>
      </c>
      <c r="L112" s="91">
        <v>0</v>
      </c>
      <c r="M112" s="28">
        <f>'Table 3'!D112</f>
        <v>-1087001.44</v>
      </c>
      <c r="N112" s="28">
        <f>'Table 3'!I112</f>
        <v>1087001.44</v>
      </c>
      <c r="O112" s="30">
        <f>'Table 3'!M112</f>
        <v>0</v>
      </c>
      <c r="P112" s="30">
        <f t="shared" si="75"/>
        <v>1087001.44</v>
      </c>
      <c r="Q112" s="30">
        <f t="shared" si="76"/>
        <v>0</v>
      </c>
      <c r="S112" s="8"/>
      <c r="T112" s="8"/>
      <c r="U112" s="54"/>
    </row>
    <row r="113" spans="1:21" s="11" customFormat="1" ht="15.75" customHeight="1">
      <c r="B113" s="4" t="s">
        <v>156</v>
      </c>
      <c r="D113" s="90">
        <v>0</v>
      </c>
      <c r="E113" s="90"/>
      <c r="F113" s="90"/>
      <c r="G113" s="90">
        <f ca="1">SUMIF('305 Inputs'!$B$83:$B$104,"=cent",'305 Inputs'!$H$83:$H$102)</f>
        <v>0</v>
      </c>
      <c r="H113" s="90"/>
      <c r="I113" s="90"/>
      <c r="J113" s="90">
        <v>0</v>
      </c>
      <c r="K113" s="90">
        <f t="shared" si="77"/>
        <v>0</v>
      </c>
      <c r="L113" s="91">
        <f t="shared" ref="L113:L118" ca="1" si="78">G113+K113</f>
        <v>0</v>
      </c>
      <c r="M113" s="30">
        <f>'Table 3'!D113</f>
        <v>459273.54</v>
      </c>
      <c r="N113" s="30">
        <f>'Table 3'!I113</f>
        <v>-459273.54</v>
      </c>
      <c r="O113" s="30">
        <f>'Table 3'!M113</f>
        <v>0</v>
      </c>
      <c r="P113" s="30">
        <f t="shared" si="75"/>
        <v>-459273.54</v>
      </c>
      <c r="Q113" s="30">
        <f t="shared" si="76"/>
        <v>0</v>
      </c>
      <c r="S113" s="12"/>
      <c r="T113" s="12"/>
      <c r="U113" s="16"/>
    </row>
    <row r="114" spans="1:21" s="11" customFormat="1" ht="15.75" customHeight="1">
      <c r="B114" s="4" t="s">
        <v>170</v>
      </c>
      <c r="D114" s="90">
        <v>0</v>
      </c>
      <c r="E114" s="90"/>
      <c r="F114" s="90"/>
      <c r="G114" s="90">
        <f ca="1">SUMIF('305 Inputs'!$B$83:$B$104,"=merger",'305 Inputs'!$H$83:$H$102)</f>
        <v>0</v>
      </c>
      <c r="H114" s="90"/>
      <c r="I114" s="90"/>
      <c r="J114" s="90">
        <v>0</v>
      </c>
      <c r="K114" s="90">
        <f t="shared" si="77"/>
        <v>0</v>
      </c>
      <c r="L114" s="91">
        <f t="shared" ca="1" si="78"/>
        <v>0</v>
      </c>
      <c r="M114" s="30">
        <f>'Table 3'!D114</f>
        <v>273.93</v>
      </c>
      <c r="N114" s="30">
        <f>'Table 3'!I114</f>
        <v>-273.93</v>
      </c>
      <c r="O114" s="30">
        <f>'Table 3'!M114</f>
        <v>0</v>
      </c>
      <c r="P114" s="30">
        <f t="shared" si="75"/>
        <v>-273.93</v>
      </c>
      <c r="Q114" s="30">
        <f t="shared" si="76"/>
        <v>0</v>
      </c>
      <c r="S114" s="12"/>
      <c r="T114" s="12"/>
      <c r="U114" s="16"/>
    </row>
    <row r="115" spans="1:21" s="11" customFormat="1" ht="15.75" customHeight="1">
      <c r="B115" s="4" t="s">
        <v>96</v>
      </c>
      <c r="D115" s="90">
        <v>0</v>
      </c>
      <c r="E115" s="90"/>
      <c r="F115" s="90"/>
      <c r="G115" s="90">
        <f ca="1">SUMIF('305 Inputs'!$B$83:$B$104,"=bpa",'305 Inputs'!$H$83:$H$102)</f>
        <v>0</v>
      </c>
      <c r="H115" s="90"/>
      <c r="I115" s="90"/>
      <c r="J115" s="90">
        <v>0</v>
      </c>
      <c r="K115" s="90">
        <f t="shared" si="77"/>
        <v>0</v>
      </c>
      <c r="L115" s="91">
        <f t="shared" ca="1" si="78"/>
        <v>0</v>
      </c>
      <c r="M115" s="30">
        <f>'Table 3'!D115</f>
        <v>-18799.510000000002</v>
      </c>
      <c r="N115" s="30">
        <f>'Table 3'!I115</f>
        <v>18799.510000000002</v>
      </c>
      <c r="O115" s="30">
        <f>'Table 3'!M115</f>
        <v>0</v>
      </c>
      <c r="P115" s="30">
        <f t="shared" si="75"/>
        <v>18799.510000000002</v>
      </c>
      <c r="Q115" s="30">
        <f t="shared" si="76"/>
        <v>0</v>
      </c>
      <c r="S115" s="12"/>
      <c r="T115" s="12"/>
      <c r="U115" s="16"/>
    </row>
    <row r="116" spans="1:21" s="11" customFormat="1" ht="15.75" customHeight="1">
      <c r="B116" s="4" t="s">
        <v>879</v>
      </c>
      <c r="D116" s="90">
        <v>0</v>
      </c>
      <c r="E116" s="90"/>
      <c r="F116" s="90"/>
      <c r="G116" s="90">
        <f ca="1">SUMIF('305 Inputs'!$B$83:$B$104,"=bpa",'305 Inputs'!$H$83:$H$102)</f>
        <v>0</v>
      </c>
      <c r="H116" s="90"/>
      <c r="I116" s="90"/>
      <c r="J116" s="90">
        <v>0</v>
      </c>
      <c r="K116" s="90">
        <f t="shared" ref="K116" si="79">J116</f>
        <v>0</v>
      </c>
      <c r="L116" s="91">
        <f t="shared" ca="1" si="78"/>
        <v>0</v>
      </c>
      <c r="M116" s="30">
        <f>'Table 3'!D116</f>
        <v>8521.43</v>
      </c>
      <c r="N116" s="30">
        <f>'Table 3'!I116</f>
        <v>-8521.43</v>
      </c>
      <c r="O116" s="30">
        <f>'Table 3'!M116</f>
        <v>0</v>
      </c>
      <c r="P116" s="30">
        <f t="shared" ref="P116" si="80">N116+O116</f>
        <v>-8521.43</v>
      </c>
      <c r="Q116" s="30">
        <f t="shared" ref="Q116" si="81">+P116+M116</f>
        <v>0</v>
      </c>
      <c r="S116" s="12"/>
      <c r="T116" s="12"/>
      <c r="U116" s="16"/>
    </row>
    <row r="117" spans="1:21" s="11" customFormat="1" ht="15.75" customHeight="1">
      <c r="B117" s="4" t="s">
        <v>882</v>
      </c>
      <c r="D117" s="90">
        <v>0</v>
      </c>
      <c r="E117" s="90"/>
      <c r="F117" s="90"/>
      <c r="G117" s="90">
        <f ca="1">SUMIF('305 Inputs'!$A$83:$A$104,"=bpaadj",'305 Inputs'!$H$83:$H$102)</f>
        <v>0</v>
      </c>
      <c r="H117" s="90"/>
      <c r="I117" s="90"/>
      <c r="J117" s="90">
        <v>0</v>
      </c>
      <c r="K117" s="90">
        <f t="shared" si="77"/>
        <v>0</v>
      </c>
      <c r="L117" s="91">
        <f t="shared" ca="1" si="78"/>
        <v>0</v>
      </c>
      <c r="M117" s="30">
        <f>'Table 3'!D117</f>
        <v>-657528.82000000007</v>
      </c>
      <c r="N117" s="30">
        <f>'Table 3'!I117</f>
        <v>657528.82000000007</v>
      </c>
      <c r="O117" s="30">
        <f>'Table 3'!M118</f>
        <v>0</v>
      </c>
      <c r="P117" s="30">
        <f t="shared" si="75"/>
        <v>657528.82000000007</v>
      </c>
      <c r="Q117" s="30">
        <f t="shared" si="76"/>
        <v>0</v>
      </c>
      <c r="S117" s="12"/>
      <c r="T117" s="12"/>
      <c r="U117" s="16"/>
    </row>
    <row r="118" spans="1:21" s="11" customFormat="1" ht="15.75" customHeight="1">
      <c r="B118" s="4" t="s">
        <v>157</v>
      </c>
      <c r="D118" s="90">
        <v>0</v>
      </c>
      <c r="E118" s="90"/>
      <c r="F118" s="90"/>
      <c r="G118" s="90">
        <f ca="1">SUMIF('305 Inputs'!$A$83:$A$104,"=bpaadj",'305 Inputs'!$H$83:$H$102)</f>
        <v>0</v>
      </c>
      <c r="H118" s="90"/>
      <c r="I118" s="90"/>
      <c r="J118" s="90">
        <v>0</v>
      </c>
      <c r="K118" s="90">
        <f t="shared" ref="K118" si="82">J118</f>
        <v>0</v>
      </c>
      <c r="L118" s="91">
        <f t="shared" ca="1" si="78"/>
        <v>0</v>
      </c>
      <c r="M118" s="30">
        <f>'Table 3'!D118</f>
        <v>112995.67</v>
      </c>
      <c r="N118" s="30">
        <f>'Table 3'!I118</f>
        <v>-112995.67</v>
      </c>
      <c r="O118" s="30">
        <f>'Table 3'!M119</f>
        <v>0</v>
      </c>
      <c r="P118" s="30">
        <f t="shared" ref="P118" si="83">N118+O118</f>
        <v>-112995.67</v>
      </c>
      <c r="Q118" s="30">
        <f t="shared" ref="Q118" si="84">+P118+M118</f>
        <v>0</v>
      </c>
      <c r="S118" s="12"/>
      <c r="T118" s="12"/>
      <c r="U118" s="16"/>
    </row>
    <row r="119" spans="1:21" ht="15.75" customHeight="1">
      <c r="D119" s="31"/>
      <c r="E119" s="31"/>
      <c r="F119" s="31"/>
      <c r="G119" s="31"/>
      <c r="H119" s="31"/>
      <c r="I119" s="31"/>
      <c r="J119" s="9"/>
      <c r="K119" s="9"/>
      <c r="L119" s="47"/>
      <c r="M119" s="28"/>
      <c r="N119" s="28"/>
      <c r="O119" s="28"/>
      <c r="P119" s="28"/>
      <c r="Q119" s="28"/>
      <c r="S119" s="8"/>
      <c r="T119" s="8"/>
      <c r="U119" s="54"/>
    </row>
    <row r="120" spans="1:21" s="11" customFormat="1" ht="15.75" customHeight="1">
      <c r="B120" s="4" t="s">
        <v>80</v>
      </c>
      <c r="D120" s="90">
        <v>0</v>
      </c>
      <c r="E120" s="90"/>
      <c r="F120" s="90"/>
      <c r="G120" s="90">
        <f ca="1">SUMIF('305 Inputs'!$B$83:$B$104,"=unbilled",'305 Inputs'!$H$83:$H$102)</f>
        <v>8745000</v>
      </c>
      <c r="H120" s="90">
        <f ca="1">-G120</f>
        <v>-8745000</v>
      </c>
      <c r="I120" s="90"/>
      <c r="J120" s="90">
        <v>0</v>
      </c>
      <c r="K120" s="90">
        <f ca="1">H120+I120+J120</f>
        <v>-8745000</v>
      </c>
      <c r="L120" s="91">
        <f ca="1">G120+K120</f>
        <v>0</v>
      </c>
      <c r="M120" s="30">
        <f>'Table 3'!D120</f>
        <v>1173000</v>
      </c>
      <c r="N120" s="30">
        <f>'Table 3'!I120</f>
        <v>-1173000</v>
      </c>
      <c r="O120" s="30">
        <f>'Table 3'!M120</f>
        <v>0</v>
      </c>
      <c r="P120" s="30">
        <f t="shared" ref="P120" si="85">N120+O120</f>
        <v>-1173000</v>
      </c>
      <c r="Q120" s="30">
        <f>+P120+M120</f>
        <v>0</v>
      </c>
      <c r="S120" s="12"/>
      <c r="T120" s="12"/>
      <c r="U120" s="16"/>
    </row>
    <row r="121" spans="1:21" ht="15.75" customHeight="1">
      <c r="B121" s="522"/>
      <c r="D121" s="31"/>
      <c r="E121" s="31"/>
      <c r="F121" s="31"/>
      <c r="G121" s="31"/>
      <c r="H121" s="31"/>
      <c r="I121" s="31"/>
      <c r="J121" s="31"/>
      <c r="K121" s="31"/>
      <c r="L121" s="89"/>
      <c r="M121" s="28"/>
      <c r="N121" s="28"/>
      <c r="O121" s="28"/>
      <c r="P121" s="28"/>
      <c r="Q121" s="28"/>
      <c r="S121" s="8"/>
      <c r="T121" s="8"/>
      <c r="U121" s="54"/>
    </row>
    <row r="122" spans="1:21" ht="15.75" customHeight="1">
      <c r="B122" s="32" t="s">
        <v>9</v>
      </c>
      <c r="C122" s="33"/>
      <c r="D122" s="94">
        <f t="shared" ref="D122:Q122" si="86">D106+D108+SUM(D110:D120)</f>
        <v>5163.5</v>
      </c>
      <c r="E122" s="94">
        <f t="shared" si="86"/>
        <v>-27.803380409293823</v>
      </c>
      <c r="F122" s="94">
        <f t="shared" si="86"/>
        <v>5135.6966195907062</v>
      </c>
      <c r="G122" s="94">
        <f ca="1">G106+G108+SUM(G110:G120)</f>
        <v>167243151</v>
      </c>
      <c r="H122" s="94">
        <f ca="1">H106+H108+SUM(H110:H120)</f>
        <v>0</v>
      </c>
      <c r="I122" s="94">
        <f>I106+I108+SUM(I110:I120)</f>
        <v>-76238</v>
      </c>
      <c r="J122" s="94">
        <f t="shared" si="86"/>
        <v>-2371115.1598000005</v>
      </c>
      <c r="K122" s="94">
        <f t="shared" ca="1" si="86"/>
        <v>-2447353.1598000005</v>
      </c>
      <c r="L122" s="94">
        <f t="shared" ca="1" si="86"/>
        <v>164795797.84020001</v>
      </c>
      <c r="M122" s="36">
        <f t="shared" si="86"/>
        <v>14276013.060000002</v>
      </c>
      <c r="N122" s="36">
        <f t="shared" si="86"/>
        <v>1099804.6049603941</v>
      </c>
      <c r="O122" s="36">
        <f t="shared" si="86"/>
        <v>5.0396059523336589E-3</v>
      </c>
      <c r="P122" s="36">
        <f t="shared" si="86"/>
        <v>1099804.6100000001</v>
      </c>
      <c r="Q122" s="36">
        <f t="shared" si="86"/>
        <v>15375817.67</v>
      </c>
      <c r="S122" s="8"/>
      <c r="T122" s="8"/>
      <c r="U122" s="54"/>
    </row>
    <row r="123" spans="1:21" ht="15.75" customHeight="1">
      <c r="B123" s="522"/>
      <c r="D123" s="31"/>
      <c r="E123" s="31"/>
      <c r="F123" s="31"/>
      <c r="G123" s="31"/>
      <c r="H123" s="31"/>
      <c r="I123" s="31"/>
      <c r="J123" s="31"/>
      <c r="K123" s="31"/>
      <c r="L123" s="89"/>
      <c r="M123" s="28"/>
      <c r="N123" s="28"/>
      <c r="O123" s="28"/>
      <c r="P123" s="28"/>
      <c r="Q123" s="28"/>
      <c r="S123" s="8"/>
      <c r="T123" s="8"/>
      <c r="U123" s="54"/>
    </row>
    <row r="124" spans="1:21" ht="15.75" customHeight="1">
      <c r="A124" s="5" t="s">
        <v>36</v>
      </c>
      <c r="B124" s="522"/>
      <c r="D124" s="31"/>
      <c r="E124" s="31"/>
      <c r="F124" s="31"/>
      <c r="G124" s="31"/>
      <c r="H124" s="31"/>
      <c r="I124" s="31"/>
      <c r="J124" s="9"/>
      <c r="K124" s="9"/>
      <c r="L124" s="47"/>
      <c r="M124" s="28"/>
      <c r="N124" s="28"/>
      <c r="O124" s="28"/>
      <c r="P124" s="28"/>
      <c r="Q124" s="28"/>
      <c r="U124" s="54"/>
    </row>
    <row r="125" spans="1:21" ht="15.75" customHeight="1">
      <c r="A125" s="5"/>
      <c r="B125" s="522"/>
      <c r="D125" s="31"/>
      <c r="E125" s="31"/>
      <c r="F125" s="31"/>
      <c r="G125" s="31"/>
      <c r="H125" s="31"/>
      <c r="I125" s="31"/>
      <c r="J125" s="9"/>
      <c r="K125" s="9"/>
      <c r="L125" s="47"/>
      <c r="M125" s="28"/>
      <c r="N125" s="28"/>
      <c r="O125" s="28"/>
      <c r="P125" s="28"/>
      <c r="Q125" s="28"/>
      <c r="U125" s="54"/>
    </row>
    <row r="126" spans="1:21" ht="15.75" customHeight="1">
      <c r="B126" s="522" t="s">
        <v>61</v>
      </c>
      <c r="D126" s="31">
        <f ca="1">SUMIF('305 Inputs'!A111:A120,"=52",'305 Inputs'!L111:L119)</f>
        <v>13.583333333333334</v>
      </c>
      <c r="E126" s="31">
        <f t="shared" ref="E126:E131" ca="1" si="87">F126-D126</f>
        <v>0.41666666666666607</v>
      </c>
      <c r="F126" s="31">
        <f>'Exhibit No.__(RMM-11) p1-8'!C1176</f>
        <v>14</v>
      </c>
      <c r="G126" s="31">
        <f ca="1">SUMIF('305 Inputs'!$A$111:$A$120,"=52",'305 Inputs'!H$111:H$119)</f>
        <v>141214</v>
      </c>
      <c r="H126" s="31">
        <f ca="1">G126/$G$132*$G$140</f>
        <v>3830.0355841127775</v>
      </c>
      <c r="I126" s="31">
        <f>'305 VS COGNOS kWh'!E53+'305 VS COGNOS kWh'!K53</f>
        <v>-353.89471154799463</v>
      </c>
      <c r="J126" s="31">
        <v>0</v>
      </c>
      <c r="K126" s="31">
        <f t="shared" ref="K126:K131" ca="1" si="88">H126+I126+J126</f>
        <v>3476.140872564783</v>
      </c>
      <c r="L126" s="89">
        <f t="shared" ref="L126:L131" ca="1" si="89">G126+K126</f>
        <v>144690.14087256478</v>
      </c>
      <c r="M126" s="28">
        <f>'Table 3'!D126</f>
        <v>30476.03</v>
      </c>
      <c r="N126" s="28">
        <f ca="1">'Table 3'!I126</f>
        <v>415.37213066507155</v>
      </c>
      <c r="O126" s="28">
        <f>'Table 3'!M126</f>
        <v>0</v>
      </c>
      <c r="P126" s="28">
        <f ca="1">N126+O126</f>
        <v>415.37213066507155</v>
      </c>
      <c r="Q126" s="28">
        <f t="shared" ref="Q126:Q132" ca="1" si="90">+P126+M126</f>
        <v>30891.402130665072</v>
      </c>
      <c r="S126" s="8"/>
      <c r="T126" s="8"/>
      <c r="U126" s="54"/>
    </row>
    <row r="127" spans="1:21" ht="15.75" customHeight="1">
      <c r="B127" s="522" t="s">
        <v>62</v>
      </c>
      <c r="D127" s="31">
        <f ca="1">SUMIF('305 Inputs'!$A$111:$A$120,"=53f",'305 Inputs'!L111:L119)</f>
        <v>120</v>
      </c>
      <c r="E127" s="31">
        <f t="shared" ca="1" si="87"/>
        <v>0.25</v>
      </c>
      <c r="F127" s="31">
        <f>'Exhibit No.__(RMM-11) p1-8'!C1221/12</f>
        <v>120.25</v>
      </c>
      <c r="G127" s="31">
        <f ca="1">SUMIF('305 Inputs'!$A$111:$A$120,"=53f",'305 Inputs'!H$111:H$119)</f>
        <v>2957358</v>
      </c>
      <c r="H127" s="31">
        <f t="shared" ref="H127:H131" ca="1" si="91">G127/$G$132*$G$140</f>
        <v>80210.080976111421</v>
      </c>
      <c r="I127" s="31">
        <f>'305 VS COGNOS kWh'!E54+'305 VS COGNOS kWh'!K54</f>
        <v>519.7353539727078</v>
      </c>
      <c r="J127" s="31">
        <v>0</v>
      </c>
      <c r="K127" s="31">
        <f t="shared" ca="1" si="88"/>
        <v>80729.816330084126</v>
      </c>
      <c r="L127" s="89">
        <f t="shared" ca="1" si="89"/>
        <v>3038087.8163300841</v>
      </c>
      <c r="M127" s="28">
        <f>'Table 3'!D127</f>
        <v>213592.21</v>
      </c>
      <c r="N127" s="28">
        <f ca="1">'Table 3'!I127</f>
        <v>4820.200419818877</v>
      </c>
      <c r="O127" s="28">
        <f>'Table 3'!M127</f>
        <v>0</v>
      </c>
      <c r="P127" s="28">
        <f t="shared" ref="P127:P132" ca="1" si="92">N127+O127</f>
        <v>4820.200419818877</v>
      </c>
      <c r="Q127" s="28">
        <f t="shared" ca="1" si="90"/>
        <v>218412.41041981886</v>
      </c>
      <c r="S127" s="8"/>
      <c r="T127" s="8"/>
      <c r="U127" s="54"/>
    </row>
    <row r="128" spans="1:21" ht="15.75" customHeight="1">
      <c r="B128" s="522" t="s">
        <v>63</v>
      </c>
      <c r="D128" s="31">
        <f ca="1">SUMIF('305 Inputs'!$A$111:$A$120,"=53m",'305 Inputs'!L111:L119)</f>
        <v>112.25</v>
      </c>
      <c r="E128" s="31">
        <f t="shared" ca="1" si="87"/>
        <v>0.1666666666666714</v>
      </c>
      <c r="F128" s="31">
        <f>'Exhibit No.__(RMM-11) p1-8'!C1235/12</f>
        <v>112.41666666666667</v>
      </c>
      <c r="G128" s="31">
        <f ca="1">SUMIF('305 Inputs'!$A$111:$A$120,"=53m",'305 Inputs'!H$111:H$119)</f>
        <v>738432</v>
      </c>
      <c r="H128" s="31">
        <f t="shared" ca="1" si="91"/>
        <v>20027.90683960207</v>
      </c>
      <c r="I128" s="31">
        <f>'305 VS COGNOS kWh'!E55+'305 VS COGNOS kWh'!K55</f>
        <v>-413</v>
      </c>
      <c r="J128" s="31">
        <v>0</v>
      </c>
      <c r="K128" s="31">
        <f t="shared" ca="1" si="88"/>
        <v>19614.90683960207</v>
      </c>
      <c r="L128" s="89">
        <f t="shared" ca="1" si="89"/>
        <v>758046.90683960204</v>
      </c>
      <c r="M128" s="28">
        <f>'Table 3'!D128</f>
        <v>53026.42</v>
      </c>
      <c r="N128" s="28">
        <f ca="1">'Table 3'!I128</f>
        <v>1050.3807106754291</v>
      </c>
      <c r="O128" s="28">
        <f>'Table 3'!M128</f>
        <v>0</v>
      </c>
      <c r="P128" s="28">
        <f t="shared" ca="1" si="92"/>
        <v>1050.3807106754291</v>
      </c>
      <c r="Q128" s="28">
        <f t="shared" ca="1" si="90"/>
        <v>54076.80071067543</v>
      </c>
      <c r="S128" s="8"/>
      <c r="T128" s="8"/>
      <c r="U128" s="54"/>
    </row>
    <row r="129" spans="2:21" ht="15.75" customHeight="1">
      <c r="B129" s="522" t="s">
        <v>64</v>
      </c>
      <c r="D129" s="31">
        <f ca="1">SUMIF('305 Inputs'!$A$111:$A$120,"=51",'305 Inputs'!L111:L119)</f>
        <v>219.75</v>
      </c>
      <c r="E129" s="31">
        <f t="shared" ca="1" si="87"/>
        <v>24.25</v>
      </c>
      <c r="F129" s="31">
        <f>'Exhibit No.__(RMM-11) p1-8'!C1160/12</f>
        <v>244</v>
      </c>
      <c r="G129" s="31">
        <f ca="1">SUMIF('305 Inputs'!$A$111:$A$120,"=51",'305 Inputs'!H$111:H$119)</f>
        <v>3588894</v>
      </c>
      <c r="H129" s="31">
        <f t="shared" ca="1" si="91"/>
        <v>97338.732190921903</v>
      </c>
      <c r="I129" s="31">
        <f>'305 VS COGNOS kWh'!E56+'305 VS COGNOS kWh'!K56</f>
        <v>33056.385719038612</v>
      </c>
      <c r="J129" s="31">
        <v>0</v>
      </c>
      <c r="K129" s="31">
        <f t="shared" ca="1" si="88"/>
        <v>130395.11790996051</v>
      </c>
      <c r="L129" s="89">
        <f t="shared" ca="1" si="89"/>
        <v>3719289.1179099604</v>
      </c>
      <c r="M129" s="28">
        <f>'Table 3'!D129</f>
        <v>792436.5</v>
      </c>
      <c r="N129" s="28">
        <f ca="1">'Table 3'!I129</f>
        <v>21803.249110823483</v>
      </c>
      <c r="O129" s="28">
        <f>'Table 3'!M129</f>
        <v>0</v>
      </c>
      <c r="P129" s="28">
        <f t="shared" ca="1" si="92"/>
        <v>21803.249110823483</v>
      </c>
      <c r="Q129" s="28">
        <f t="shared" ca="1" si="90"/>
        <v>814239.7491108235</v>
      </c>
      <c r="S129" s="8"/>
      <c r="T129" s="8"/>
      <c r="U129" s="54"/>
    </row>
    <row r="130" spans="2:21" s="11" customFormat="1" ht="15.75" customHeight="1">
      <c r="B130" s="522" t="s">
        <v>65</v>
      </c>
      <c r="D130" s="31">
        <f ca="1">SUMIF('305 Inputs'!$A$111:$A$120,"=57",'305 Inputs'!L111:L119)</f>
        <v>35.166666666666664</v>
      </c>
      <c r="E130" s="31">
        <f t="shared" ca="1" si="87"/>
        <v>-3</v>
      </c>
      <c r="F130" s="31">
        <f>'Exhibit No.__(RMM-11) p1-8'!C1291/12</f>
        <v>32.166666666666664</v>
      </c>
      <c r="G130" s="31">
        <f ca="1">SUMIF('305 Inputs'!$A$111:$A$120,"=57",'305 Inputs'!H$111:H$119)</f>
        <v>1459809</v>
      </c>
      <c r="H130" s="31">
        <f t="shared" ca="1" si="91"/>
        <v>39593.244409251849</v>
      </c>
      <c r="I130" s="31">
        <f>'305 VS COGNOS kWh'!E57+'305 VS COGNOS kWh'!K57</f>
        <v>9895.1535796304233</v>
      </c>
      <c r="J130" s="31">
        <v>0</v>
      </c>
      <c r="K130" s="31">
        <f t="shared" ca="1" si="88"/>
        <v>49488.397988882272</v>
      </c>
      <c r="L130" s="89">
        <f t="shared" ca="1" si="89"/>
        <v>1509297.3979888824</v>
      </c>
      <c r="M130" s="28">
        <f>'Table 3'!D130</f>
        <v>190062.82</v>
      </c>
      <c r="N130" s="28">
        <f ca="1">'Table 3'!I130</f>
        <v>4256.8538695347561</v>
      </c>
      <c r="O130" s="28">
        <f>'Table 3'!M130</f>
        <v>0</v>
      </c>
      <c r="P130" s="28">
        <f t="shared" ca="1" si="92"/>
        <v>4256.8538695347561</v>
      </c>
      <c r="Q130" s="28">
        <f t="shared" ca="1" si="90"/>
        <v>194319.67386953477</v>
      </c>
      <c r="S130" s="12"/>
      <c r="T130" s="12"/>
      <c r="U130" s="16"/>
    </row>
    <row r="131" spans="2:21" s="11" customFormat="1" ht="15.75" customHeight="1">
      <c r="B131" s="522" t="s">
        <v>667</v>
      </c>
      <c r="D131" s="90">
        <f ca="1">SUMIF('305 Inputs'!$A$111:$A$120,"=12",'305 Inputs'!L111:L119)</f>
        <v>0</v>
      </c>
      <c r="E131" s="90">
        <f t="shared" ca="1" si="87"/>
        <v>0</v>
      </c>
      <c r="F131" s="90">
        <v>0</v>
      </c>
      <c r="G131" s="90">
        <f ca="1">SUMIF('305 Inputs'!$A$111:$A$120,"=12",'305 Inputs'!H$111:H$119)</f>
        <v>0</v>
      </c>
      <c r="H131" s="90">
        <f t="shared" ca="1" si="91"/>
        <v>0</v>
      </c>
      <c r="I131" s="90">
        <v>0</v>
      </c>
      <c r="J131" s="90">
        <v>0</v>
      </c>
      <c r="K131" s="90">
        <f t="shared" ca="1" si="88"/>
        <v>0</v>
      </c>
      <c r="L131" s="91">
        <f t="shared" ca="1" si="89"/>
        <v>0</v>
      </c>
      <c r="M131" s="30">
        <f>'Table 3'!D131</f>
        <v>0</v>
      </c>
      <c r="N131" s="30">
        <f ca="1">'Table 3'!I131</f>
        <v>0</v>
      </c>
      <c r="O131" s="30">
        <f ca="1">'Table 3'!M131</f>
        <v>0</v>
      </c>
      <c r="P131" s="30">
        <f t="shared" ca="1" si="92"/>
        <v>0</v>
      </c>
      <c r="Q131" s="30">
        <f t="shared" ca="1" si="90"/>
        <v>0</v>
      </c>
      <c r="S131" s="12"/>
      <c r="T131" s="12"/>
      <c r="U131" s="16"/>
    </row>
    <row r="132" spans="2:21" ht="15.75" customHeight="1">
      <c r="B132" s="4" t="s">
        <v>69</v>
      </c>
      <c r="D132" s="31">
        <f t="shared" ref="D132:N132" ca="1" si="93">SUM(D126:D131)</f>
        <v>500.75000000000006</v>
      </c>
      <c r="E132" s="31">
        <f t="shared" ca="1" si="93"/>
        <v>22.083333333333336</v>
      </c>
      <c r="F132" s="31">
        <f t="shared" si="93"/>
        <v>522.83333333333337</v>
      </c>
      <c r="G132" s="31">
        <f t="shared" ca="1" si="93"/>
        <v>8885707</v>
      </c>
      <c r="H132" s="31">
        <f t="shared" ca="1" si="93"/>
        <v>241000</v>
      </c>
      <c r="I132" s="31">
        <f t="shared" si="93"/>
        <v>42704.37994109375</v>
      </c>
      <c r="J132" s="31">
        <f t="shared" si="93"/>
        <v>0</v>
      </c>
      <c r="K132" s="31">
        <f t="shared" ca="1" si="93"/>
        <v>283704.37994109374</v>
      </c>
      <c r="L132" s="89">
        <f t="shared" ca="1" si="93"/>
        <v>9169411.3799410928</v>
      </c>
      <c r="M132" s="28">
        <f t="shared" si="93"/>
        <v>1279593.98</v>
      </c>
      <c r="N132" s="28">
        <f t="shared" ca="1" si="93"/>
        <v>32346.056241517617</v>
      </c>
      <c r="O132" s="28">
        <f t="shared" ref="O132" ca="1" si="94">SUM(O126:O131)</f>
        <v>0</v>
      </c>
      <c r="P132" s="28">
        <f t="shared" ca="1" si="92"/>
        <v>32346.056241517617</v>
      </c>
      <c r="Q132" s="28">
        <f t="shared" ca="1" si="90"/>
        <v>1311940.0362415176</v>
      </c>
      <c r="S132" s="8"/>
      <c r="T132" s="8"/>
      <c r="U132" s="54"/>
    </row>
    <row r="133" spans="2:21" ht="15.75" customHeight="1">
      <c r="D133" s="31"/>
      <c r="E133" s="31"/>
      <c r="F133" s="31"/>
      <c r="G133" s="31"/>
      <c r="H133" s="31"/>
      <c r="I133" s="31"/>
      <c r="J133" s="9"/>
      <c r="K133" s="9"/>
      <c r="L133" s="47"/>
      <c r="M133" s="28"/>
      <c r="N133" s="28"/>
      <c r="O133" s="28"/>
      <c r="P133" s="28"/>
      <c r="Q133" s="28"/>
      <c r="S133" s="8"/>
      <c r="T133" s="8"/>
      <c r="U133" s="54"/>
    </row>
    <row r="134" spans="2:21" ht="15.75" customHeight="1">
      <c r="B134" s="522" t="s">
        <v>34</v>
      </c>
      <c r="D134" s="90">
        <v>0</v>
      </c>
      <c r="E134" s="90"/>
      <c r="F134" s="90"/>
      <c r="G134" s="90">
        <f ca="1">SUMIF('305 Inputs'!$A$111:$A$120,"=aga",'305 Inputs'!H$111:H$119)</f>
        <v>0</v>
      </c>
      <c r="H134" s="90"/>
      <c r="I134" s="90"/>
      <c r="J134" s="90">
        <v>0</v>
      </c>
      <c r="K134" s="90">
        <f>J134</f>
        <v>0</v>
      </c>
      <c r="L134" s="91">
        <f ca="1">G134+K134</f>
        <v>0</v>
      </c>
      <c r="M134" s="30">
        <f>'Table 3'!D134</f>
        <v>90.84</v>
      </c>
      <c r="N134" s="30">
        <f>'Table 3'!I134</f>
        <v>0</v>
      </c>
      <c r="O134" s="30">
        <f>'Table 3'!M134</f>
        <v>0</v>
      </c>
      <c r="P134" s="30">
        <f t="shared" ref="P134" si="95">N134+O134</f>
        <v>0</v>
      </c>
      <c r="Q134" s="30">
        <f>+P134+M134</f>
        <v>90.84</v>
      </c>
      <c r="S134" s="8"/>
      <c r="T134" s="8"/>
      <c r="U134" s="54"/>
    </row>
    <row r="135" spans="2:21" ht="15.75" customHeight="1">
      <c r="B135" s="522"/>
      <c r="D135" s="90"/>
      <c r="E135" s="90"/>
      <c r="F135" s="90"/>
      <c r="G135" s="90"/>
      <c r="H135" s="90"/>
      <c r="I135" s="90"/>
      <c r="J135" s="90"/>
      <c r="K135" s="90"/>
      <c r="L135" s="91"/>
      <c r="M135" s="30"/>
      <c r="N135" s="30"/>
      <c r="O135" s="30"/>
      <c r="P135" s="30"/>
      <c r="Q135" s="30"/>
      <c r="S135" s="8"/>
      <c r="T135" s="8"/>
      <c r="U135" s="54"/>
    </row>
    <row r="136" spans="2:21" ht="15.75" customHeight="1">
      <c r="B136" s="4" t="s">
        <v>618</v>
      </c>
      <c r="D136" s="90">
        <v>0</v>
      </c>
      <c r="E136" s="90"/>
      <c r="F136" s="90"/>
      <c r="G136" s="90">
        <f ca="1">SUMIF('305 Inputs'!$A$111:$A$120,"=def",'305 Inputs'!H$111:H$119)</f>
        <v>0</v>
      </c>
      <c r="H136" s="90"/>
      <c r="I136" s="90"/>
      <c r="J136" s="90">
        <v>0</v>
      </c>
      <c r="K136" s="90">
        <f>J136</f>
        <v>0</v>
      </c>
      <c r="L136" s="91">
        <v>0</v>
      </c>
      <c r="M136" s="30">
        <f>'Table 3'!D136</f>
        <v>0</v>
      </c>
      <c r="N136" s="30">
        <f>'Table 3'!F136</f>
        <v>0</v>
      </c>
      <c r="O136" s="30">
        <f>'Table 3'!M136</f>
        <v>0</v>
      </c>
      <c r="P136" s="30">
        <f t="shared" ref="P136:P138" si="96">N136+O136</f>
        <v>0</v>
      </c>
      <c r="Q136" s="30">
        <f>+P136+M136</f>
        <v>0</v>
      </c>
      <c r="S136" s="8"/>
      <c r="T136" s="8"/>
      <c r="U136" s="54"/>
    </row>
    <row r="137" spans="2:21" ht="15.75" customHeight="1">
      <c r="B137" s="4" t="s">
        <v>665</v>
      </c>
      <c r="D137" s="90">
        <v>0</v>
      </c>
      <c r="E137" s="90"/>
      <c r="F137" s="90"/>
      <c r="G137" s="90">
        <f ca="1">SUMIF('305 Inputs'!$A$111:$A$120,"=rev",'305 Inputs'!H$111:H$119)</f>
        <v>0</v>
      </c>
      <c r="H137" s="90"/>
      <c r="I137" s="90"/>
      <c r="J137" s="90">
        <v>0</v>
      </c>
      <c r="K137" s="90">
        <f>J137</f>
        <v>0</v>
      </c>
      <c r="L137" s="91">
        <v>0</v>
      </c>
      <c r="M137" s="30">
        <f>'Table 3'!D137</f>
        <v>-57713.93</v>
      </c>
      <c r="N137" s="30">
        <f>'Table 3'!F137</f>
        <v>57713.93</v>
      </c>
      <c r="O137" s="30">
        <f>'Table 3'!M137</f>
        <v>0</v>
      </c>
      <c r="P137" s="30">
        <f t="shared" si="96"/>
        <v>57713.93</v>
      </c>
      <c r="Q137" s="30">
        <f>+P137+M137</f>
        <v>0</v>
      </c>
      <c r="S137" s="8"/>
      <c r="T137" s="8"/>
      <c r="U137" s="54"/>
    </row>
    <row r="138" spans="2:21" ht="15.75" customHeight="1">
      <c r="B138" s="4" t="s">
        <v>156</v>
      </c>
      <c r="D138" s="90">
        <v>0</v>
      </c>
      <c r="E138" s="90"/>
      <c r="F138" s="90"/>
      <c r="G138" s="90">
        <f ca="1">SUMIF('305 Inputs'!$B$111:$B$120,"=cent",'305 Inputs'!$H$111:$H$119)</f>
        <v>0</v>
      </c>
      <c r="H138" s="90"/>
      <c r="I138" s="90"/>
      <c r="J138" s="90">
        <v>0</v>
      </c>
      <c r="K138" s="90">
        <f>J138</f>
        <v>0</v>
      </c>
      <c r="L138" s="91">
        <f ca="1">G138+K138</f>
        <v>0</v>
      </c>
      <c r="M138" s="30">
        <f>'Table 3'!D138</f>
        <v>23415.399999999998</v>
      </c>
      <c r="N138" s="30">
        <f>'Table 3'!I138</f>
        <v>-23415.399999999998</v>
      </c>
      <c r="O138" s="30">
        <f>'Table 3'!M138</f>
        <v>0</v>
      </c>
      <c r="P138" s="30">
        <f t="shared" si="96"/>
        <v>-23415.399999999998</v>
      </c>
      <c r="Q138" s="30">
        <f>+P138+M138</f>
        <v>0</v>
      </c>
      <c r="S138" s="8"/>
      <c r="T138" s="8"/>
      <c r="U138" s="54"/>
    </row>
    <row r="139" spans="2:21" ht="15.75" customHeight="1">
      <c r="B139" s="11"/>
      <c r="D139" s="31"/>
      <c r="E139" s="31"/>
      <c r="F139" s="31"/>
      <c r="G139" s="31"/>
      <c r="H139" s="31"/>
      <c r="I139" s="31"/>
      <c r="J139" s="9"/>
      <c r="K139" s="9"/>
      <c r="L139" s="47"/>
      <c r="M139" s="28"/>
      <c r="N139" s="421"/>
      <c r="O139" s="421"/>
      <c r="P139" s="421"/>
      <c r="Q139" s="8"/>
      <c r="S139" s="8"/>
      <c r="T139" s="8"/>
      <c r="U139" s="54"/>
    </row>
    <row r="140" spans="2:21" s="11" customFormat="1" ht="15.75" customHeight="1">
      <c r="B140" s="4" t="s">
        <v>80</v>
      </c>
      <c r="D140" s="90">
        <v>0</v>
      </c>
      <c r="E140" s="90"/>
      <c r="F140" s="90"/>
      <c r="G140" s="90">
        <f ca="1">SUMIF('305 Inputs'!$B$111:$B$120,"=unbilled",'305 Inputs'!$H$111:$H$119)</f>
        <v>241000</v>
      </c>
      <c r="H140" s="90">
        <f ca="1">-G140</f>
        <v>-241000</v>
      </c>
      <c r="I140" s="90"/>
      <c r="J140" s="90">
        <v>0</v>
      </c>
      <c r="K140" s="90">
        <f ca="1">H140+I140+J140</f>
        <v>-241000</v>
      </c>
      <c r="L140" s="91">
        <f ca="1">G140+K140</f>
        <v>0</v>
      </c>
      <c r="M140" s="30">
        <f>'Table 3'!D140</f>
        <v>20000</v>
      </c>
      <c r="N140" s="30">
        <f>'Table 3'!I140</f>
        <v>-20000</v>
      </c>
      <c r="O140" s="30">
        <f>'Table 3'!M140</f>
        <v>0</v>
      </c>
      <c r="P140" s="30">
        <f t="shared" ref="P140" si="97">N140+O140</f>
        <v>-20000</v>
      </c>
      <c r="Q140" s="30">
        <f>+P140+M140</f>
        <v>0</v>
      </c>
      <c r="S140" s="12"/>
      <c r="T140" s="12"/>
      <c r="U140" s="16"/>
    </row>
    <row r="141" spans="2:21" ht="15.75" customHeight="1">
      <c r="B141" s="11"/>
      <c r="D141" s="31"/>
      <c r="E141" s="31"/>
      <c r="F141" s="31"/>
      <c r="G141" s="31"/>
      <c r="H141" s="31"/>
      <c r="I141" s="31"/>
      <c r="J141" s="9"/>
      <c r="K141" s="9"/>
      <c r="L141" s="47"/>
      <c r="M141" s="28"/>
      <c r="N141" s="421"/>
      <c r="O141" s="421"/>
      <c r="P141" s="421"/>
      <c r="Q141" s="8"/>
      <c r="S141" s="8"/>
      <c r="T141" s="8"/>
      <c r="U141" s="54"/>
    </row>
    <row r="142" spans="2:21" ht="15.75" customHeight="1">
      <c r="B142" s="32" t="s">
        <v>9</v>
      </c>
      <c r="C142" s="33"/>
      <c r="D142" s="94">
        <f t="shared" ref="D142:Q142" ca="1" si="98">D132+D134+SUM(D136:D140)</f>
        <v>500.75000000000006</v>
      </c>
      <c r="E142" s="94">
        <f t="shared" ca="1" si="98"/>
        <v>22.083333333333336</v>
      </c>
      <c r="F142" s="94">
        <f t="shared" si="98"/>
        <v>522.83333333333337</v>
      </c>
      <c r="G142" s="94">
        <f t="shared" ca="1" si="98"/>
        <v>9126707</v>
      </c>
      <c r="H142" s="94">
        <f t="shared" ca="1" si="98"/>
        <v>0</v>
      </c>
      <c r="I142" s="94">
        <f t="shared" si="98"/>
        <v>42704.37994109375</v>
      </c>
      <c r="J142" s="94">
        <f t="shared" si="98"/>
        <v>0</v>
      </c>
      <c r="K142" s="94">
        <f t="shared" ca="1" si="98"/>
        <v>42704.379941093735</v>
      </c>
      <c r="L142" s="94">
        <f t="shared" ca="1" si="98"/>
        <v>9169411.3799410928</v>
      </c>
      <c r="M142" s="36">
        <f t="shared" si="98"/>
        <v>1265386.29</v>
      </c>
      <c r="N142" s="36">
        <f t="shared" ca="1" si="98"/>
        <v>46644.586241517616</v>
      </c>
      <c r="O142" s="36">
        <f t="shared" ca="1" si="98"/>
        <v>0</v>
      </c>
      <c r="P142" s="36">
        <f t="shared" ca="1" si="98"/>
        <v>46644.586241517616</v>
      </c>
      <c r="Q142" s="36">
        <f t="shared" ca="1" si="98"/>
        <v>1312030.8762415177</v>
      </c>
      <c r="S142" s="8"/>
      <c r="T142" s="8"/>
      <c r="U142" s="54"/>
    </row>
    <row r="143" spans="2:21" ht="15.75" customHeight="1">
      <c r="B143" s="7"/>
      <c r="C143" s="7"/>
      <c r="D143" s="31" t="s">
        <v>31</v>
      </c>
      <c r="E143" s="31"/>
      <c r="F143" s="31"/>
      <c r="G143" s="31"/>
      <c r="H143" s="31"/>
      <c r="I143" s="31"/>
      <c r="J143" s="9"/>
      <c r="K143" s="9"/>
      <c r="L143" s="47"/>
      <c r="M143" s="28" t="s">
        <v>31</v>
      </c>
      <c r="N143" s="9"/>
      <c r="O143" s="9"/>
      <c r="P143" s="9"/>
      <c r="Q143" s="9"/>
      <c r="S143" s="8"/>
      <c r="T143" s="8"/>
      <c r="U143" s="54"/>
    </row>
    <row r="144" spans="2:21" ht="15.75" customHeight="1" thickBot="1">
      <c r="D144" s="31"/>
      <c r="E144" s="31"/>
      <c r="F144" s="31"/>
      <c r="G144" s="31"/>
      <c r="H144" s="31"/>
      <c r="I144" s="31"/>
      <c r="J144" s="9"/>
      <c r="K144" s="9"/>
      <c r="L144" s="47"/>
      <c r="M144" s="28"/>
      <c r="N144" s="9"/>
      <c r="O144" s="9"/>
      <c r="P144" s="9"/>
      <c r="Q144" s="8" t="s">
        <v>31</v>
      </c>
      <c r="S144" s="8"/>
      <c r="T144" s="8"/>
      <c r="U144" s="54"/>
    </row>
    <row r="145" spans="1:21" s="13" customFormat="1" ht="15.75" customHeight="1" thickTop="1" thickBot="1">
      <c r="A145" s="48"/>
      <c r="B145" s="34" t="s">
        <v>9</v>
      </c>
      <c r="C145" s="35"/>
      <c r="D145" s="98">
        <f t="shared" ref="D145:Q145" ca="1" si="99">D38+D69+D100+D122+D142</f>
        <v>137161.33333333331</v>
      </c>
      <c r="E145" s="98">
        <f t="shared" ca="1" si="99"/>
        <v>-291.03402883154052</v>
      </c>
      <c r="F145" s="98">
        <f t="shared" si="99"/>
        <v>136870.29930450182</v>
      </c>
      <c r="G145" s="98">
        <f t="shared" ca="1" si="99"/>
        <v>4107500610</v>
      </c>
      <c r="H145" s="98">
        <f t="shared" ca="1" si="99"/>
        <v>0</v>
      </c>
      <c r="I145" s="98">
        <f t="shared" si="99"/>
        <v>734959.03366104281</v>
      </c>
      <c r="J145" s="98">
        <f t="shared" si="99"/>
        <v>-77101942.939099997</v>
      </c>
      <c r="K145" s="98">
        <f t="shared" ca="1" si="99"/>
        <v>-76366983.905438974</v>
      </c>
      <c r="L145" s="99">
        <f t="shared" ca="1" si="99"/>
        <v>4031133626.0945611</v>
      </c>
      <c r="M145" s="38">
        <f t="shared" ca="1" si="99"/>
        <v>322988711.03000003</v>
      </c>
      <c r="N145" s="38">
        <f t="shared" ca="1" si="99"/>
        <v>26417892.630773373</v>
      </c>
      <c r="O145" s="38">
        <f t="shared" ca="1" si="99"/>
        <v>0.28534264946938492</v>
      </c>
      <c r="P145" s="38">
        <f t="shared" ca="1" si="99"/>
        <v>26417892.916116025</v>
      </c>
      <c r="Q145" s="38">
        <f t="shared" ca="1" si="99"/>
        <v>349406603.94611603</v>
      </c>
      <c r="S145" s="17"/>
      <c r="T145" s="17"/>
      <c r="U145" s="18"/>
    </row>
    <row r="146" spans="1:21" ht="15.75" customHeight="1" thickTop="1">
      <c r="A146" s="7"/>
      <c r="B146" s="7"/>
      <c r="C146" s="7"/>
      <c r="D146" s="7"/>
      <c r="E146" s="7"/>
      <c r="F146" s="7"/>
      <c r="G146" s="7"/>
      <c r="H146" s="7"/>
      <c r="I146" s="7"/>
      <c r="J146" s="7"/>
      <c r="K146" s="7"/>
      <c r="L146" s="40" t="s">
        <v>31</v>
      </c>
      <c r="M146" s="28" t="s">
        <v>31</v>
      </c>
      <c r="N146" s="7" t="s">
        <v>31</v>
      </c>
      <c r="O146" s="7"/>
      <c r="P146" s="7"/>
      <c r="Q146" s="421" t="s">
        <v>31</v>
      </c>
    </row>
    <row r="147" spans="1:21" ht="15.75" customHeight="1">
      <c r="A147" s="7"/>
      <c r="B147" s="7"/>
      <c r="C147" s="7"/>
      <c r="D147" s="7"/>
      <c r="E147" s="7"/>
      <c r="F147" s="7"/>
      <c r="G147" s="31"/>
      <c r="H147" s="31"/>
      <c r="I147" s="31"/>
      <c r="J147" s="7"/>
      <c r="K147" s="7"/>
      <c r="L147" s="85" t="s">
        <v>31</v>
      </c>
      <c r="M147" s="28" t="s">
        <v>31</v>
      </c>
      <c r="N147" s="28"/>
      <c r="O147" s="7"/>
      <c r="P147" s="31"/>
      <c r="Q147" s="7"/>
    </row>
    <row r="148" spans="1:21" ht="15.75" customHeight="1">
      <c r="A148" s="7"/>
      <c r="B148" s="516" t="s">
        <v>668</v>
      </c>
      <c r="C148" s="7"/>
      <c r="D148" s="7"/>
      <c r="E148" s="7"/>
      <c r="F148" s="7" t="s">
        <v>31</v>
      </c>
      <c r="G148" s="31"/>
      <c r="H148" s="31"/>
      <c r="I148" s="31"/>
      <c r="J148" s="7"/>
      <c r="K148" s="7"/>
      <c r="L148" s="7"/>
      <c r="M148" s="7"/>
      <c r="N148" s="7"/>
      <c r="O148" s="7"/>
      <c r="P148" s="28"/>
      <c r="Q148" s="7"/>
    </row>
    <row r="149" spans="1:21" ht="15.75" customHeight="1">
      <c r="A149" s="7"/>
      <c r="B149" s="516" t="s">
        <v>669</v>
      </c>
      <c r="C149" s="7"/>
      <c r="D149" s="7"/>
      <c r="E149" s="7"/>
      <c r="F149" s="7"/>
      <c r="G149" s="7"/>
      <c r="H149" s="7"/>
      <c r="I149" s="7"/>
      <c r="J149" s="7"/>
      <c r="K149" s="7"/>
      <c r="L149" s="7"/>
      <c r="M149" s="7"/>
      <c r="N149" s="7"/>
      <c r="O149" s="7"/>
      <c r="P149" s="7"/>
      <c r="Q149" s="7"/>
    </row>
    <row r="150" spans="1:21" ht="15.75" customHeight="1">
      <c r="B150" s="43" t="s">
        <v>912</v>
      </c>
      <c r="L150" s="7"/>
    </row>
    <row r="151" spans="1:21" ht="15.75" customHeight="1">
      <c r="L151" s="7"/>
    </row>
    <row r="152" spans="1:21" ht="15.75" customHeight="1">
      <c r="B152" s="43"/>
      <c r="L152" s="7"/>
    </row>
  </sheetData>
  <printOptions horizontalCentered="1"/>
  <pageMargins left="0.5" right="0.5" top="1" bottom="1" header="0.5" footer="0.5"/>
  <pageSetup scale="51" fitToHeight="0" orientation="landscape" r:id="rId1"/>
  <headerFooter alignWithMargins="0">
    <oddFooter>&amp;LPrepared by Pricing &amp;D&amp;CPage &amp;P of &amp;N&amp;R&amp;F&amp;A</oddFooter>
  </headerFooter>
  <rowBreaks count="1" manualBreakCount="1">
    <brk id="101"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7"/>
  <sheetViews>
    <sheetView topLeftCell="A37" workbookViewId="0">
      <selection activeCell="B8" sqref="B8"/>
    </sheetView>
  </sheetViews>
  <sheetFormatPr defaultRowHeight="15.75"/>
  <cols>
    <col min="1" max="1" width="3.625" style="4" customWidth="1"/>
    <col min="2" max="2" width="19.5" style="4" customWidth="1"/>
    <col min="3" max="3" width="3.625" style="4" customWidth="1"/>
    <col min="4" max="10" width="13.75" style="4" customWidth="1"/>
    <col min="11" max="11" width="7.625" style="4" bestFit="1" customWidth="1"/>
    <col min="12" max="12" width="11.5" style="4" bestFit="1" customWidth="1"/>
    <col min="13" max="13" width="14.125" style="4" bestFit="1" customWidth="1"/>
    <col min="14" max="14" width="24.875" style="4" bestFit="1" customWidth="1"/>
    <col min="15" max="15" width="3.625" style="4" customWidth="1"/>
    <col min="16" max="17" width="13.75" style="4" customWidth="1"/>
    <col min="18" max="18" width="33.375" style="4" customWidth="1"/>
    <col min="19" max="19" width="27" style="4" customWidth="1"/>
    <col min="20" max="16384" width="9" style="4"/>
  </cols>
  <sheetData>
    <row r="1" spans="1:19">
      <c r="J1" s="7"/>
      <c r="N1" s="4" t="s">
        <v>74</v>
      </c>
      <c r="Q1" s="4" t="s">
        <v>29</v>
      </c>
    </row>
    <row r="2" spans="1:19">
      <c r="J2" s="7"/>
      <c r="Q2" s="4" t="s">
        <v>166</v>
      </c>
    </row>
    <row r="3" spans="1:19" ht="18.75">
      <c r="A3" s="457" t="s">
        <v>717</v>
      </c>
      <c r="B3" s="457"/>
      <c r="C3" s="457"/>
      <c r="D3" s="457"/>
      <c r="E3" s="457"/>
      <c r="F3" s="457"/>
      <c r="G3" s="457"/>
      <c r="H3" s="457"/>
      <c r="I3" s="457"/>
      <c r="J3" s="457"/>
      <c r="K3" s="457"/>
      <c r="L3" s="457"/>
      <c r="M3" s="457"/>
      <c r="N3" s="457"/>
      <c r="O3" s="457"/>
      <c r="P3" s="457"/>
      <c r="Q3" s="457"/>
      <c r="R3" s="460"/>
    </row>
    <row r="4" spans="1:19" ht="18.75">
      <c r="A4" s="457" t="s">
        <v>47</v>
      </c>
      <c r="B4" s="457"/>
      <c r="C4" s="457"/>
      <c r="D4" s="457"/>
      <c r="E4" s="457"/>
      <c r="F4" s="457"/>
      <c r="G4" s="457"/>
      <c r="H4" s="457"/>
      <c r="I4" s="457"/>
      <c r="J4" s="457"/>
      <c r="K4" s="457"/>
      <c r="L4" s="457"/>
      <c r="M4" s="457"/>
      <c r="N4" s="457"/>
      <c r="O4" s="457"/>
      <c r="P4" s="457"/>
      <c r="Q4" s="457"/>
      <c r="R4" s="460"/>
    </row>
    <row r="5" spans="1:19" ht="18.75">
      <c r="A5" s="457" t="s">
        <v>2</v>
      </c>
      <c r="B5" s="457"/>
      <c r="C5" s="457"/>
      <c r="D5" s="457"/>
      <c r="E5" s="457"/>
      <c r="F5" s="457"/>
      <c r="G5" s="457"/>
      <c r="H5" s="457"/>
      <c r="I5" s="457"/>
      <c r="J5" s="457"/>
      <c r="K5" s="457"/>
      <c r="L5" s="457"/>
      <c r="M5" s="457"/>
      <c r="N5" s="457"/>
      <c r="O5" s="457"/>
      <c r="P5" s="457"/>
      <c r="Q5" s="457"/>
      <c r="R5" s="460"/>
    </row>
    <row r="6" spans="1:19" ht="18.75">
      <c r="A6" s="457" t="str">
        <f>'305 Inputs'!B4</f>
        <v>12 Months Ended June 2019</v>
      </c>
      <c r="B6" s="457"/>
      <c r="C6" s="457"/>
      <c r="D6" s="457"/>
      <c r="E6" s="457"/>
      <c r="F6" s="457"/>
      <c r="G6" s="457"/>
      <c r="H6" s="457"/>
      <c r="I6" s="457"/>
      <c r="J6" s="457"/>
      <c r="K6" s="457"/>
      <c r="L6" s="457"/>
      <c r="M6" s="457"/>
      <c r="N6" s="457"/>
      <c r="O6" s="457"/>
      <c r="P6" s="457"/>
      <c r="Q6" s="457"/>
      <c r="R6" s="460"/>
    </row>
    <row r="7" spans="1:19" ht="18.75">
      <c r="A7" s="457"/>
      <c r="B7" s="458"/>
      <c r="C7" s="458"/>
      <c r="D7" s="458"/>
      <c r="E7" s="458"/>
      <c r="F7" s="460"/>
      <c r="G7" s="460"/>
      <c r="H7" s="460"/>
      <c r="I7" s="460"/>
      <c r="J7" s="469"/>
      <c r="K7" s="460"/>
      <c r="L7" s="460"/>
      <c r="M7" s="460"/>
      <c r="N7" s="460"/>
      <c r="O7" s="458"/>
      <c r="P7" s="458"/>
      <c r="Q7" s="458"/>
      <c r="R7" s="460"/>
    </row>
    <row r="8" spans="1:19" ht="18.75">
      <c r="A8" s="457"/>
      <c r="B8" s="458"/>
      <c r="C8" s="458"/>
      <c r="D8" s="458"/>
      <c r="E8" s="458"/>
      <c r="F8" s="460"/>
      <c r="G8" s="460"/>
      <c r="H8" s="460"/>
      <c r="I8" s="460"/>
      <c r="J8" s="469"/>
      <c r="K8" s="460"/>
      <c r="L8" s="460"/>
      <c r="M8" s="39"/>
      <c r="N8" s="523"/>
      <c r="O8" s="524"/>
      <c r="P8" s="460"/>
      <c r="Q8" s="460"/>
      <c r="R8" s="460"/>
    </row>
    <row r="9" spans="1:19" ht="18.75">
      <c r="A9" s="457"/>
      <c r="B9" s="458"/>
      <c r="C9" s="458"/>
      <c r="D9" s="460">
        <v>305</v>
      </c>
      <c r="E9" s="837" t="s">
        <v>654</v>
      </c>
      <c r="F9" s="837"/>
      <c r="G9" s="837"/>
      <c r="H9" s="837"/>
      <c r="I9" s="837"/>
      <c r="J9" s="838"/>
      <c r="K9" s="525" t="s">
        <v>45</v>
      </c>
      <c r="L9" s="526"/>
      <c r="M9" s="526"/>
      <c r="N9" s="527"/>
      <c r="O9" s="528"/>
      <c r="P9" s="786"/>
      <c r="Q9" s="529"/>
      <c r="R9" s="458"/>
    </row>
    <row r="10" spans="1:19" ht="19.5">
      <c r="A10" s="457"/>
      <c r="B10" s="458"/>
      <c r="C10" s="458"/>
      <c r="D10" s="460"/>
      <c r="E10" s="469" t="s">
        <v>192</v>
      </c>
      <c r="F10" s="579"/>
      <c r="G10" s="530" t="s">
        <v>97</v>
      </c>
      <c r="H10" s="531"/>
      <c r="I10" s="469" t="s">
        <v>655</v>
      </c>
      <c r="J10" s="760" t="s">
        <v>85</v>
      </c>
      <c r="K10" s="532"/>
      <c r="L10" s="59" t="s">
        <v>704</v>
      </c>
      <c r="M10" s="533" t="s">
        <v>670</v>
      </c>
      <c r="N10" s="520" t="s">
        <v>86</v>
      </c>
      <c r="O10" s="534"/>
      <c r="P10" s="460" t="s">
        <v>10</v>
      </c>
      <c r="Q10" s="460" t="s">
        <v>14</v>
      </c>
      <c r="R10" s="458"/>
    </row>
    <row r="11" spans="1:19" ht="18.75">
      <c r="B11" s="5"/>
      <c r="D11" s="27" t="s">
        <v>33</v>
      </c>
      <c r="E11" s="26" t="s">
        <v>44</v>
      </c>
      <c r="F11" s="26" t="s">
        <v>83</v>
      </c>
      <c r="G11" s="26" t="s">
        <v>44</v>
      </c>
      <c r="H11" s="26" t="s">
        <v>12</v>
      </c>
      <c r="I11" s="26" t="s">
        <v>87</v>
      </c>
      <c r="J11" s="787" t="s">
        <v>84</v>
      </c>
      <c r="K11" s="55" t="s">
        <v>245</v>
      </c>
      <c r="L11" s="55" t="s">
        <v>31</v>
      </c>
      <c r="M11" s="26" t="s">
        <v>87</v>
      </c>
      <c r="N11" s="787" t="s">
        <v>671</v>
      </c>
      <c r="O11" s="535"/>
      <c r="P11" s="26" t="s">
        <v>15</v>
      </c>
      <c r="Q11" s="26" t="s">
        <v>1</v>
      </c>
      <c r="R11" s="46"/>
    </row>
    <row r="12" spans="1:19">
      <c r="A12" s="5" t="s">
        <v>17</v>
      </c>
      <c r="B12" s="5"/>
      <c r="D12" s="101"/>
      <c r="E12" s="7"/>
      <c r="F12" s="44"/>
      <c r="G12" s="44"/>
      <c r="H12" s="44"/>
      <c r="I12" s="44"/>
      <c r="J12" s="536"/>
      <c r="K12" s="112"/>
      <c r="L12" s="112"/>
      <c r="M12" s="44"/>
      <c r="N12" s="45"/>
      <c r="O12" s="537"/>
      <c r="P12" s="44"/>
      <c r="Q12" s="46"/>
      <c r="R12" s="46"/>
    </row>
    <row r="13" spans="1:19">
      <c r="B13" s="4" t="s">
        <v>48</v>
      </c>
      <c r="D13" s="29">
        <f>SUMIF('305 Inputs'!$B$125:$B$154,"=16",'305 Inputs'!$I$125:$I$154)</f>
        <v>127643581.39000002</v>
      </c>
      <c r="E13" s="28">
        <f>(D13/($D$20-$D$19+$D$22)*$D$36)</f>
        <v>545022.73549619329</v>
      </c>
      <c r="F13" s="28">
        <f>'305 VS COGNOS Revenue'!E7+'305 VS COGNOS Revenue'!G7+'305 VS COGNOS Revenue'!H7+'305 VS COGNOS Revenue'!J7+'305 VS COGNOS Revenue'!L7+'305 VS COGNOS Revenue'!S7+'305 VS COGNOS Revenue'!W7</f>
        <v>3990545.956617129</v>
      </c>
      <c r="G13" s="28">
        <f>-SUMIF('305 Inputs'!A125:A154,"=b16",'305 Inputs'!I$125:I$154)</f>
        <v>12303086.66</v>
      </c>
      <c r="H13" s="28">
        <f>Temperature!G22*1000</f>
        <v>-5019966.01</v>
      </c>
      <c r="I13" s="28">
        <f>SUM(E13:H13)</f>
        <v>11818689.342113322</v>
      </c>
      <c r="J13" s="29">
        <f>D13+I13</f>
        <v>139462270.73211333</v>
      </c>
      <c r="K13" s="453">
        <v>0</v>
      </c>
      <c r="L13" s="28">
        <v>0</v>
      </c>
      <c r="M13" s="28">
        <f>SUM(L13:L13)</f>
        <v>0</v>
      </c>
      <c r="N13" s="29">
        <f>J13+M13</f>
        <v>139462270.73211333</v>
      </c>
      <c r="O13" s="10"/>
      <c r="P13" s="28">
        <f>I13+M13</f>
        <v>11818689.342113322</v>
      </c>
      <c r="Q13" s="421">
        <f>+D13+P13</f>
        <v>139462270.73211333</v>
      </c>
      <c r="R13" s="538"/>
      <c r="S13" s="421">
        <f>D13+F13+G13</f>
        <v>143937214.00661716</v>
      </c>
    </row>
    <row r="14" spans="1:19">
      <c r="B14" s="4" t="s">
        <v>93</v>
      </c>
      <c r="D14" s="29">
        <f>SUMIF('305 Inputs'!$B$125:$B$154,"=17",'305 Inputs'!$I$125:$I$154)</f>
        <v>6710938.9100000001</v>
      </c>
      <c r="E14" s="28">
        <f t="shared" ref="E14:E18" si="0">(D14/($D$20-$D$19+$D$22)*$D$36)</f>
        <v>28654.901740030542</v>
      </c>
      <c r="F14" s="28">
        <f>'305 VS COGNOS Revenue'!E8+'305 VS COGNOS Revenue'!G8+'305 VS COGNOS Revenue'!H8+'305 VS COGNOS Revenue'!J8+'305 VS COGNOS Revenue'!L8+'305 VS COGNOS Revenue'!S8+'305 VS COGNOS Revenue'!W8</f>
        <v>237270.80505699708</v>
      </c>
      <c r="G14" s="28">
        <f>-SUMIF('305 Inputs'!$A$125:$A$154,"=b17",'305 Inputs'!I125:I154)</f>
        <v>649071.64</v>
      </c>
      <c r="H14" s="28">
        <f>Temperature!G40*1000</f>
        <v>-317228.36000000004</v>
      </c>
      <c r="I14" s="28">
        <f t="shared" ref="I14:I18" si="1">SUM(E14:H14)</f>
        <v>597768.98679702752</v>
      </c>
      <c r="J14" s="29">
        <f t="shared" ref="J14:J18" si="2">D14+I14</f>
        <v>7308707.8967970274</v>
      </c>
      <c r="K14" s="540">
        <f t="shared" ref="K14:K19" si="3">$K$13</f>
        <v>0</v>
      </c>
      <c r="L14" s="28">
        <f>'305 VS COGNOS Revenue'!Y8</f>
        <v>0.10183002054691315</v>
      </c>
      <c r="M14" s="28">
        <f t="shared" ref="M14:M18" si="4">SUM(L14:L14)</f>
        <v>0.10183002054691315</v>
      </c>
      <c r="N14" s="29">
        <f t="shared" ref="N14:N18" si="5">J14+M14</f>
        <v>7308707.998627048</v>
      </c>
      <c r="O14" s="10"/>
      <c r="P14" s="28">
        <f t="shared" ref="P14:P18" si="6">I14+M14</f>
        <v>597769.08862704807</v>
      </c>
      <c r="Q14" s="421">
        <f t="shared" ref="Q14:Q18" si="7">+D14+P14</f>
        <v>7308707.998627048</v>
      </c>
      <c r="R14" s="538"/>
      <c r="S14" s="421">
        <f t="shared" ref="S14:S18" si="8">D14+F14+G14</f>
        <v>7597281.3550569965</v>
      </c>
    </row>
    <row r="15" spans="1:19">
      <c r="B15" s="4" t="s">
        <v>49</v>
      </c>
      <c r="D15" s="29">
        <f>SUMIF('305 Inputs'!$B$125:$B$154,"=18",'305 Inputs'!$I$125:$I$154)</f>
        <v>199014.39</v>
      </c>
      <c r="E15" s="28">
        <f t="shared" si="0"/>
        <v>849.76750150481053</v>
      </c>
      <c r="F15" s="28">
        <f>'305 VS COGNOS Revenue'!E9+'305 VS COGNOS Revenue'!G9+'305 VS COGNOS Revenue'!H9+'305 VS COGNOS Revenue'!J9+'305 VS COGNOS Revenue'!L9+'305 VS COGNOS Revenue'!S9+'305 VS COGNOS Revenue'!W9</f>
        <v>4701.4340837939617</v>
      </c>
      <c r="G15" s="28">
        <f>-SUMIF('305 Inputs'!$A$125:$A$154,"=b18",'305 Inputs'!I$125:I$154)</f>
        <v>17258.27</v>
      </c>
      <c r="H15" s="28">
        <f>Temperature!G58*1000</f>
        <v>-7747.1100000000015</v>
      </c>
      <c r="I15" s="28">
        <f t="shared" si="1"/>
        <v>15062.361585298771</v>
      </c>
      <c r="J15" s="29">
        <f t="shared" si="2"/>
        <v>214076.7515852988</v>
      </c>
      <c r="K15" s="540">
        <f t="shared" si="3"/>
        <v>0</v>
      </c>
      <c r="L15" s="28">
        <f>'305 VS COGNOS Revenue'!Y9</f>
        <v>-0.10950741899432614</v>
      </c>
      <c r="M15" s="28">
        <f t="shared" si="4"/>
        <v>-0.10950741899432614</v>
      </c>
      <c r="N15" s="29">
        <f t="shared" si="5"/>
        <v>214076.64207787981</v>
      </c>
      <c r="O15" s="10"/>
      <c r="P15" s="28">
        <f t="shared" si="6"/>
        <v>15062.252077879777</v>
      </c>
      <c r="Q15" s="421">
        <f t="shared" si="7"/>
        <v>214076.64207787981</v>
      </c>
      <c r="R15" s="538"/>
      <c r="S15" s="421">
        <f t="shared" si="8"/>
        <v>220974.09408379396</v>
      </c>
    </row>
    <row r="16" spans="1:19">
      <c r="B16" s="7" t="s">
        <v>155</v>
      </c>
      <c r="D16" s="29">
        <f>SUMIF('305 Inputs'!$B$125:$B$154,"=18x",'305 Inputs'!$I$125:$I$154)</f>
        <v>29742.63</v>
      </c>
      <c r="E16" s="28">
        <f t="shared" si="0"/>
        <v>126.9974517083012</v>
      </c>
      <c r="F16" s="28">
        <f>'305 VS COGNOS Revenue'!E10+'305 VS COGNOS Revenue'!G10+'305 VS COGNOS Revenue'!H10+'305 VS COGNOS Revenue'!J10+'305 VS COGNOS Revenue'!L10+'305 VS COGNOS Revenue'!S10+'305 VS COGNOS Revenue'!W10</f>
        <v>632.95999999999822</v>
      </c>
      <c r="G16" s="28">
        <f>-SUMIF('305 Inputs'!$A$125:$A$154,"=b18x",'305 Inputs'!I$125:I$154)</f>
        <v>2617.41</v>
      </c>
      <c r="H16" s="28">
        <v>0</v>
      </c>
      <c r="I16" s="28">
        <f t="shared" si="1"/>
        <v>3377.3674517082991</v>
      </c>
      <c r="J16" s="29">
        <f t="shared" si="2"/>
        <v>33119.997451708303</v>
      </c>
      <c r="K16" s="540">
        <f t="shared" si="3"/>
        <v>0</v>
      </c>
      <c r="L16" s="28">
        <f>'305 VS COGNOS Revenue'!Y10</f>
        <v>0.27631290320277913</v>
      </c>
      <c r="M16" s="28">
        <f t="shared" si="4"/>
        <v>0.27631290320277913</v>
      </c>
      <c r="N16" s="29">
        <f t="shared" si="5"/>
        <v>33120.273764611506</v>
      </c>
      <c r="O16" s="10"/>
      <c r="P16" s="28">
        <f t="shared" si="6"/>
        <v>3377.6437646115019</v>
      </c>
      <c r="Q16" s="421">
        <f t="shared" si="7"/>
        <v>33120.273764611506</v>
      </c>
      <c r="R16" s="538"/>
      <c r="S16" s="421">
        <f t="shared" si="8"/>
        <v>32993</v>
      </c>
    </row>
    <row r="17" spans="1:19">
      <c r="B17" s="7" t="s">
        <v>243</v>
      </c>
      <c r="D17" s="29">
        <f>SUMIF('305 Inputs'!$B$125:$B$154,"=135",'305 Inputs'!$I$125:$I$154)</f>
        <v>1117750.58</v>
      </c>
      <c r="E17" s="28">
        <f t="shared" si="0"/>
        <v>4772.6604979275762</v>
      </c>
      <c r="F17" s="28">
        <f>'305 VS COGNOS Revenue'!E11+'305 VS COGNOS Revenue'!G11+'305 VS COGNOS Revenue'!H11+'305 VS COGNOS Revenue'!J11+'305 VS COGNOS Revenue'!L11+'305 VS COGNOS Revenue'!S11+'305 VS COGNOS Revenue'!W11</f>
        <v>44358.789999999892</v>
      </c>
      <c r="G17" s="28">
        <f>-SUMIF('305 Inputs'!$A$125:$A$154,"=b135",'305 Inputs'!I$125:I$154)</f>
        <v>99907.63</v>
      </c>
      <c r="H17" s="28">
        <v>0</v>
      </c>
      <c r="I17" s="28">
        <f t="shared" si="1"/>
        <v>149039.08049792747</v>
      </c>
      <c r="J17" s="29">
        <f t="shared" si="2"/>
        <v>1266789.6604979276</v>
      </c>
      <c r="K17" s="540">
        <f t="shared" si="3"/>
        <v>0</v>
      </c>
      <c r="L17" s="28">
        <v>0</v>
      </c>
      <c r="M17" s="28">
        <f t="shared" si="4"/>
        <v>0</v>
      </c>
      <c r="N17" s="29">
        <f t="shared" si="5"/>
        <v>1266789.6604979276</v>
      </c>
      <c r="O17" s="10"/>
      <c r="P17" s="28">
        <f t="shared" si="6"/>
        <v>149039.08049792747</v>
      </c>
      <c r="Q17" s="421">
        <f t="shared" si="7"/>
        <v>1266789.6604979276</v>
      </c>
      <c r="R17" s="538"/>
      <c r="S17" s="421">
        <f t="shared" si="8"/>
        <v>1262017</v>
      </c>
    </row>
    <row r="18" spans="1:19">
      <c r="B18" s="7" t="s">
        <v>664</v>
      </c>
      <c r="D18" s="29">
        <f>SUMIF('305 Inputs'!$B$125:$B$154,"=24",'305 Inputs'!$I$125:$I$154)</f>
        <v>2335928.9</v>
      </c>
      <c r="E18" s="28">
        <f t="shared" si="0"/>
        <v>9974.135363005058</v>
      </c>
      <c r="F18" s="28">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8">
        <f>-SUMIF('305 Inputs'!$A$125:$A$154,"=b24",'305 Inputs'!I$125:I$154)</f>
        <v>167571.59999999998</v>
      </c>
      <c r="H18" s="28">
        <f>Temperature!V75*1000</f>
        <v>-19998.239999999998</v>
      </c>
      <c r="I18" s="28">
        <f t="shared" si="1"/>
        <v>167368.15180299684</v>
      </c>
      <c r="J18" s="29">
        <f t="shared" si="2"/>
        <v>2503297.0518029965</v>
      </c>
      <c r="K18" s="540">
        <f t="shared" si="3"/>
        <v>0</v>
      </c>
      <c r="L18" s="28">
        <v>0</v>
      </c>
      <c r="M18" s="28">
        <f t="shared" si="4"/>
        <v>0</v>
      </c>
      <c r="N18" s="29">
        <f t="shared" si="5"/>
        <v>2503297.0518029965</v>
      </c>
      <c r="O18" s="10"/>
      <c r="P18" s="28">
        <f t="shared" si="6"/>
        <v>167368.15180299684</v>
      </c>
      <c r="Q18" s="421">
        <f t="shared" si="7"/>
        <v>2503297.0518029965</v>
      </c>
      <c r="R18" s="538"/>
      <c r="S18" s="421">
        <f t="shared" si="8"/>
        <v>2513321.1564399917</v>
      </c>
    </row>
    <row r="19" spans="1:19">
      <c r="B19" s="7" t="s">
        <v>877</v>
      </c>
      <c r="D19" s="75">
        <f>'305 Inputs'!I153</f>
        <v>119191.29</v>
      </c>
      <c r="E19" s="30">
        <v>0</v>
      </c>
      <c r="F19" s="30">
        <v>0</v>
      </c>
      <c r="G19" s="30">
        <v>0</v>
      </c>
      <c r="H19" s="30">
        <f>Temperature!V76*1000</f>
        <v>0</v>
      </c>
      <c r="I19" s="30">
        <f t="shared" ref="I19" si="9">SUM(E19:H19)</f>
        <v>0</v>
      </c>
      <c r="J19" s="75">
        <f t="shared" ref="J19" si="10">D19+I19</f>
        <v>119191.29</v>
      </c>
      <c r="K19" s="541">
        <f t="shared" si="3"/>
        <v>0</v>
      </c>
      <c r="L19" s="30">
        <v>0</v>
      </c>
      <c r="M19" s="30">
        <f t="shared" ref="M19" si="11">SUM(L19:L19)</f>
        <v>0</v>
      </c>
      <c r="N19" s="75">
        <f t="shared" ref="N19" si="12">J19+M19</f>
        <v>119191.29</v>
      </c>
      <c r="O19" s="10"/>
      <c r="P19" s="30">
        <f t="shared" ref="P19" si="13">I19+M19</f>
        <v>0</v>
      </c>
      <c r="Q19" s="420">
        <f t="shared" ref="Q19" si="14">+D19+P19</f>
        <v>119191.29</v>
      </c>
      <c r="R19" s="538"/>
      <c r="S19" s="421">
        <f t="shared" ref="S19" si="15">D19+F19+G19</f>
        <v>119191.29</v>
      </c>
    </row>
    <row r="20" spans="1:19">
      <c r="B20" s="4" t="s">
        <v>35</v>
      </c>
      <c r="D20" s="29">
        <f t="shared" ref="D20:J20" si="16">SUM(D13:D19)</f>
        <v>138156148.09</v>
      </c>
      <c r="E20" s="582">
        <f t="shared" si="16"/>
        <v>589401.19805036962</v>
      </c>
      <c r="F20" s="28">
        <f t="shared" si="16"/>
        <v>4287330.6021979116</v>
      </c>
      <c r="G20" s="28">
        <f t="shared" si="16"/>
        <v>13239513.210000001</v>
      </c>
      <c r="H20" s="28">
        <f t="shared" si="16"/>
        <v>-5364939.7200000007</v>
      </c>
      <c r="I20" s="28">
        <f t="shared" si="16"/>
        <v>12751305.29024828</v>
      </c>
      <c r="J20" s="29">
        <f t="shared" si="16"/>
        <v>150907453.38024831</v>
      </c>
      <c r="K20" s="540"/>
      <c r="L20" s="28">
        <f>SUM(L13:L19)</f>
        <v>0.26863550475536613</v>
      </c>
      <c r="M20" s="28">
        <f>SUM(M13:M19)</f>
        <v>0.26863550475536613</v>
      </c>
      <c r="N20" s="28">
        <f>SUM(N13:N19)</f>
        <v>150907453.64888379</v>
      </c>
      <c r="O20" s="10"/>
      <c r="P20" s="28">
        <f>SUM(P13:P19)</f>
        <v>12751305.558883784</v>
      </c>
      <c r="Q20" s="28">
        <f>SUM(Q13:Q19)</f>
        <v>150907453.64888379</v>
      </c>
      <c r="R20" s="538"/>
      <c r="S20" s="421">
        <f>SUM(S13:S18)</f>
        <v>155563800.61219794</v>
      </c>
    </row>
    <row r="21" spans="1:19">
      <c r="D21" s="29"/>
      <c r="E21" s="28"/>
      <c r="F21" s="28"/>
      <c r="G21" s="28"/>
      <c r="H21" s="28"/>
      <c r="I21" s="28"/>
      <c r="J21" s="29"/>
      <c r="K21" s="540"/>
      <c r="L21" s="28"/>
      <c r="M21" s="28" t="s">
        <v>31</v>
      </c>
      <c r="N21" s="29"/>
      <c r="O21" s="10"/>
      <c r="P21" s="28"/>
      <c r="Q21" s="421"/>
      <c r="R21" s="538"/>
      <c r="S21" s="539"/>
    </row>
    <row r="22" spans="1:19" s="11" customFormat="1">
      <c r="B22" s="7" t="s">
        <v>50</v>
      </c>
      <c r="D22" s="75">
        <f>SUMIF('305 Inputs'!$B$125:$B$154,"=15r",'305 Inputs'!$I$125:$I$154)</f>
        <v>140238.6</v>
      </c>
      <c r="E22" s="30">
        <f t="shared" ref="E22" si="17">(D22/($D$20-$D$19+$D$22)*$D$36)</f>
        <v>598.80194963053941</v>
      </c>
      <c r="F22" s="30">
        <f>'305 VS COGNOS Revenue'!E12+'305 VS COGNOS Revenue'!G12+'305 VS COGNOS Revenue'!H12+'305 VS COGNOS Revenue'!J12+'305 VS COGNOS Revenue'!L12+'305 VS COGNOS Revenue'!S12+'305 VS COGNOS Revenue'!W12</f>
        <v>306.04468292813556</v>
      </c>
      <c r="G22" s="30">
        <f ca="1">-SUMIF('305 Inputs'!$A$125:$A$150,"=b15r",'305 Inputs'!I$125:I$148)</f>
        <v>7707.99</v>
      </c>
      <c r="H22" s="30">
        <v>0</v>
      </c>
      <c r="I22" s="30">
        <f ca="1">SUM(E22:H22)</f>
        <v>8612.836632558674</v>
      </c>
      <c r="J22" s="75">
        <f ca="1">D22+I22</f>
        <v>148851.43663255867</v>
      </c>
      <c r="K22" s="541">
        <v>0</v>
      </c>
      <c r="L22" s="30">
        <f>'305 VS COGNOS Revenue'!Y12</f>
        <v>-1.8393620848655701E-8</v>
      </c>
      <c r="M22" s="30">
        <f>SUM(L22:L22)</f>
        <v>-1.8393620848655701E-8</v>
      </c>
      <c r="N22" s="75">
        <f ca="1">J22+M22</f>
        <v>148851.43663254028</v>
      </c>
      <c r="O22" s="418"/>
      <c r="P22" s="30">
        <f ca="1">I22+M22</f>
        <v>8612.8366325402803</v>
      </c>
      <c r="Q22" s="420">
        <f ca="1">+D22+P22</f>
        <v>148851.43663254028</v>
      </c>
      <c r="R22" s="538"/>
      <c r="S22" s="421">
        <f ca="1">D22+F22+G22</f>
        <v>148252.63468292812</v>
      </c>
    </row>
    <row r="23" spans="1:19">
      <c r="B23" s="4" t="s">
        <v>35</v>
      </c>
      <c r="D23" s="29">
        <f t="shared" ref="D23:J23" si="18">SUM(D22:D22)</f>
        <v>140238.6</v>
      </c>
      <c r="E23" s="582">
        <f t="shared" si="18"/>
        <v>598.80194963053941</v>
      </c>
      <c r="F23" s="28">
        <f t="shared" si="18"/>
        <v>306.04468292813556</v>
      </c>
      <c r="G23" s="28">
        <f t="shared" ca="1" si="18"/>
        <v>7707.99</v>
      </c>
      <c r="H23" s="28">
        <f t="shared" si="18"/>
        <v>0</v>
      </c>
      <c r="I23" s="28">
        <f t="shared" ca="1" si="18"/>
        <v>8612.836632558674</v>
      </c>
      <c r="J23" s="29">
        <f t="shared" ca="1" si="18"/>
        <v>148851.43663255867</v>
      </c>
      <c r="K23" s="541"/>
      <c r="L23" s="28">
        <f>SUM(L22:L22)</f>
        <v>-1.8393620848655701E-8</v>
      </c>
      <c r="M23" s="28">
        <f>SUM(M22:M22)</f>
        <v>-1.8393620848655701E-8</v>
      </c>
      <c r="N23" s="29">
        <f ca="1">SUM(N22:N22)</f>
        <v>148851.43663254028</v>
      </c>
      <c r="O23" s="10"/>
      <c r="P23" s="28">
        <f ca="1">SUM(P22:P22)</f>
        <v>8612.8366325402803</v>
      </c>
      <c r="Q23" s="28">
        <f ca="1">SUM(Q22:Q22)</f>
        <v>148851.43663254028</v>
      </c>
      <c r="R23" s="538"/>
    </row>
    <row r="24" spans="1:19">
      <c r="D24" s="29"/>
      <c r="E24" s="28"/>
      <c r="F24" s="28"/>
      <c r="G24" s="28"/>
      <c r="H24" s="28"/>
      <c r="I24" s="28"/>
      <c r="J24" s="29"/>
      <c r="K24" s="541"/>
      <c r="L24" s="540"/>
      <c r="M24" s="540"/>
      <c r="N24" s="29"/>
      <c r="O24" s="10"/>
      <c r="P24" s="28"/>
      <c r="Q24" s="421"/>
      <c r="R24" s="538"/>
      <c r="S24" s="542"/>
    </row>
    <row r="25" spans="1:19" s="11" customFormat="1">
      <c r="A25" s="4"/>
      <c r="B25" s="4" t="s">
        <v>34</v>
      </c>
      <c r="C25" s="4"/>
      <c r="D25" s="75">
        <f>SUMIF('305 Inputs'!$B$125:$B$154,"=aga",'305 Inputs'!$I$125:$I$154)</f>
        <v>1819.5</v>
      </c>
      <c r="E25" s="30"/>
      <c r="F25" s="30">
        <v>0</v>
      </c>
      <c r="G25" s="30">
        <v>0</v>
      </c>
      <c r="H25" s="30">
        <v>0</v>
      </c>
      <c r="I25" s="30">
        <f>SUM(F25:H25)</f>
        <v>0</v>
      </c>
      <c r="J25" s="75">
        <f>D25+I25</f>
        <v>1819.5</v>
      </c>
      <c r="K25" s="541">
        <v>0</v>
      </c>
      <c r="L25" s="30">
        <f>ROUND(J25*K25*((366-30)/(366+30*K25)),0)</f>
        <v>0</v>
      </c>
      <c r="M25" s="30">
        <f>SUM(L25:L25)</f>
        <v>0</v>
      </c>
      <c r="N25" s="29">
        <f>J25+M25</f>
        <v>1819.5</v>
      </c>
      <c r="O25" s="418"/>
      <c r="P25" s="30">
        <f>I25+M25</f>
        <v>0</v>
      </c>
      <c r="Q25" s="420">
        <f>+D25+P25</f>
        <v>1819.5</v>
      </c>
      <c r="R25" s="538"/>
    </row>
    <row r="26" spans="1:19" s="11" customFormat="1">
      <c r="A26" s="4"/>
      <c r="C26" s="4"/>
      <c r="D26" s="75"/>
      <c r="E26" s="30"/>
      <c r="F26" s="30"/>
      <c r="G26" s="30"/>
      <c r="H26" s="30"/>
      <c r="I26" s="30"/>
      <c r="J26" s="75"/>
      <c r="K26" s="541"/>
      <c r="L26" s="30"/>
      <c r="M26" s="30"/>
      <c r="N26" s="75"/>
      <c r="O26" s="418"/>
      <c r="P26" s="28"/>
      <c r="Q26" s="420"/>
      <c r="R26" s="538"/>
    </row>
    <row r="27" spans="1:19" s="11" customFormat="1">
      <c r="A27" s="4"/>
      <c r="B27" s="4" t="s">
        <v>873</v>
      </c>
      <c r="C27" s="4"/>
      <c r="D27" s="75">
        <f>SUMIF('305 Inputs'!$B$125:$B$154,"=def",'305 Inputs'!$I$125:$I$154)</f>
        <v>62654.2</v>
      </c>
      <c r="E27" s="30"/>
      <c r="F27" s="30">
        <f>-D27</f>
        <v>-62654.2</v>
      </c>
      <c r="G27" s="30">
        <v>0</v>
      </c>
      <c r="H27" s="30">
        <v>0</v>
      </c>
      <c r="I27" s="30">
        <f t="shared" ref="I27:I34" si="19">SUM(F27:H27)</f>
        <v>-62654.2</v>
      </c>
      <c r="J27" s="75">
        <f t="shared" ref="J27:J34" si="20">D27+I27</f>
        <v>0</v>
      </c>
      <c r="K27" s="541">
        <v>0</v>
      </c>
      <c r="L27" s="30">
        <f t="shared" ref="L27:L34" si="21">ROUND(J27*K27*((366-30)/(366+30*K27)),0)</f>
        <v>0</v>
      </c>
      <c r="M27" s="30">
        <f t="shared" ref="M27:M34" si="22">SUM(L27:L27)</f>
        <v>0</v>
      </c>
      <c r="N27" s="75">
        <f t="shared" ref="N27:N34" si="23">J27+M27</f>
        <v>0</v>
      </c>
      <c r="O27" s="418"/>
      <c r="P27" s="30">
        <f>I27+M27</f>
        <v>-62654.2</v>
      </c>
      <c r="Q27" s="420">
        <f t="shared" ref="Q27:Q34" si="24">+D27+P27</f>
        <v>0</v>
      </c>
      <c r="R27" s="538"/>
    </row>
    <row r="28" spans="1:19" s="11" customFormat="1">
      <c r="A28" s="4"/>
      <c r="B28" s="4" t="s">
        <v>665</v>
      </c>
      <c r="C28" s="4"/>
      <c r="D28" s="75">
        <f>SUMIF('305 Inputs'!$B$125:$B$154,"=rev",'305 Inputs'!$I$125:$I$154)</f>
        <v>-8932140.9000000004</v>
      </c>
      <c r="E28" s="30"/>
      <c r="F28" s="30">
        <f>-D28</f>
        <v>8932140.9000000004</v>
      </c>
      <c r="G28" s="30">
        <v>0</v>
      </c>
      <c r="H28" s="30">
        <v>0</v>
      </c>
      <c r="I28" s="30">
        <f t="shared" si="19"/>
        <v>8932140.9000000004</v>
      </c>
      <c r="J28" s="75">
        <f t="shared" si="20"/>
        <v>0</v>
      </c>
      <c r="K28" s="541">
        <v>0</v>
      </c>
      <c r="L28" s="30">
        <f t="shared" si="21"/>
        <v>0</v>
      </c>
      <c r="M28" s="30">
        <f t="shared" si="22"/>
        <v>0</v>
      </c>
      <c r="N28" s="75">
        <f t="shared" si="23"/>
        <v>0</v>
      </c>
      <c r="O28" s="418"/>
      <c r="P28" s="30">
        <f t="shared" ref="P28" si="25">I28+M28</f>
        <v>8932140.9000000004</v>
      </c>
      <c r="Q28" s="420">
        <f t="shared" si="24"/>
        <v>0</v>
      </c>
      <c r="R28" s="538"/>
    </row>
    <row r="29" spans="1:19" s="11" customFormat="1">
      <c r="B29" s="4" t="s">
        <v>874</v>
      </c>
      <c r="D29" s="75">
        <f>SUMIF('305 Inputs'!$B$125:$B$154,"=altrev",'305 Inputs'!$I$125:$I$154)</f>
        <v>1597390.06</v>
      </c>
      <c r="E29" s="30"/>
      <c r="F29" s="30">
        <f>-D29</f>
        <v>-1597390.06</v>
      </c>
      <c r="G29" s="30">
        <v>0</v>
      </c>
      <c r="H29" s="30">
        <v>0</v>
      </c>
      <c r="I29" s="30">
        <f t="shared" si="19"/>
        <v>-1597390.06</v>
      </c>
      <c r="J29" s="75">
        <f t="shared" si="20"/>
        <v>0</v>
      </c>
      <c r="K29" s="541">
        <v>0</v>
      </c>
      <c r="L29" s="30">
        <f t="shared" si="21"/>
        <v>0</v>
      </c>
      <c r="M29" s="30">
        <f t="shared" si="22"/>
        <v>0</v>
      </c>
      <c r="N29" s="75">
        <f t="shared" si="23"/>
        <v>0</v>
      </c>
      <c r="O29" s="418"/>
      <c r="P29" s="30">
        <f>I29+M29</f>
        <v>-1597390.06</v>
      </c>
      <c r="Q29" s="420">
        <f t="shared" si="24"/>
        <v>0</v>
      </c>
      <c r="R29" s="12"/>
    </row>
    <row r="30" spans="1:19" s="11" customFormat="1">
      <c r="B30" s="4" t="s">
        <v>876</v>
      </c>
      <c r="D30" s="75">
        <f>SUMIF('305 Inputs'!$B$125:$B$154,"=tax",'305 Inputs'!$I$125:$I$154)</f>
        <v>101815.87</v>
      </c>
      <c r="E30" s="30"/>
      <c r="F30" s="30">
        <f>-D30</f>
        <v>-101815.87</v>
      </c>
      <c r="G30" s="30">
        <v>0</v>
      </c>
      <c r="H30" s="30">
        <v>0</v>
      </c>
      <c r="I30" s="30">
        <f t="shared" si="19"/>
        <v>-101815.87</v>
      </c>
      <c r="J30" s="75">
        <f t="shared" si="20"/>
        <v>0</v>
      </c>
      <c r="K30" s="541">
        <v>0</v>
      </c>
      <c r="L30" s="30">
        <f t="shared" si="21"/>
        <v>0</v>
      </c>
      <c r="M30" s="30">
        <f t="shared" si="22"/>
        <v>0</v>
      </c>
      <c r="N30" s="75">
        <f t="shared" si="23"/>
        <v>0</v>
      </c>
      <c r="O30" s="418"/>
      <c r="P30" s="30">
        <f>I30+M30</f>
        <v>-101815.87</v>
      </c>
      <c r="Q30" s="420">
        <f t="shared" si="24"/>
        <v>0</v>
      </c>
      <c r="R30" s="12"/>
      <c r="S30" s="12"/>
    </row>
    <row r="31" spans="1:19" s="11" customFormat="1">
      <c r="B31" s="4" t="s">
        <v>170</v>
      </c>
      <c r="D31" s="75">
        <f>SUMIF('305 Inputs'!$B$125:$B$154,"=merger",'305 Inputs'!$I$125:$I$154)</f>
        <v>-3.56</v>
      </c>
      <c r="E31" s="30"/>
      <c r="F31" s="30">
        <f>-D31</f>
        <v>3.56</v>
      </c>
      <c r="G31" s="30">
        <v>0</v>
      </c>
      <c r="H31" s="30">
        <v>0</v>
      </c>
      <c r="I31" s="30">
        <f t="shared" si="19"/>
        <v>3.56</v>
      </c>
      <c r="J31" s="75">
        <f t="shared" si="20"/>
        <v>0</v>
      </c>
      <c r="K31" s="541">
        <v>0</v>
      </c>
      <c r="L31" s="30">
        <f t="shared" si="21"/>
        <v>0</v>
      </c>
      <c r="M31" s="30">
        <f t="shared" si="22"/>
        <v>0</v>
      </c>
      <c r="N31" s="75">
        <f t="shared" si="23"/>
        <v>0</v>
      </c>
      <c r="O31" s="418"/>
      <c r="P31" s="30">
        <f>I31+M31</f>
        <v>3.56</v>
      </c>
      <c r="Q31" s="420">
        <f t="shared" si="24"/>
        <v>0</v>
      </c>
      <c r="R31" s="12"/>
      <c r="S31" s="12"/>
    </row>
    <row r="32" spans="1:19" s="11" customFormat="1">
      <c r="B32" s="4" t="s">
        <v>672</v>
      </c>
      <c r="D32" s="75">
        <f>SUMIF('305 Inputs'!$B$125:$B$154,"=dsm",'305 Inputs'!$I$125:$I$154)</f>
        <v>4584004.46</v>
      </c>
      <c r="E32" s="30"/>
      <c r="F32" s="30">
        <f t="shared" ref="F32:F33" si="26">-D32</f>
        <v>-4584004.46</v>
      </c>
      <c r="G32" s="30">
        <v>0</v>
      </c>
      <c r="H32" s="30">
        <v>0</v>
      </c>
      <c r="I32" s="30">
        <f t="shared" si="19"/>
        <v>-4584004.46</v>
      </c>
      <c r="J32" s="75">
        <f t="shared" si="20"/>
        <v>0</v>
      </c>
      <c r="K32" s="541">
        <v>0</v>
      </c>
      <c r="L32" s="30">
        <f t="shared" si="21"/>
        <v>0</v>
      </c>
      <c r="M32" s="30">
        <f t="shared" si="22"/>
        <v>0</v>
      </c>
      <c r="N32" s="75">
        <f t="shared" si="23"/>
        <v>0</v>
      </c>
      <c r="O32" s="418"/>
      <c r="P32" s="30">
        <f t="shared" ref="P32:P33" si="27">I32+M32</f>
        <v>-4584004.46</v>
      </c>
      <c r="Q32" s="420">
        <f t="shared" si="24"/>
        <v>0</v>
      </c>
      <c r="R32" s="12"/>
      <c r="S32" s="12"/>
    </row>
    <row r="33" spans="1:19" s="11" customFormat="1">
      <c r="B33" s="4" t="s">
        <v>673</v>
      </c>
      <c r="D33" s="75">
        <f>SUMIF('305 Inputs'!$B$125:$B$154,"=blue",'305 Inputs'!$I$125:$I$154)</f>
        <v>153646.56</v>
      </c>
      <c r="E33" s="30"/>
      <c r="F33" s="30">
        <f t="shared" si="26"/>
        <v>-153646.56</v>
      </c>
      <c r="G33" s="30">
        <v>0</v>
      </c>
      <c r="H33" s="30">
        <v>0</v>
      </c>
      <c r="I33" s="30">
        <f t="shared" si="19"/>
        <v>-153646.56</v>
      </c>
      <c r="J33" s="75">
        <f t="shared" si="20"/>
        <v>0</v>
      </c>
      <c r="K33" s="541">
        <v>0</v>
      </c>
      <c r="L33" s="30">
        <f t="shared" si="21"/>
        <v>0</v>
      </c>
      <c r="M33" s="30">
        <f t="shared" si="22"/>
        <v>0</v>
      </c>
      <c r="N33" s="75">
        <f t="shared" si="23"/>
        <v>0</v>
      </c>
      <c r="O33" s="418"/>
      <c r="P33" s="30">
        <f t="shared" si="27"/>
        <v>-153646.56</v>
      </c>
      <c r="Q33" s="420">
        <f t="shared" si="24"/>
        <v>0</v>
      </c>
      <c r="R33" s="12"/>
      <c r="S33" s="12"/>
    </row>
    <row r="34" spans="1:19" s="11" customFormat="1">
      <c r="A34" s="4"/>
      <c r="B34" s="4" t="s">
        <v>94</v>
      </c>
      <c r="C34" s="4"/>
      <c r="D34" s="75">
        <f>SUMIF('305 Inputs'!$B$125:$B$154,"=bpa",'305 Inputs'!$I$125:$I$154)</f>
        <v>654601.77</v>
      </c>
      <c r="E34" s="30"/>
      <c r="F34" s="30">
        <v>0</v>
      </c>
      <c r="G34" s="30">
        <f>-D34</f>
        <v>-654601.77</v>
      </c>
      <c r="H34" s="30">
        <v>0</v>
      </c>
      <c r="I34" s="30">
        <f t="shared" si="19"/>
        <v>-654601.77</v>
      </c>
      <c r="J34" s="75">
        <f t="shared" si="20"/>
        <v>0</v>
      </c>
      <c r="K34" s="541">
        <v>0</v>
      </c>
      <c r="L34" s="30">
        <f t="shared" si="21"/>
        <v>0</v>
      </c>
      <c r="M34" s="30">
        <f t="shared" si="22"/>
        <v>0</v>
      </c>
      <c r="N34" s="75">
        <f t="shared" si="23"/>
        <v>0</v>
      </c>
      <c r="O34" s="418"/>
      <c r="P34" s="30">
        <f>I34+M34</f>
        <v>-654601.77</v>
      </c>
      <c r="Q34" s="420">
        <f t="shared" si="24"/>
        <v>0</v>
      </c>
      <c r="R34" s="12"/>
    </row>
    <row r="35" spans="1:19" s="11" customFormat="1">
      <c r="A35" s="4"/>
      <c r="C35" s="4"/>
      <c r="D35" s="75"/>
      <c r="E35" s="30"/>
      <c r="F35" s="30"/>
      <c r="G35" s="30"/>
      <c r="H35" s="30"/>
      <c r="I35" s="30"/>
      <c r="J35" s="75"/>
      <c r="K35" s="541"/>
      <c r="L35" s="28"/>
      <c r="M35" s="30"/>
      <c r="N35" s="75"/>
      <c r="O35" s="418"/>
      <c r="P35" s="30"/>
      <c r="Q35" s="420"/>
      <c r="R35" s="12"/>
    </row>
    <row r="36" spans="1:19" s="11" customFormat="1">
      <c r="B36" s="4" t="s">
        <v>78</v>
      </c>
      <c r="D36" s="75">
        <f>SUMIF('305 Inputs'!$B$125:$B$154,"=unbilled",'305 Inputs'!$I$125:$I$154)</f>
        <v>590000</v>
      </c>
      <c r="E36" s="30">
        <f>-D36</f>
        <v>-590000</v>
      </c>
      <c r="F36" s="30">
        <v>0</v>
      </c>
      <c r="G36" s="30">
        <v>0</v>
      </c>
      <c r="H36" s="30">
        <v>0</v>
      </c>
      <c r="I36" s="30">
        <f>SUM(E36:H36)</f>
        <v>-590000</v>
      </c>
      <c r="J36" s="75">
        <f>D36+I36</f>
        <v>0</v>
      </c>
      <c r="K36" s="541">
        <v>0</v>
      </c>
      <c r="L36" s="30">
        <f t="shared" ref="L36" si="28">ROUND(J36*K36*((366-30)/(366+30*K36)),0)</f>
        <v>0</v>
      </c>
      <c r="M36" s="30">
        <f>SUM(L36:L36)</f>
        <v>0</v>
      </c>
      <c r="N36" s="75">
        <f>J36+M36</f>
        <v>0</v>
      </c>
      <c r="O36" s="418"/>
      <c r="P36" s="30">
        <f>I36+M36</f>
        <v>-590000</v>
      </c>
      <c r="Q36" s="420">
        <f>+D36+P36</f>
        <v>0</v>
      </c>
      <c r="R36" s="12"/>
    </row>
    <row r="37" spans="1:19" s="11" customFormat="1">
      <c r="A37" s="4"/>
      <c r="C37" s="4"/>
      <c r="D37" s="75"/>
      <c r="E37" s="30"/>
      <c r="F37" s="30"/>
      <c r="G37" s="30"/>
      <c r="H37" s="30"/>
      <c r="I37" s="30"/>
      <c r="J37" s="75"/>
      <c r="K37" s="541"/>
      <c r="L37" s="541"/>
      <c r="M37" s="541"/>
      <c r="N37" s="75"/>
      <c r="O37" s="418"/>
      <c r="P37" s="30"/>
      <c r="Q37" s="30"/>
      <c r="R37" s="12"/>
    </row>
    <row r="38" spans="1:19">
      <c r="B38" s="32" t="s">
        <v>9</v>
      </c>
      <c r="C38" s="33"/>
      <c r="D38" s="76">
        <f t="shared" ref="D38:N38" si="29">+D20+D23+D25+SUM(D27:D36)</f>
        <v>137110174.65000001</v>
      </c>
      <c r="E38" s="77">
        <f t="shared" si="29"/>
        <v>0</v>
      </c>
      <c r="F38" s="36">
        <f t="shared" si="29"/>
        <v>6720269.9568808395</v>
      </c>
      <c r="G38" s="36">
        <f t="shared" ca="1" si="29"/>
        <v>12592619.430000002</v>
      </c>
      <c r="H38" s="36">
        <f t="shared" si="29"/>
        <v>-5364939.7200000007</v>
      </c>
      <c r="I38" s="36">
        <f t="shared" ca="1" si="29"/>
        <v>13947949.666880839</v>
      </c>
      <c r="J38" s="76">
        <f t="shared" ca="1" si="29"/>
        <v>151058124.31688085</v>
      </c>
      <c r="K38" s="36">
        <f t="shared" si="29"/>
        <v>0</v>
      </c>
      <c r="L38" s="36">
        <f t="shared" si="29"/>
        <v>0.26863548636174528</v>
      </c>
      <c r="M38" s="36">
        <f t="shared" si="29"/>
        <v>0.26863548636174528</v>
      </c>
      <c r="N38" s="76">
        <f t="shared" ca="1" si="29"/>
        <v>151058124.58551633</v>
      </c>
      <c r="O38" s="77"/>
      <c r="P38" s="36">
        <f ca="1">+P20+P23+P25+SUM(P27:P36)</f>
        <v>13947949.935516324</v>
      </c>
      <c r="Q38" s="36">
        <f ca="1">+Q20+Q23+Q25+SUM(Q27:Q36)</f>
        <v>151058124.58551633</v>
      </c>
      <c r="R38" s="8"/>
    </row>
    <row r="39" spans="1:19">
      <c r="D39" s="29"/>
      <c r="E39" s="28"/>
      <c r="F39" s="28"/>
      <c r="G39" s="28"/>
      <c r="H39" s="28"/>
      <c r="I39" s="28"/>
      <c r="J39" s="29"/>
      <c r="K39" s="28"/>
      <c r="L39" s="28"/>
      <c r="M39" s="28"/>
      <c r="N39" s="29"/>
      <c r="O39" s="10"/>
      <c r="P39" s="9"/>
      <c r="Q39" s="421"/>
      <c r="R39" s="8"/>
    </row>
    <row r="40" spans="1:19">
      <c r="A40" s="5" t="s">
        <v>18</v>
      </c>
      <c r="B40" s="5"/>
      <c r="D40" s="29"/>
      <c r="E40" s="28"/>
      <c r="F40" s="28"/>
      <c r="G40" s="28"/>
      <c r="H40" s="28"/>
      <c r="I40" s="28"/>
      <c r="J40" s="29"/>
      <c r="K40" s="28"/>
      <c r="L40" s="28"/>
      <c r="M40" s="28"/>
      <c r="N40" s="29"/>
      <c r="O40" s="10"/>
      <c r="P40" s="9"/>
      <c r="Q40" s="421"/>
      <c r="R40" s="8"/>
    </row>
    <row r="41" spans="1:19">
      <c r="B41" s="522" t="s">
        <v>51</v>
      </c>
      <c r="D41" s="29">
        <f>SUMIF('305 Inputs'!$B$7:$B$46,"=24",'305 Inputs'!$I$7:$I$46)</f>
        <v>47177392.560000002</v>
      </c>
      <c r="E41" s="28">
        <f>D41/($D$44+$D$47+$D$50+$D$54+'305 Inputs'!$I$153)*$D$67</f>
        <v>624428.93111745664</v>
      </c>
      <c r="F41" s="28">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8">
        <f>-SUMIF('305 Inputs'!$A$7:$A$46,"=b24",'305 Inputs'!$I$7:$I$46)</f>
        <v>233270.69</v>
      </c>
      <c r="H41" s="28">
        <f>Temperature!I75*1000</f>
        <v>-414717.95</v>
      </c>
      <c r="I41" s="28">
        <f>SUM(E41:H41)</f>
        <v>1028070.3617347085</v>
      </c>
      <c r="J41" s="29">
        <f>D41+I41</f>
        <v>48205462.921734713</v>
      </c>
      <c r="K41" s="453">
        <f>$K$13</f>
        <v>0</v>
      </c>
      <c r="L41" s="28">
        <f>'305 VS COGNOS Revenue'!Y20+'305 VS COGNOS Revenue'!Y28</f>
        <v>9.3827415112173185E-3</v>
      </c>
      <c r="M41" s="28">
        <f>SUM(L41:L41)</f>
        <v>9.3827415112173185E-3</v>
      </c>
      <c r="N41" s="29">
        <f>J41+M41</f>
        <v>48205462.931117453</v>
      </c>
      <c r="O41" s="10"/>
      <c r="P41" s="28">
        <f>I41+M41</f>
        <v>1028070.3711174501</v>
      </c>
      <c r="Q41" s="421">
        <f>+D41+P41</f>
        <v>48205462.931117453</v>
      </c>
      <c r="R41" s="8"/>
      <c r="S41" s="421">
        <f t="shared" ref="S41:S43" si="30">D41+F41+G41</f>
        <v>47995751.940617248</v>
      </c>
    </row>
    <row r="42" spans="1:19" s="11" customFormat="1">
      <c r="B42" s="522" t="s">
        <v>52</v>
      </c>
      <c r="D42" s="29">
        <f>SUMIF('305 Inputs'!$B$7:$B$46,"=24f",'305 Inputs'!$I$7:$I$46)</f>
        <v>168997.77000000002</v>
      </c>
      <c r="E42" s="28">
        <f>D42/($D$44+$D$47+$D$50+$D$54+'305 Inputs'!$I$153)*$D$67</f>
        <v>2236.8149479250023</v>
      </c>
      <c r="F42" s="28">
        <f>'305 VS COGNOS Revenue'!E21+'305 VS COGNOS Revenue'!G21+'305 VS COGNOS Revenue'!H21+'305 VS COGNOS Revenue'!J21+'305 VS COGNOS Revenue'!L21+'305 VS COGNOS Revenue'!S21+'305 VS COGNOS Revenue'!W21</f>
        <v>1602.149999999976</v>
      </c>
      <c r="G42" s="28">
        <f>-SUMIF('305 Inputs'!$A$7:$A$46,"=b24f",'305 Inputs'!$I$7:$I$46)</f>
        <v>7.08</v>
      </c>
      <c r="H42" s="28">
        <v>0</v>
      </c>
      <c r="I42" s="28">
        <f>SUM(E42:H42)</f>
        <v>3846.0449479249783</v>
      </c>
      <c r="J42" s="29">
        <f>D42+I42</f>
        <v>172843.81494792498</v>
      </c>
      <c r="K42" s="540">
        <f>$K$13</f>
        <v>0</v>
      </c>
      <c r="L42" s="28">
        <f>'305 VS COGNOS Revenue'!Y21</f>
        <v>0</v>
      </c>
      <c r="M42" s="28">
        <f>SUM(L42:L42)</f>
        <v>0</v>
      </c>
      <c r="N42" s="29">
        <f>J42+M42</f>
        <v>172843.81494792498</v>
      </c>
      <c r="O42" s="10"/>
      <c r="P42" s="28">
        <f>I42+M42</f>
        <v>3846.0449479249783</v>
      </c>
      <c r="Q42" s="421">
        <f>+D42+P42</f>
        <v>172843.81494792498</v>
      </c>
      <c r="R42" s="12"/>
      <c r="S42" s="421">
        <f t="shared" si="30"/>
        <v>170606.99999999997</v>
      </c>
    </row>
    <row r="43" spans="1:19">
      <c r="B43" s="522" t="s">
        <v>57</v>
      </c>
      <c r="C43" s="11"/>
      <c r="D43" s="75">
        <f>SUMIF('305 Inputs'!$B$7:$B$46,"=24fp",'305 Inputs'!$I$7:$I$46)</f>
        <v>68383.239999999991</v>
      </c>
      <c r="E43" s="30">
        <f>D43/($D$44+$D$47+$D$50+$D$54+'305 Inputs'!$I$153)*$D$67</f>
        <v>905.10456688004149</v>
      </c>
      <c r="F43" s="30">
        <f>'305 VS COGNOS Revenue'!E22+'305 VS COGNOS Revenue'!G22+'305 VS COGNOS Revenue'!H22+'305 VS COGNOS Revenue'!J22+'305 VS COGNOS Revenue'!L22+'305 VS COGNOS Revenue'!S22+'305 VS COGNOS Revenue'!W22</f>
        <v>57.440000000001731</v>
      </c>
      <c r="G43" s="30">
        <f>-SUMIF('305 Inputs'!$A$7:$A$46,"=b24fp",'305 Inputs'!$I$7:$I$46)</f>
        <v>1028.32</v>
      </c>
      <c r="H43" s="30">
        <v>0</v>
      </c>
      <c r="I43" s="30">
        <f>SUM(E43:H43)</f>
        <v>1990.8645668800432</v>
      </c>
      <c r="J43" s="75">
        <f>D43+I43</f>
        <v>70374.104566880036</v>
      </c>
      <c r="K43" s="541">
        <f>$K$13</f>
        <v>0</v>
      </c>
      <c r="L43" s="30">
        <f>'305 VS COGNOS Revenue'!Y22</f>
        <v>0</v>
      </c>
      <c r="M43" s="30">
        <f>SUM(L43:L43)</f>
        <v>0</v>
      </c>
      <c r="N43" s="75">
        <f>J43+M43</f>
        <v>70374.104566880036</v>
      </c>
      <c r="O43" s="418"/>
      <c r="P43" s="30">
        <f t="shared" ref="P43" si="31">I43+M43</f>
        <v>1990.8645668800432</v>
      </c>
      <c r="Q43" s="420">
        <f>+D43+P43</f>
        <v>70374.104566880036</v>
      </c>
      <c r="R43" s="8"/>
      <c r="S43" s="421">
        <f t="shared" si="30"/>
        <v>69469</v>
      </c>
    </row>
    <row r="44" spans="1:19">
      <c r="B44" s="4" t="s">
        <v>35</v>
      </c>
      <c r="D44" s="29">
        <f t="shared" ref="D44:J44" si="32">SUM(D41:D43)</f>
        <v>47414773.570000008</v>
      </c>
      <c r="E44" s="582">
        <f t="shared" si="32"/>
        <v>627570.85063226172</v>
      </c>
      <c r="F44" s="28">
        <f t="shared" si="32"/>
        <v>586748.28061725199</v>
      </c>
      <c r="G44" s="28">
        <f t="shared" si="32"/>
        <v>234306.09</v>
      </c>
      <c r="H44" s="28">
        <f t="shared" si="32"/>
        <v>-414717.95</v>
      </c>
      <c r="I44" s="28">
        <f t="shared" si="32"/>
        <v>1033907.2712495136</v>
      </c>
      <c r="J44" s="29">
        <f t="shared" si="32"/>
        <v>48448680.841249518</v>
      </c>
      <c r="K44" s="540"/>
      <c r="L44" s="28">
        <f>SUM(L41:L43)</f>
        <v>9.3827415112173185E-3</v>
      </c>
      <c r="M44" s="28">
        <f>SUM(M41:M43)</f>
        <v>9.3827415112173185E-3</v>
      </c>
      <c r="N44" s="29">
        <f>SUM(N41:N43)</f>
        <v>48448680.850632258</v>
      </c>
      <c r="O44" s="10"/>
      <c r="P44" s="28">
        <f>SUM(P41:P43)</f>
        <v>1033907.2806322551</v>
      </c>
      <c r="Q44" s="28">
        <f>SUM(Q41:Q43)</f>
        <v>48448680.850632258</v>
      </c>
      <c r="R44" s="8"/>
      <c r="S44" s="421">
        <f>SUM(S41:S43)</f>
        <v>48235827.940617248</v>
      </c>
    </row>
    <row r="45" spans="1:19">
      <c r="D45" s="29"/>
      <c r="E45" s="28"/>
      <c r="F45" s="28"/>
      <c r="G45" s="28"/>
      <c r="H45" s="28"/>
      <c r="I45" s="28"/>
      <c r="J45" s="29"/>
      <c r="K45" s="28"/>
      <c r="L45" s="28"/>
      <c r="M45" s="28"/>
      <c r="N45" s="29"/>
      <c r="O45" s="10"/>
      <c r="P45" s="28"/>
      <c r="Q45" s="421"/>
      <c r="R45" s="8"/>
    </row>
    <row r="46" spans="1:19">
      <c r="B46" s="522" t="s">
        <v>53</v>
      </c>
      <c r="D46" s="75">
        <f>SUMIF('305 Inputs'!$B$7:$B$46,"=36",'305 Inputs'!$I$7:$I$46)+'305 Inputs'!I154</f>
        <v>65916319.790000007</v>
      </c>
      <c r="E46" s="30">
        <f>(D46+D19)/($D$44+$D$47+$D$50+$D$54+'305 Inputs'!$I$153)*$D$67</f>
        <v>874030.57612896967</v>
      </c>
      <c r="F46" s="30">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0">
        <f>-SUMIF('305 Inputs'!$A$7:$A$46,"=b36",'305 Inputs'!$I$7:$I$46)-'305 Inputs'!I154</f>
        <v>454619.76</v>
      </c>
      <c r="H46" s="30">
        <f>Temperature!G110*1000</f>
        <v>-432004.13</v>
      </c>
      <c r="I46" s="30">
        <f>SUM(E46:H46)</f>
        <v>1702637.4938548701</v>
      </c>
      <c r="J46" s="75">
        <f>D46+I46</f>
        <v>67618957.283854872</v>
      </c>
      <c r="K46" s="543">
        <f>$K$13</f>
        <v>0</v>
      </c>
      <c r="L46" s="30">
        <f>'305 VS COGNOS Revenue'!Y24+'305 VS COGNOS Revenue'!Y29</f>
        <v>2.2741058201063424E-3</v>
      </c>
      <c r="M46" s="30">
        <f>SUM(L46:L46)</f>
        <v>2.2741058201063424E-3</v>
      </c>
      <c r="N46" s="75">
        <f>J46+M46</f>
        <v>67618957.286128983</v>
      </c>
      <c r="O46" s="418"/>
      <c r="P46" s="30">
        <f t="shared" ref="P46" si="33">I46+M46</f>
        <v>1702637.4961289759</v>
      </c>
      <c r="Q46" s="420">
        <f>+D46+P46</f>
        <v>67618957.286128983</v>
      </c>
      <c r="R46" s="8"/>
      <c r="S46" s="421">
        <f>D46+F46+G46</f>
        <v>67176930.837725908</v>
      </c>
    </row>
    <row r="47" spans="1:19">
      <c r="B47" s="4" t="s">
        <v>35</v>
      </c>
      <c r="D47" s="29">
        <f t="shared" ref="D47:J47" si="34">SUM(D46:D46)</f>
        <v>65916319.790000007</v>
      </c>
      <c r="E47" s="582">
        <f t="shared" si="34"/>
        <v>874030.57612896967</v>
      </c>
      <c r="F47" s="28">
        <f t="shared" si="34"/>
        <v>805991.2877259003</v>
      </c>
      <c r="G47" s="28">
        <f t="shared" si="34"/>
        <v>454619.76</v>
      </c>
      <c r="H47" s="28">
        <f t="shared" si="34"/>
        <v>-432004.13</v>
      </c>
      <c r="I47" s="28">
        <f t="shared" si="34"/>
        <v>1702637.4938548701</v>
      </c>
      <c r="J47" s="29">
        <f t="shared" si="34"/>
        <v>67618957.283854872</v>
      </c>
      <c r="K47" s="540"/>
      <c r="L47" s="28">
        <f>SUM(L46:L46)</f>
        <v>2.2741058201063424E-3</v>
      </c>
      <c r="M47" s="28">
        <f>SUM(M46:M46)</f>
        <v>2.2741058201063424E-3</v>
      </c>
      <c r="N47" s="29">
        <f>SUM(N46:N46)</f>
        <v>67618957.286128983</v>
      </c>
      <c r="O47" s="10"/>
      <c r="P47" s="28">
        <f>SUM(P46:P46)</f>
        <v>1702637.4961289759</v>
      </c>
      <c r="Q47" s="28">
        <f>SUM(Q46:Q46)</f>
        <v>67618957.286128983</v>
      </c>
      <c r="R47" s="8"/>
    </row>
    <row r="48" spans="1:19">
      <c r="B48" s="522"/>
      <c r="D48" s="29"/>
      <c r="E48" s="28"/>
      <c r="F48" s="28" t="s">
        <v>31</v>
      </c>
      <c r="G48" s="28"/>
      <c r="H48" s="28"/>
      <c r="I48" s="28"/>
      <c r="J48" s="29" t="s">
        <v>31</v>
      </c>
      <c r="K48" s="540"/>
      <c r="L48" s="28"/>
      <c r="M48" s="28"/>
      <c r="N48" s="29"/>
      <c r="O48" s="10"/>
      <c r="P48" s="28"/>
      <c r="Q48" s="421"/>
      <c r="R48" s="8"/>
    </row>
    <row r="49" spans="1:19" s="11" customFormat="1">
      <c r="B49" s="522" t="s">
        <v>54</v>
      </c>
      <c r="D49" s="75">
        <f>SUMIF('305 Inputs'!$B$7:$B$46,"=48t",'305 Inputs'!$I$7:$I$46)</f>
        <v>14223219.33</v>
      </c>
      <c r="E49" s="30">
        <f>D49/($D$44+$D$47+$D$50+$D$54+'305 Inputs'!$I$153)*$D$67</f>
        <v>188255.20363351438</v>
      </c>
      <c r="F49" s="30">
        <f>'305 VS COGNOS Revenue'!E25+'305 VS COGNOS Revenue'!G25+'305 VS COGNOS Revenue'!H25+'305 VS COGNOS Revenue'!J25+'305 VS COGNOS Revenue'!L25+'305 VS COGNOS Revenue'!S25+'305 VS COGNOS Revenue'!W25</f>
        <v>95720.379989289562</v>
      </c>
      <c r="G49" s="30">
        <f>-SUMIF('305 Inputs'!$A$7:$A$46,"=b48t",'305 Inputs'!$I$7:$I$46)</f>
        <v>0</v>
      </c>
      <c r="H49" s="30">
        <f>(Temperature!D127+Temperature!H127)*1000</f>
        <v>-81541.709999999992</v>
      </c>
      <c r="I49" s="30">
        <f>SUM(E49:H49)</f>
        <v>202433.87362280392</v>
      </c>
      <c r="J49" s="75">
        <f>D49+I49</f>
        <v>14425653.203622803</v>
      </c>
      <c r="K49" s="543">
        <f>$K$13</f>
        <v>0</v>
      </c>
      <c r="L49" s="30">
        <f>'305 VS COGNOS Revenue'!Y25</f>
        <v>1.0709823982324451E-5</v>
      </c>
      <c r="M49" s="30">
        <f>SUM(L49:L49)</f>
        <v>1.0709823982324451E-5</v>
      </c>
      <c r="N49" s="75">
        <f>J49+M49</f>
        <v>14425653.203633513</v>
      </c>
      <c r="O49" s="418"/>
      <c r="P49" s="30">
        <f t="shared" ref="P49" si="35">I49+M49</f>
        <v>202433.87363351375</v>
      </c>
      <c r="Q49" s="420">
        <f>+D49+P49</f>
        <v>14425653.203633513</v>
      </c>
      <c r="R49" s="12"/>
      <c r="S49" s="421">
        <f>D49+F49+G49</f>
        <v>14318939.709989289</v>
      </c>
    </row>
    <row r="50" spans="1:19">
      <c r="B50" s="4" t="s">
        <v>35</v>
      </c>
      <c r="D50" s="29">
        <f t="shared" ref="D50:J50" si="36">SUM(D49)</f>
        <v>14223219.33</v>
      </c>
      <c r="E50" s="582">
        <f t="shared" si="36"/>
        <v>188255.20363351438</v>
      </c>
      <c r="F50" s="28">
        <f t="shared" si="36"/>
        <v>95720.379989289562</v>
      </c>
      <c r="G50" s="28">
        <f t="shared" si="36"/>
        <v>0</v>
      </c>
      <c r="H50" s="28">
        <f t="shared" si="36"/>
        <v>-81541.709999999992</v>
      </c>
      <c r="I50" s="28">
        <f t="shared" si="36"/>
        <v>202433.87362280392</v>
      </c>
      <c r="J50" s="29">
        <f t="shared" si="36"/>
        <v>14425653.203622803</v>
      </c>
      <c r="K50" s="540"/>
      <c r="L50" s="28">
        <f>SUM(L49)</f>
        <v>1.0709823982324451E-5</v>
      </c>
      <c r="M50" s="28">
        <f>SUM(M49)</f>
        <v>1.0709823982324451E-5</v>
      </c>
      <c r="N50" s="29">
        <f>SUM(N49)</f>
        <v>14425653.203633513</v>
      </c>
      <c r="O50" s="10"/>
      <c r="P50" s="28">
        <f>SUM(P49)</f>
        <v>202433.87363351375</v>
      </c>
      <c r="Q50" s="28">
        <f>SUM(Q49)</f>
        <v>14425653.203633513</v>
      </c>
      <c r="R50" s="8"/>
    </row>
    <row r="51" spans="1:19">
      <c r="D51" s="29"/>
      <c r="E51" s="28"/>
      <c r="F51" s="28"/>
      <c r="G51" s="28"/>
      <c r="H51" s="28"/>
      <c r="I51" s="28"/>
      <c r="J51" s="29" t="s">
        <v>31</v>
      </c>
      <c r="K51" s="28"/>
      <c r="L51" s="28"/>
      <c r="M51" s="28"/>
      <c r="N51" s="29"/>
      <c r="O51" s="544"/>
      <c r="P51" s="28"/>
      <c r="Q51" s="421"/>
    </row>
    <row r="52" spans="1:19">
      <c r="B52" s="522" t="s">
        <v>55</v>
      </c>
      <c r="D52" s="29">
        <f>SUMIF('305 Inputs'!$B$7:$B$46,"=15n",'305 Inputs'!$I$7:$I$46)</f>
        <v>286985.58</v>
      </c>
      <c r="E52" s="28">
        <f>D52/($D$44+$D$47+$D$50+$D$54+'305 Inputs'!$I$153)*$D$67</f>
        <v>3798.4739986978907</v>
      </c>
      <c r="F52" s="28">
        <f>'305 VS COGNOS Revenue'!E26+'305 VS COGNOS Revenue'!G26+'305 VS COGNOS Revenue'!H26+'305 VS COGNOS Revenue'!J26+'305 VS COGNOS Revenue'!L26+'305 VS COGNOS Revenue'!S26+'305 VS COGNOS Revenue'!W26</f>
        <v>1034.018783879369</v>
      </c>
      <c r="G52" s="28">
        <f>-SUMIF('305 Inputs'!$A$7:$A$46,"=b15n",'305 Inputs'!$I$7:$I$46)</f>
        <v>4163.45</v>
      </c>
      <c r="H52" s="28">
        <v>0</v>
      </c>
      <c r="I52" s="28">
        <f>SUM(E52:H52)</f>
        <v>8995.9427825772582</v>
      </c>
      <c r="J52" s="29">
        <f>D52+I52</f>
        <v>295981.52278257726</v>
      </c>
      <c r="K52" s="540">
        <v>0</v>
      </c>
      <c r="L52" s="28">
        <f>'305 VS COGNOS Revenue'!Y26</f>
        <v>0</v>
      </c>
      <c r="M52" s="28">
        <f>SUM(L52:L52)</f>
        <v>0</v>
      </c>
      <c r="N52" s="29">
        <f>J52+M52</f>
        <v>295981.52278257726</v>
      </c>
      <c r="O52" s="10"/>
      <c r="P52" s="28">
        <f>I52+M52</f>
        <v>8995.9427825772582</v>
      </c>
      <c r="Q52" s="421">
        <f>+D52+P52</f>
        <v>295981.52278257726</v>
      </c>
      <c r="R52" s="8"/>
      <c r="S52" s="421">
        <f t="shared" ref="S52:S53" si="37">D52+F52+G52</f>
        <v>292183.04878387938</v>
      </c>
    </row>
    <row r="53" spans="1:19">
      <c r="B53" s="522" t="s">
        <v>56</v>
      </c>
      <c r="D53" s="75">
        <f>SUMIF('305 Inputs'!$B$7:$B$46,"=54",'305 Inputs'!$I$7:$I$46)</f>
        <v>26057.85</v>
      </c>
      <c r="E53" s="30">
        <f>D53/($D$44+$D$47+$D$50+$D$54+'305 Inputs'!$I$153)*$D$67</f>
        <v>344.89560655615463</v>
      </c>
      <c r="F53" s="30">
        <f>'305 VS COGNOS Revenue'!E27+'305 VS COGNOS Revenue'!G27+'305 VS COGNOS Revenue'!H27+'305 VS COGNOS Revenue'!J27+'305 VS COGNOS Revenue'!L27+'305 VS COGNOS Revenue'!S27+'305 VS COGNOS Revenue'!W27</f>
        <v>26.150000000003118</v>
      </c>
      <c r="G53" s="30">
        <f>-SUMIF('305 Inputs'!$A$7:$A$46,"=b54",'305 Inputs'!$I$7:$I$46)</f>
        <v>0</v>
      </c>
      <c r="H53" s="30">
        <v>0</v>
      </c>
      <c r="I53" s="30">
        <f>SUM(E53:H53)</f>
        <v>371.04560655615774</v>
      </c>
      <c r="J53" s="75">
        <f>D53+I53</f>
        <v>26428.895606556158</v>
      </c>
      <c r="K53" s="541">
        <v>0</v>
      </c>
      <c r="L53" s="30">
        <f>'305 VS COGNOS Revenue'!Y27</f>
        <v>0</v>
      </c>
      <c r="M53" s="30">
        <f>SUM(L53:L53)</f>
        <v>0</v>
      </c>
      <c r="N53" s="75">
        <f>J53+M53</f>
        <v>26428.895606556158</v>
      </c>
      <c r="O53" s="418"/>
      <c r="P53" s="30">
        <f t="shared" ref="P53" si="38">I53+M53</f>
        <v>371.04560655615774</v>
      </c>
      <c r="Q53" s="420">
        <f>+D53+P53</f>
        <v>26428.895606556158</v>
      </c>
      <c r="R53" s="8"/>
      <c r="S53" s="421">
        <f t="shared" si="37"/>
        <v>26084</v>
      </c>
    </row>
    <row r="54" spans="1:19">
      <c r="B54" s="4" t="s">
        <v>35</v>
      </c>
      <c r="D54" s="29">
        <f t="shared" ref="D54:J54" si="39">SUM(D52:D53)</f>
        <v>313043.43</v>
      </c>
      <c r="E54" s="582">
        <f t="shared" si="39"/>
        <v>4143.3696052540454</v>
      </c>
      <c r="F54" s="28">
        <f t="shared" si="39"/>
        <v>1060.1687838793721</v>
      </c>
      <c r="G54" s="28">
        <f t="shared" si="39"/>
        <v>4163.45</v>
      </c>
      <c r="H54" s="28">
        <f t="shared" si="39"/>
        <v>0</v>
      </c>
      <c r="I54" s="28">
        <f t="shared" si="39"/>
        <v>9366.9883891334157</v>
      </c>
      <c r="J54" s="29">
        <f t="shared" si="39"/>
        <v>322410.41838913341</v>
      </c>
      <c r="K54" s="541"/>
      <c r="L54" s="28">
        <f>SUM(L52:L53)</f>
        <v>0</v>
      </c>
      <c r="M54" s="28">
        <f>SUM(M52:M53)</f>
        <v>0</v>
      </c>
      <c r="N54" s="29">
        <f>SUM(N52:N53)</f>
        <v>322410.41838913341</v>
      </c>
      <c r="O54" s="10"/>
      <c r="P54" s="28">
        <f>SUM(P52:P53)</f>
        <v>9366.9883891334157</v>
      </c>
      <c r="Q54" s="28">
        <f>SUM(Q52:Q53)</f>
        <v>322410.41838913341</v>
      </c>
      <c r="R54" s="8"/>
      <c r="S54" s="421">
        <f>SUM(S52:S53)</f>
        <v>318267.04878387938</v>
      </c>
    </row>
    <row r="55" spans="1:19">
      <c r="D55" s="29"/>
      <c r="E55" s="28"/>
      <c r="F55" s="28"/>
      <c r="G55" s="28"/>
      <c r="H55" s="28"/>
      <c r="I55" s="28"/>
      <c r="J55" s="29"/>
      <c r="K55" s="30"/>
      <c r="L55" s="28"/>
      <c r="M55" s="28"/>
      <c r="N55" s="29"/>
      <c r="O55" s="544"/>
      <c r="P55" s="28"/>
      <c r="Q55" s="421"/>
    </row>
    <row r="56" spans="1:19" s="11" customFormat="1">
      <c r="A56" s="4"/>
      <c r="B56" s="4" t="s">
        <v>34</v>
      </c>
      <c r="C56" s="4"/>
      <c r="D56" s="75">
        <f>SUMIF('305 Inputs'!$B$7:$B$46,"=aga",'305 Inputs'!$I$7:$I$46)</f>
        <v>481432.67999999993</v>
      </c>
      <c r="E56" s="30"/>
      <c r="F56" s="30">
        <v>0</v>
      </c>
      <c r="G56" s="30">
        <v>0</v>
      </c>
      <c r="H56" s="30">
        <v>0</v>
      </c>
      <c r="I56" s="30">
        <f>SUM(F56:H56)</f>
        <v>0</v>
      </c>
      <c r="J56" s="75">
        <f>D56+I56</f>
        <v>481432.67999999993</v>
      </c>
      <c r="K56" s="541">
        <v>0</v>
      </c>
      <c r="L56" s="30">
        <f t="shared" ref="L56:L67" si="40">ROUND(J56*K56*((366-30)/(366+30*K56)),0)</f>
        <v>0</v>
      </c>
      <c r="M56" s="30">
        <f>SUM(L56:L56)</f>
        <v>0</v>
      </c>
      <c r="N56" s="75">
        <f>J56+M56</f>
        <v>481432.67999999993</v>
      </c>
      <c r="O56" s="418"/>
      <c r="P56" s="30">
        <f t="shared" ref="P56:P67" si="41">I56+M56</f>
        <v>0</v>
      </c>
      <c r="Q56" s="30">
        <f>+D56+P56</f>
        <v>481432.67999999993</v>
      </c>
      <c r="R56" s="12"/>
    </row>
    <row r="57" spans="1:19" s="11" customFormat="1">
      <c r="A57" s="4"/>
      <c r="B57" s="4"/>
      <c r="C57" s="4"/>
      <c r="D57" s="29"/>
      <c r="E57" s="28"/>
      <c r="F57" s="30"/>
      <c r="G57" s="28"/>
      <c r="H57" s="28"/>
      <c r="I57" s="28"/>
      <c r="J57" s="29"/>
      <c r="K57" s="541"/>
      <c r="L57" s="30"/>
      <c r="M57" s="30"/>
      <c r="N57" s="29"/>
      <c r="O57" s="10"/>
      <c r="P57" s="28"/>
      <c r="Q57" s="28"/>
      <c r="R57" s="12"/>
    </row>
    <row r="58" spans="1:19" s="11" customFormat="1">
      <c r="A58" s="4"/>
      <c r="B58" s="4" t="s">
        <v>873</v>
      </c>
      <c r="C58" s="4"/>
      <c r="D58" s="75">
        <f>SUMIF('305 Inputs'!$B$7:$B$46,"=def",'305 Inputs'!$I$7:$I$46)</f>
        <v>60444.92</v>
      </c>
      <c r="E58" s="30"/>
      <c r="F58" s="30">
        <f>-D58</f>
        <v>-60444.92</v>
      </c>
      <c r="G58" s="30">
        <v>0</v>
      </c>
      <c r="H58" s="30">
        <v>0</v>
      </c>
      <c r="I58" s="30">
        <f t="shared" ref="I58:I64" si="42">SUM(F58:H58)</f>
        <v>-60444.92</v>
      </c>
      <c r="J58" s="75">
        <f t="shared" ref="J58:J64" si="43">D58+I58</f>
        <v>0</v>
      </c>
      <c r="K58" s="541">
        <v>0</v>
      </c>
      <c r="L58" s="30">
        <f t="shared" si="40"/>
        <v>0</v>
      </c>
      <c r="M58" s="30">
        <f t="shared" ref="M58:M64" si="44">SUM(L58:L58)</f>
        <v>0</v>
      </c>
      <c r="N58" s="75">
        <f t="shared" ref="N58:N64" si="45">J58+M58</f>
        <v>0</v>
      </c>
      <c r="O58" s="418"/>
      <c r="P58" s="30">
        <f t="shared" si="41"/>
        <v>-60444.92</v>
      </c>
      <c r="Q58" s="30">
        <f t="shared" ref="Q58:Q64" si="46">+D58+P58</f>
        <v>0</v>
      </c>
      <c r="R58" s="12"/>
    </row>
    <row r="59" spans="1:19" s="11" customFormat="1">
      <c r="A59" s="4"/>
      <c r="B59" s="4" t="s">
        <v>665</v>
      </c>
      <c r="C59" s="4"/>
      <c r="D59" s="75">
        <f>SUMIF('305 Inputs'!$B$7:$B$46,"=rev",'305 Inputs'!$I$7:$I$46)</f>
        <v>-9069190.5299999993</v>
      </c>
      <c r="E59" s="30"/>
      <c r="F59" s="30">
        <f>-D59</f>
        <v>9069190.5299999993</v>
      </c>
      <c r="G59" s="30">
        <v>0</v>
      </c>
      <c r="H59" s="30">
        <v>0</v>
      </c>
      <c r="I59" s="30">
        <f t="shared" si="42"/>
        <v>9069190.5299999993</v>
      </c>
      <c r="J59" s="75">
        <f t="shared" si="43"/>
        <v>0</v>
      </c>
      <c r="K59" s="541">
        <v>0</v>
      </c>
      <c r="L59" s="30">
        <f t="shared" si="40"/>
        <v>0</v>
      </c>
      <c r="M59" s="30">
        <f t="shared" si="44"/>
        <v>0</v>
      </c>
      <c r="N59" s="75">
        <f t="shared" si="45"/>
        <v>0</v>
      </c>
      <c r="O59" s="418"/>
      <c r="P59" s="30">
        <f t="shared" si="41"/>
        <v>9069190.5299999993</v>
      </c>
      <c r="Q59" s="30">
        <f t="shared" si="46"/>
        <v>0</v>
      </c>
      <c r="R59" s="12"/>
    </row>
    <row r="60" spans="1:19" s="11" customFormat="1">
      <c r="A60" s="4"/>
      <c r="B60" s="4" t="s">
        <v>231</v>
      </c>
      <c r="C60" s="4"/>
      <c r="D60" s="75">
        <f>SUMIF('305 Inputs'!$B$7:$B$46,"=acq",'305 Inputs'!$I$7:$I$46)</f>
        <v>0</v>
      </c>
      <c r="E60" s="30"/>
      <c r="F60" s="30">
        <f>-D60</f>
        <v>0</v>
      </c>
      <c r="G60" s="30">
        <v>0</v>
      </c>
      <c r="H60" s="30">
        <v>0</v>
      </c>
      <c r="I60" s="30">
        <f t="shared" si="42"/>
        <v>0</v>
      </c>
      <c r="J60" s="75">
        <f t="shared" si="43"/>
        <v>0</v>
      </c>
      <c r="K60" s="541">
        <v>0</v>
      </c>
      <c r="L60" s="30">
        <f t="shared" si="40"/>
        <v>0</v>
      </c>
      <c r="M60" s="30">
        <f t="shared" si="44"/>
        <v>0</v>
      </c>
      <c r="N60" s="75">
        <f t="shared" si="45"/>
        <v>0</v>
      </c>
      <c r="O60" s="418"/>
      <c r="P60" s="30">
        <f t="shared" si="41"/>
        <v>0</v>
      </c>
      <c r="Q60" s="30">
        <f t="shared" si="46"/>
        <v>0</v>
      </c>
      <c r="R60" s="12"/>
    </row>
    <row r="61" spans="1:19" s="11" customFormat="1">
      <c r="A61" s="4"/>
      <c r="B61" s="4" t="s">
        <v>674</v>
      </c>
      <c r="C61" s="4"/>
      <c r="D61" s="75">
        <f>SUMIF('305 Inputs'!$B$7:$B$46,"=dsm",'305 Inputs'!$I$7:$I$46)</f>
        <v>3814919.4</v>
      </c>
      <c r="E61" s="30"/>
      <c r="F61" s="30">
        <f>-D61</f>
        <v>-3814919.4</v>
      </c>
      <c r="G61" s="30">
        <v>0</v>
      </c>
      <c r="H61" s="30">
        <v>0</v>
      </c>
      <c r="I61" s="30">
        <f t="shared" si="42"/>
        <v>-3814919.4</v>
      </c>
      <c r="J61" s="75">
        <f t="shared" si="43"/>
        <v>0</v>
      </c>
      <c r="K61" s="541">
        <v>0</v>
      </c>
      <c r="L61" s="30">
        <f t="shared" si="40"/>
        <v>0</v>
      </c>
      <c r="M61" s="30">
        <f t="shared" si="44"/>
        <v>0</v>
      </c>
      <c r="N61" s="75">
        <f t="shared" si="45"/>
        <v>0</v>
      </c>
      <c r="O61" s="418"/>
      <c r="P61" s="30">
        <f t="shared" si="41"/>
        <v>-3814919.4</v>
      </c>
      <c r="Q61" s="30">
        <f t="shared" si="46"/>
        <v>0</v>
      </c>
      <c r="R61" s="12"/>
    </row>
    <row r="62" spans="1:19" s="11" customFormat="1">
      <c r="A62" s="4"/>
      <c r="B62" s="4" t="s">
        <v>673</v>
      </c>
      <c r="C62" s="4"/>
      <c r="D62" s="75">
        <f>SUMIF('305 Inputs'!$B$7:$B$46,"=blue",'305 Inputs'!$I$7:$I$46)</f>
        <v>15727.42</v>
      </c>
      <c r="E62" s="30"/>
      <c r="F62" s="30">
        <f>-D62</f>
        <v>-15727.42</v>
      </c>
      <c r="G62" s="30">
        <v>0</v>
      </c>
      <c r="H62" s="30">
        <v>0</v>
      </c>
      <c r="I62" s="30">
        <f t="shared" si="42"/>
        <v>-15727.42</v>
      </c>
      <c r="J62" s="75">
        <f t="shared" si="43"/>
        <v>0</v>
      </c>
      <c r="K62" s="541">
        <v>0</v>
      </c>
      <c r="L62" s="30">
        <f t="shared" si="40"/>
        <v>0</v>
      </c>
      <c r="M62" s="30">
        <f t="shared" si="44"/>
        <v>0</v>
      </c>
      <c r="N62" s="75">
        <f t="shared" si="45"/>
        <v>0</v>
      </c>
      <c r="O62" s="418"/>
      <c r="P62" s="30">
        <f t="shared" si="41"/>
        <v>-15727.42</v>
      </c>
      <c r="Q62" s="30">
        <f t="shared" si="46"/>
        <v>0</v>
      </c>
      <c r="R62" s="12"/>
    </row>
    <row r="63" spans="1:19" s="11" customFormat="1">
      <c r="A63" s="4"/>
      <c r="B63" s="4" t="s">
        <v>95</v>
      </c>
      <c r="C63" s="4"/>
      <c r="D63" s="75">
        <f>SUMIF('305 Inputs'!$B$7:$B$46,"=bpa",'305 Inputs'!$I$7:$I$46)</f>
        <v>19092.09</v>
      </c>
      <c r="E63" s="30"/>
      <c r="F63" s="30">
        <v>0</v>
      </c>
      <c r="G63" s="30">
        <f>-D63</f>
        <v>-19092.09</v>
      </c>
      <c r="H63" s="30">
        <v>0</v>
      </c>
      <c r="I63" s="30">
        <f t="shared" si="42"/>
        <v>-19092.09</v>
      </c>
      <c r="J63" s="75">
        <f t="shared" si="43"/>
        <v>0</v>
      </c>
      <c r="K63" s="541">
        <v>0</v>
      </c>
      <c r="L63" s="30">
        <f t="shared" si="40"/>
        <v>0</v>
      </c>
      <c r="M63" s="30">
        <f t="shared" si="44"/>
        <v>0</v>
      </c>
      <c r="N63" s="75">
        <f t="shared" si="45"/>
        <v>0</v>
      </c>
      <c r="O63" s="418"/>
      <c r="P63" s="30">
        <f t="shared" si="41"/>
        <v>-19092.09</v>
      </c>
      <c r="Q63" s="30">
        <f t="shared" si="46"/>
        <v>0</v>
      </c>
      <c r="R63" s="12"/>
    </row>
    <row r="64" spans="1:19" s="11" customFormat="1">
      <c r="A64" s="4"/>
      <c r="B64" s="4" t="s">
        <v>878</v>
      </c>
      <c r="C64" s="4"/>
      <c r="D64" s="75">
        <f>SUMIF('305 Inputs'!$B$7:$B$46,"=altrev",'305 Inputs'!$I$7:$I$46)</f>
        <v>-967039.15</v>
      </c>
      <c r="E64" s="30"/>
      <c r="F64" s="30">
        <f>D64*-1</f>
        <v>967039.15</v>
      </c>
      <c r="G64" s="30">
        <v>0</v>
      </c>
      <c r="H64" s="30">
        <v>0</v>
      </c>
      <c r="I64" s="30">
        <f t="shared" si="42"/>
        <v>967039.15</v>
      </c>
      <c r="J64" s="75">
        <f t="shared" si="43"/>
        <v>0</v>
      </c>
      <c r="K64" s="541">
        <v>0</v>
      </c>
      <c r="L64" s="30">
        <f t="shared" si="40"/>
        <v>0</v>
      </c>
      <c r="M64" s="30">
        <f t="shared" si="44"/>
        <v>0</v>
      </c>
      <c r="N64" s="75">
        <f t="shared" si="45"/>
        <v>0</v>
      </c>
      <c r="O64" s="418"/>
      <c r="P64" s="30">
        <f t="shared" si="41"/>
        <v>967039.15</v>
      </c>
      <c r="Q64" s="30">
        <f t="shared" si="46"/>
        <v>0</v>
      </c>
      <c r="R64" s="12"/>
    </row>
    <row r="65" spans="1:19" s="11" customFormat="1">
      <c r="A65" s="4"/>
      <c r="B65" s="4" t="s">
        <v>876</v>
      </c>
      <c r="C65" s="4"/>
      <c r="D65" s="75">
        <f>SUMIF('305 Inputs'!$B$7:$B$46,"=tax",'305 Inputs'!$I$7:$I$46)</f>
        <v>93091.33</v>
      </c>
      <c r="E65" s="30"/>
      <c r="F65" s="30">
        <f>D65*-1</f>
        <v>-93091.33</v>
      </c>
      <c r="G65" s="30">
        <v>0</v>
      </c>
      <c r="H65" s="30">
        <v>0</v>
      </c>
      <c r="I65" s="30">
        <f t="shared" ref="I65" si="47">SUM(F65:H65)</f>
        <v>-93091.33</v>
      </c>
      <c r="J65" s="75">
        <f t="shared" ref="J65" si="48">D65+I65</f>
        <v>0</v>
      </c>
      <c r="K65" s="541">
        <v>0</v>
      </c>
      <c r="L65" s="30">
        <f t="shared" ref="L65" si="49">ROUND(J65*K65*((366-30)/(366+30*K65)),0)</f>
        <v>0</v>
      </c>
      <c r="M65" s="30">
        <f t="shared" ref="M65" si="50">SUM(L65:L65)</f>
        <v>0</v>
      </c>
      <c r="N65" s="75">
        <f t="shared" ref="N65" si="51">J65+M65</f>
        <v>0</v>
      </c>
      <c r="O65" s="418"/>
      <c r="P65" s="30">
        <f t="shared" ref="P65" si="52">I65+M65</f>
        <v>-93091.33</v>
      </c>
      <c r="Q65" s="30">
        <f t="shared" ref="Q65" si="53">+D65+P65</f>
        <v>0</v>
      </c>
      <c r="R65" s="12"/>
    </row>
    <row r="66" spans="1:19" s="11" customFormat="1">
      <c r="A66" s="4"/>
      <c r="D66" s="545"/>
      <c r="E66" s="578"/>
      <c r="F66" s="30"/>
      <c r="G66" s="28"/>
      <c r="H66" s="28"/>
      <c r="I66" s="28" t="s">
        <v>31</v>
      </c>
      <c r="J66" s="29"/>
      <c r="K66" s="541"/>
      <c r="L66" s="28"/>
      <c r="M66" s="30"/>
      <c r="N66" s="75"/>
      <c r="O66" s="10"/>
      <c r="P66" s="28"/>
      <c r="Q66" s="28"/>
      <c r="R66" s="12"/>
    </row>
    <row r="67" spans="1:19" s="11" customFormat="1">
      <c r="A67" s="4"/>
      <c r="B67" s="4" t="s">
        <v>79</v>
      </c>
      <c r="C67" s="4"/>
      <c r="D67" s="75">
        <f>SUMIF('305 Inputs'!$B$7:$B$46,"=unbilled",'305 Inputs'!$I$7:$I$46)</f>
        <v>1694000</v>
      </c>
      <c r="E67" s="30">
        <f>-D67</f>
        <v>-1694000</v>
      </c>
      <c r="F67" s="30">
        <v>0</v>
      </c>
      <c r="G67" s="30">
        <v>0</v>
      </c>
      <c r="H67" s="30">
        <v>0</v>
      </c>
      <c r="I67" s="30">
        <f>SUM(E67:H67)</f>
        <v>-1694000</v>
      </c>
      <c r="J67" s="75">
        <f>D67+I67</f>
        <v>0</v>
      </c>
      <c r="K67" s="541">
        <v>0</v>
      </c>
      <c r="L67" s="30">
        <f t="shared" si="40"/>
        <v>0</v>
      </c>
      <c r="M67" s="30">
        <f>SUM(L67:L67)</f>
        <v>0</v>
      </c>
      <c r="N67" s="75">
        <f>J67+M67</f>
        <v>0</v>
      </c>
      <c r="O67" s="418"/>
      <c r="P67" s="30">
        <f t="shared" si="41"/>
        <v>-1694000</v>
      </c>
      <c r="Q67" s="30">
        <f>+D67+P67</f>
        <v>0</v>
      </c>
      <c r="R67" s="12"/>
    </row>
    <row r="68" spans="1:19" s="11" customFormat="1">
      <c r="A68" s="4"/>
      <c r="C68" s="4"/>
      <c r="D68" s="29"/>
      <c r="E68" s="28"/>
      <c r="F68" s="30"/>
      <c r="G68" s="28"/>
      <c r="H68" s="28"/>
      <c r="I68" s="28"/>
      <c r="J68" s="29"/>
      <c r="K68" s="28"/>
      <c r="L68" s="28"/>
      <c r="M68" s="30"/>
      <c r="N68" s="29"/>
      <c r="O68" s="10"/>
      <c r="P68" s="28"/>
      <c r="Q68" s="28"/>
      <c r="R68" s="12"/>
    </row>
    <row r="69" spans="1:19">
      <c r="B69" s="32" t="s">
        <v>9</v>
      </c>
      <c r="C69" s="33"/>
      <c r="D69" s="76">
        <f t="shared" ref="D69:N69" si="54">+D44+D47+D50+D54+D56+SUM(D58:D67)</f>
        <v>124009834.28000003</v>
      </c>
      <c r="E69" s="77">
        <f t="shared" si="54"/>
        <v>0</v>
      </c>
      <c r="F69" s="36">
        <f>+F44+F47+F50+F54+F56+SUM(F58:F67)</f>
        <v>7541566.7271163203</v>
      </c>
      <c r="G69" s="36">
        <f t="shared" si="54"/>
        <v>673997.21</v>
      </c>
      <c r="H69" s="36">
        <f t="shared" si="54"/>
        <v>-928263.79</v>
      </c>
      <c r="I69" s="36">
        <f t="shared" si="54"/>
        <v>7287300.1471163202</v>
      </c>
      <c r="J69" s="76">
        <f t="shared" si="54"/>
        <v>131297134.42711633</v>
      </c>
      <c r="K69" s="36">
        <f t="shared" si="54"/>
        <v>0</v>
      </c>
      <c r="L69" s="36">
        <f t="shared" si="54"/>
        <v>1.1667557155305985E-2</v>
      </c>
      <c r="M69" s="36">
        <f t="shared" si="54"/>
        <v>1.1667557155305985E-2</v>
      </c>
      <c r="N69" s="76">
        <f t="shared" si="54"/>
        <v>131297134.4387839</v>
      </c>
      <c r="O69" s="77"/>
      <c r="P69" s="36">
        <f>+P44+P47+P50+P54+P56+SUM(P58:P67)</f>
        <v>7287300.1587838773</v>
      </c>
      <c r="Q69" s="36">
        <f>+Q44+Q47+Q50+Q54+Q56+SUM(Q58:Q67)</f>
        <v>131297134.4387839</v>
      </c>
    </row>
    <row r="70" spans="1:19">
      <c r="D70" s="29"/>
      <c r="E70" s="28"/>
      <c r="F70" s="28" t="s">
        <v>31</v>
      </c>
      <c r="G70" s="28"/>
      <c r="H70" s="28"/>
      <c r="I70" s="28"/>
      <c r="J70" s="29" t="s">
        <v>31</v>
      </c>
      <c r="K70" s="540"/>
      <c r="L70" s="540"/>
      <c r="M70" s="28" t="s">
        <v>31</v>
      </c>
      <c r="N70" s="29"/>
      <c r="O70" s="544"/>
      <c r="P70" s="28"/>
      <c r="Q70" s="421"/>
    </row>
    <row r="71" spans="1:19">
      <c r="A71" s="5" t="s">
        <v>30</v>
      </c>
      <c r="B71" s="5"/>
      <c r="D71" s="29"/>
      <c r="E71" s="28"/>
      <c r="F71" s="28"/>
      <c r="G71" s="28"/>
      <c r="H71" s="28"/>
      <c r="I71" s="28"/>
      <c r="J71" s="29" t="s">
        <v>31</v>
      </c>
      <c r="K71" s="28"/>
      <c r="L71" s="28"/>
      <c r="M71" s="28"/>
      <c r="N71" s="29"/>
      <c r="O71" s="10"/>
      <c r="P71" s="28"/>
      <c r="Q71" s="421"/>
    </row>
    <row r="72" spans="1:19">
      <c r="B72" s="522" t="s">
        <v>51</v>
      </c>
      <c r="D72" s="29">
        <f ca="1">SUMIF('305 Inputs'!$B$53:$B$77,"=24",'305 Inputs'!$I$53:$I$75)</f>
        <v>1500754.0499999998</v>
      </c>
      <c r="E72" s="28">
        <f ca="1">D72/($D$75+$D$78+$D$83+$D$86)*$D$98</f>
        <v>9128.2704464299368</v>
      </c>
      <c r="F72" s="28">
        <f>'305 VS COGNOS Revenue'!E34+'305 VS COGNOS Revenue'!G34+'305 VS COGNOS Revenue'!H34+'305 VS COGNOS Revenue'!J34+'305 VS COGNOS Revenue'!L34+'305 VS COGNOS Revenue'!S34+'305 VS COGNOS Revenue'!W34</f>
        <v>20688.400000000031</v>
      </c>
      <c r="G72" s="28">
        <f ca="1">-SUMIF('305 Inputs'!$A$53:$A$77,"=b24",'305 Inputs'!$I$53:$I$72)</f>
        <v>8195.5499999999993</v>
      </c>
      <c r="H72" s="28">
        <v>0</v>
      </c>
      <c r="I72" s="28">
        <f ca="1">SUM(E72:H72)</f>
        <v>38012.220446429972</v>
      </c>
      <c r="J72" s="29">
        <f ca="1">D72+I72</f>
        <v>1538766.2704464297</v>
      </c>
      <c r="K72" s="540">
        <f>$K$13</f>
        <v>0</v>
      </c>
      <c r="L72" s="28">
        <f>'305 VS COGNOS Revenue'!Y34</f>
        <v>0</v>
      </c>
      <c r="M72" s="28">
        <f>SUM(L72:L72)</f>
        <v>0</v>
      </c>
      <c r="N72" s="29">
        <f ca="1">J72+M72</f>
        <v>1538766.2704464297</v>
      </c>
      <c r="O72" s="10"/>
      <c r="P72" s="28">
        <f ca="1">I72+M72</f>
        <v>38012.220446429972</v>
      </c>
      <c r="Q72" s="421">
        <f ca="1">+D72+P72</f>
        <v>1538766.2704464297</v>
      </c>
      <c r="R72" s="8"/>
      <c r="S72" s="421">
        <f t="shared" ref="S72:S74" ca="1" si="55">D72+F72+G72</f>
        <v>1529638</v>
      </c>
    </row>
    <row r="73" spans="1:19" s="11" customFormat="1">
      <c r="B73" s="522" t="s">
        <v>52</v>
      </c>
      <c r="D73" s="29">
        <f ca="1">SUMIF('305 Inputs'!$B$53:$B$77,"=24f",'305 Inputs'!$I$53:$I$75)</f>
        <v>8734.49</v>
      </c>
      <c r="E73" s="28">
        <f t="shared" ref="E73:E74" ca="1" si="56">D73/($D$75+$D$78+$D$83+$D$86)*$D$98</f>
        <v>53.127150935649873</v>
      </c>
      <c r="F73" s="28">
        <f>'305 VS COGNOS Revenue'!E35+'305 VS COGNOS Revenue'!G35+'305 VS COGNOS Revenue'!H35+'305 VS COGNOS Revenue'!J35+'305 VS COGNOS Revenue'!L35+'305 VS COGNOS Revenue'!S35+'305 VS COGNOS Revenue'!W35</f>
        <v>44.510000000001739</v>
      </c>
      <c r="G73" s="28">
        <f ca="1">-SUMIF('305 Inputs'!$A$53:$A$77,"=b24f",'305 Inputs'!$I$53:$I$72)</f>
        <v>0</v>
      </c>
      <c r="H73" s="28">
        <v>0</v>
      </c>
      <c r="I73" s="28">
        <f ca="1">SUM(E73:H73)</f>
        <v>97.637150935651619</v>
      </c>
      <c r="J73" s="29">
        <f ca="1">D73+I73</f>
        <v>8832.127150935652</v>
      </c>
      <c r="K73" s="540">
        <f>$K$13</f>
        <v>0</v>
      </c>
      <c r="L73" s="28">
        <f>'305 VS COGNOS Revenue'!Y35</f>
        <v>0</v>
      </c>
      <c r="M73" s="28">
        <f>SUM(L73:L73)</f>
        <v>0</v>
      </c>
      <c r="N73" s="29">
        <f ca="1">J73+M73</f>
        <v>8832.127150935652</v>
      </c>
      <c r="O73" s="418"/>
      <c r="P73" s="28">
        <f ca="1">I73+M73</f>
        <v>97.637150935651619</v>
      </c>
      <c r="Q73" s="421">
        <f ca="1">+D73+P73</f>
        <v>8832.127150935652</v>
      </c>
      <c r="R73" s="12"/>
      <c r="S73" s="421">
        <f t="shared" ca="1" si="55"/>
        <v>8779.0000000000018</v>
      </c>
    </row>
    <row r="74" spans="1:19">
      <c r="B74" s="522" t="s">
        <v>57</v>
      </c>
      <c r="D74" s="75">
        <f ca="1">SUMIF('305 Inputs'!$B$53:$B$77,"=24fp",'305 Inputs'!$I$53:$I$75)</f>
        <v>1449.3400000000001</v>
      </c>
      <c r="E74" s="30">
        <f t="shared" ca="1" si="56"/>
        <v>8.8155467505343523</v>
      </c>
      <c r="F74" s="30">
        <f>'305 VS COGNOS Revenue'!E36+'305 VS COGNOS Revenue'!G36+'305 VS COGNOS Revenue'!H36+'305 VS COGNOS Revenue'!J36+'305 VS COGNOS Revenue'!L36+'305 VS COGNOS Revenue'!S36+'305 VS COGNOS Revenue'!W36</f>
        <v>-6.180000000000236</v>
      </c>
      <c r="G74" s="30">
        <f ca="1">-SUMIF('305 Inputs'!$A$53:$A$77,"=b24fp",'305 Inputs'!$I$53:$I$72)</f>
        <v>35.840000000000003</v>
      </c>
      <c r="H74" s="30">
        <v>0</v>
      </c>
      <c r="I74" s="30">
        <f ca="1">SUM(E74:H74)</f>
        <v>38.475546750534122</v>
      </c>
      <c r="J74" s="75">
        <f ca="1">D74+I74</f>
        <v>1487.8155467505342</v>
      </c>
      <c r="K74" s="541">
        <f>$K$13</f>
        <v>0</v>
      </c>
      <c r="L74" s="30">
        <f>'305 VS COGNOS Revenue'!Y36</f>
        <v>0</v>
      </c>
      <c r="M74" s="30">
        <f>SUM(L74:L74)</f>
        <v>0</v>
      </c>
      <c r="N74" s="75">
        <f ca="1">J74+M74</f>
        <v>1487.8155467505342</v>
      </c>
      <c r="O74" s="418"/>
      <c r="P74" s="30">
        <f t="shared" ref="P74" ca="1" si="57">I74+M74</f>
        <v>38.475546750534122</v>
      </c>
      <c r="Q74" s="420">
        <f ca="1">+D74+P74</f>
        <v>1487.8155467505342</v>
      </c>
      <c r="R74" s="8"/>
      <c r="S74" s="421">
        <f t="shared" ca="1" si="55"/>
        <v>1478.9999999999998</v>
      </c>
    </row>
    <row r="75" spans="1:19">
      <c r="B75" s="4" t="s">
        <v>35</v>
      </c>
      <c r="D75" s="29">
        <f t="shared" ref="D75:J75" ca="1" si="58">SUM(D72:D74)</f>
        <v>1510937.88</v>
      </c>
      <c r="E75" s="582">
        <f t="shared" ca="1" si="58"/>
        <v>9190.2131441161218</v>
      </c>
      <c r="F75" s="28">
        <f t="shared" si="58"/>
        <v>20726.730000000032</v>
      </c>
      <c r="G75" s="28">
        <f t="shared" ca="1" si="58"/>
        <v>8231.39</v>
      </c>
      <c r="H75" s="28">
        <f t="shared" si="58"/>
        <v>0</v>
      </c>
      <c r="I75" s="28">
        <f t="shared" ca="1" si="58"/>
        <v>38148.333144116157</v>
      </c>
      <c r="J75" s="29">
        <f t="shared" ca="1" si="58"/>
        <v>1549086.2131441159</v>
      </c>
      <c r="K75" s="540"/>
      <c r="L75" s="28">
        <f>SUM(L72:L74)</f>
        <v>0</v>
      </c>
      <c r="M75" s="28">
        <f>SUM(M72:M74)</f>
        <v>0</v>
      </c>
      <c r="N75" s="29">
        <f ca="1">SUM(N72:N74)</f>
        <v>1549086.2131441159</v>
      </c>
      <c r="O75" s="10"/>
      <c r="P75" s="28">
        <f ca="1">SUM(P72:P74)</f>
        <v>38148.333144116157</v>
      </c>
      <c r="Q75" s="421">
        <f ca="1">SUM(Q72:Q74)</f>
        <v>1549086.2131441159</v>
      </c>
      <c r="R75" s="8"/>
      <c r="S75" s="421">
        <f ca="1">SUM(S72:S74)</f>
        <v>1539896</v>
      </c>
    </row>
    <row r="76" spans="1:19">
      <c r="D76" s="29"/>
      <c r="E76" s="28"/>
      <c r="F76" s="28"/>
      <c r="G76" s="28"/>
      <c r="H76" s="28"/>
      <c r="I76" s="28"/>
      <c r="J76" s="29"/>
      <c r="K76" s="28"/>
      <c r="L76" s="28"/>
      <c r="M76" s="28"/>
      <c r="N76" s="29"/>
      <c r="O76" s="544"/>
      <c r="P76" s="28"/>
      <c r="Q76" s="421"/>
    </row>
    <row r="77" spans="1:19">
      <c r="B77" s="522" t="s">
        <v>53</v>
      </c>
      <c r="D77" s="75">
        <f ca="1">SUMIF('305 Inputs'!$B$53:$B$77,"=36",'305 Inputs'!$I$53:$I$75)</f>
        <v>8286102.8799999999</v>
      </c>
      <c r="E77" s="30">
        <f t="shared" ref="E77" ca="1" si="59">D77/($D$75+$D$78+$D$83+$D$86)*$D$98</f>
        <v>50399.856016102043</v>
      </c>
      <c r="F77" s="30">
        <f>'305 VS COGNOS Revenue'!E37+'305 VS COGNOS Revenue'!G37+'305 VS COGNOS Revenue'!H37+'305 VS COGNOS Revenue'!J37+'305 VS COGNOS Revenue'!L37+'305 VS COGNOS Revenue'!S37+'305 VS COGNOS Revenue'!W37</f>
        <v>163050.830000002</v>
      </c>
      <c r="G77" s="30">
        <f ca="1">-SUMIF('305 Inputs'!$A$53:$A$77,"=b36",'305 Inputs'!$I$53:$I$72)</f>
        <v>9928.2900000000009</v>
      </c>
      <c r="H77" s="30">
        <v>0</v>
      </c>
      <c r="I77" s="30">
        <f ca="1">SUM(E77:H77)</f>
        <v>223378.97601610405</v>
      </c>
      <c r="J77" s="75">
        <f ca="1">D77+I77</f>
        <v>8509481.8560161032</v>
      </c>
      <c r="K77" s="541">
        <f>$K$13</f>
        <v>0</v>
      </c>
      <c r="L77" s="30">
        <f>'305 VS COGNOS Revenue'!Y37</f>
        <v>0</v>
      </c>
      <c r="M77" s="30">
        <f>SUM(L77:L77)</f>
        <v>0</v>
      </c>
      <c r="N77" s="75">
        <f ca="1">J77+M77</f>
        <v>8509481.8560161032</v>
      </c>
      <c r="O77" s="418"/>
      <c r="P77" s="30">
        <f t="shared" ref="P77" ca="1" si="60">I77+M77</f>
        <v>223378.97601610405</v>
      </c>
      <c r="Q77" s="420">
        <f ca="1">+D77+P77</f>
        <v>8509481.8560161032</v>
      </c>
      <c r="R77" s="8"/>
      <c r="S77" s="421">
        <f ca="1">D77+F77+G77</f>
        <v>8459082.0000000019</v>
      </c>
    </row>
    <row r="78" spans="1:19">
      <c r="B78" s="4" t="s">
        <v>35</v>
      </c>
      <c r="D78" s="29">
        <f t="shared" ref="D78:J78" ca="1" si="61">SUM(D77:D77)</f>
        <v>8286102.8799999999</v>
      </c>
      <c r="E78" s="582">
        <f t="shared" ca="1" si="61"/>
        <v>50399.856016102043</v>
      </c>
      <c r="F78" s="28">
        <f t="shared" si="61"/>
        <v>163050.830000002</v>
      </c>
      <c r="G78" s="28">
        <f t="shared" ca="1" si="61"/>
        <v>9928.2900000000009</v>
      </c>
      <c r="H78" s="28">
        <f t="shared" si="61"/>
        <v>0</v>
      </c>
      <c r="I78" s="28">
        <f t="shared" ca="1" si="61"/>
        <v>223378.97601610405</v>
      </c>
      <c r="J78" s="29">
        <f t="shared" ca="1" si="61"/>
        <v>8509481.8560161032</v>
      </c>
      <c r="K78" s="540"/>
      <c r="L78" s="28">
        <f>SUM(L77:L77)</f>
        <v>0</v>
      </c>
      <c r="M78" s="28">
        <f>SUM(M77:M77)</f>
        <v>0</v>
      </c>
      <c r="N78" s="29">
        <f ca="1">SUM(N77:N77)</f>
        <v>8509481.8560161032</v>
      </c>
      <c r="O78" s="10"/>
      <c r="P78" s="28">
        <f ca="1">SUM(P77:P77)</f>
        <v>223378.97601610405</v>
      </c>
      <c r="Q78" s="421">
        <f ca="1">SUM(Q77:Q77)</f>
        <v>8509481.8560161032</v>
      </c>
      <c r="R78" s="8"/>
    </row>
    <row r="79" spans="1:19">
      <c r="D79" s="29"/>
      <c r="E79" s="28"/>
      <c r="F79" s="28"/>
      <c r="G79" s="28"/>
      <c r="H79" s="28"/>
      <c r="I79" s="28"/>
      <c r="J79" s="29"/>
      <c r="K79" s="546"/>
      <c r="L79" s="28"/>
      <c r="M79" s="28" t="s">
        <v>31</v>
      </c>
      <c r="N79" s="29"/>
      <c r="O79" s="544"/>
      <c r="P79" s="28"/>
      <c r="Q79" s="421"/>
    </row>
    <row r="80" spans="1:19" s="11" customFormat="1">
      <c r="B80" s="522" t="s">
        <v>158</v>
      </c>
      <c r="D80" s="29">
        <f ca="1">SUMIF('305 Inputs'!$B$53:$B$77,"=47",'305 Inputs'!$I$53:$I$75)</f>
        <v>380222.11</v>
      </c>
      <c r="E80" s="28">
        <f ca="1">D80/($D$75+$D$78+$D$83+$D$86)*$D$98</f>
        <v>2312.6842468239438</v>
      </c>
      <c r="F80" s="28">
        <f>'305 VS COGNOS Revenue'!E38+'305 VS COGNOS Revenue'!G38+'305 VS COGNOS Revenue'!H38+'305 VS COGNOS Revenue'!J38+'305 VS COGNOS Revenue'!L38+'305 VS COGNOS Revenue'!S38+'305 VS COGNOS Revenue'!W38</f>
        <v>2466.8900000000435</v>
      </c>
      <c r="G80" s="28">
        <f ca="1">-SUMIF('305 Inputs'!$A$53:$A$77,"=b47",'305 Inputs'!$I$53:$I$72)</f>
        <v>0</v>
      </c>
      <c r="H80" s="28">
        <v>0</v>
      </c>
      <c r="I80" s="28">
        <f ca="1">SUM(E80:H80)</f>
        <v>4779.5742468239878</v>
      </c>
      <c r="J80" s="29">
        <f ca="1">D80+I80</f>
        <v>385001.68424682395</v>
      </c>
      <c r="K80" s="540">
        <v>0</v>
      </c>
      <c r="L80" s="28">
        <f>'305 VS COGNOS Revenue'!Y38</f>
        <v>0</v>
      </c>
      <c r="M80" s="28">
        <f>SUM(L80:L80)</f>
        <v>0</v>
      </c>
      <c r="N80" s="29">
        <f ca="1">J80+M80</f>
        <v>385001.68424682395</v>
      </c>
      <c r="O80" s="418"/>
      <c r="P80" s="28">
        <f ca="1">I80+M80</f>
        <v>4779.5742468239878</v>
      </c>
      <c r="Q80" s="421">
        <f ca="1">+D80+P80</f>
        <v>385001.68424682395</v>
      </c>
      <c r="R80" s="12"/>
      <c r="S80" s="421">
        <f t="shared" ref="S80:S82" ca="1" si="62">D80+F80+G80</f>
        <v>382689.00000000006</v>
      </c>
    </row>
    <row r="81" spans="1:19" s="11" customFormat="1">
      <c r="B81" s="522" t="s">
        <v>54</v>
      </c>
      <c r="D81" s="29">
        <f>'305 VS COGNOS Revenue'!C39</f>
        <v>14588579.530000001</v>
      </c>
      <c r="E81" s="28">
        <f t="shared" ref="E81:E82" ca="1" si="63">D81/($D$75+$D$78+$D$83+$D$86)*$D$98</f>
        <v>88734.392806797216</v>
      </c>
      <c r="F81" s="28">
        <f>'305 VS COGNOS Revenue'!E39+'305 VS COGNOS Revenue'!G39+'305 VS COGNOS Revenue'!H39+'305 VS COGNOS Revenue'!J39+'305 VS COGNOS Revenue'!L39+'305 VS COGNOS Revenue'!S39+'305 VS COGNOS Revenue'!W39</f>
        <v>62549.469999997484</v>
      </c>
      <c r="G81" s="28">
        <f ca="1">-SUMIF('305 Inputs'!$A$53:$A$77,"=b48m",'305 Inputs'!$I$53:$I$72)</f>
        <v>0</v>
      </c>
      <c r="H81" s="28">
        <v>0</v>
      </c>
      <c r="I81" s="28">
        <f ca="1">SUM(E81:H81)</f>
        <v>151283.8628067947</v>
      </c>
      <c r="J81" s="29">
        <f ca="1">D81+I81</f>
        <v>14739863.392806796</v>
      </c>
      <c r="K81" s="540">
        <f>$K$13</f>
        <v>0</v>
      </c>
      <c r="L81" s="28">
        <f>'305 VS COGNOS Revenue'!Y39</f>
        <v>0</v>
      </c>
      <c r="M81" s="28">
        <f>SUM(L81:L81)</f>
        <v>0</v>
      </c>
      <c r="N81" s="29">
        <f ca="1">J81+M81</f>
        <v>14739863.392806796</v>
      </c>
      <c r="O81" s="418"/>
      <c r="P81" s="28">
        <f ca="1">I81+M81</f>
        <v>151283.8628067947</v>
      </c>
      <c r="Q81" s="421">
        <f ca="1">+D81+P81</f>
        <v>14739863.392806796</v>
      </c>
      <c r="R81" s="12"/>
      <c r="S81" s="421">
        <f t="shared" ca="1" si="62"/>
        <v>14651128.999999998</v>
      </c>
    </row>
    <row r="82" spans="1:19" s="11" customFormat="1" ht="18">
      <c r="B82" s="522" t="s">
        <v>569</v>
      </c>
      <c r="D82" s="75">
        <f>'305 VS COGNOS Revenue'!C40</f>
        <v>24703958.579999998</v>
      </c>
      <c r="E82" s="30">
        <f t="shared" ca="1" si="63"/>
        <v>150260.74060279451</v>
      </c>
      <c r="F82" s="30">
        <f>'305 VS COGNOS Revenue'!E40+'305 VS COGNOS Revenue'!G40+'305 VS COGNOS Revenue'!H40+'305 VS COGNOS Revenue'!J40+'305 VS COGNOS Revenue'!L40+'305 VS COGNOS Revenue'!S40+'305 VS COGNOS Revenue'!W40</f>
        <v>275187.42000000179</v>
      </c>
      <c r="G82" s="30">
        <f ca="1">-SUMIF('305 Inputs'!$A$53:$A$77,"=b48y",'305 Inputs'!$I$53:$I$72)</f>
        <v>0</v>
      </c>
      <c r="H82" s="87">
        <v>0</v>
      </c>
      <c r="I82" s="30">
        <f ca="1">SUM(E82:H82)</f>
        <v>425448.1606027963</v>
      </c>
      <c r="J82" s="75">
        <f ca="1">D82+I82</f>
        <v>25129406.740602795</v>
      </c>
      <c r="K82" s="541">
        <f>$K$13</f>
        <v>0</v>
      </c>
      <c r="L82" s="30">
        <f>'305 VS COGNOS Revenue'!Y40</f>
        <v>0</v>
      </c>
      <c r="M82" s="30">
        <f>SUM(L82:L82)</f>
        <v>0</v>
      </c>
      <c r="N82" s="75">
        <f ca="1">J82+M82</f>
        <v>25129406.740602795</v>
      </c>
      <c r="O82" s="418"/>
      <c r="P82" s="30">
        <f t="shared" ref="P82" ca="1" si="64">I82+M82</f>
        <v>425448.1606027963</v>
      </c>
      <c r="Q82" s="420">
        <f ca="1">+D82+P82</f>
        <v>25129406.740602795</v>
      </c>
      <c r="R82" s="12"/>
      <c r="S82" s="421">
        <f t="shared" ca="1" si="62"/>
        <v>24979146</v>
      </c>
    </row>
    <row r="83" spans="1:19">
      <c r="B83" s="4" t="s">
        <v>35</v>
      </c>
      <c r="D83" s="29">
        <f t="shared" ref="D83:J83" ca="1" si="65">SUM(D80:D82)</f>
        <v>39672760.219999999</v>
      </c>
      <c r="E83" s="582">
        <f t="shared" ca="1" si="65"/>
        <v>241307.81765641569</v>
      </c>
      <c r="F83" s="28">
        <f t="shared" si="65"/>
        <v>340203.77999999933</v>
      </c>
      <c r="G83" s="28">
        <f t="shared" ca="1" si="65"/>
        <v>0</v>
      </c>
      <c r="H83" s="28">
        <f t="shared" si="65"/>
        <v>0</v>
      </c>
      <c r="I83" s="28">
        <f t="shared" ca="1" si="65"/>
        <v>581511.59765641496</v>
      </c>
      <c r="J83" s="29">
        <f t="shared" ca="1" si="65"/>
        <v>40254271.817656413</v>
      </c>
      <c r="K83" s="540"/>
      <c r="L83" s="28">
        <f>SUM(L80:L82)</f>
        <v>0</v>
      </c>
      <c r="M83" s="28">
        <f>SUM(M80:M82)</f>
        <v>0</v>
      </c>
      <c r="N83" s="29">
        <f ca="1">SUM(N80:N82)</f>
        <v>40254271.817656413</v>
      </c>
      <c r="O83" s="10"/>
      <c r="P83" s="28">
        <f ca="1">SUM(P80:P82)</f>
        <v>581511.59765641496</v>
      </c>
      <c r="Q83" s="421">
        <f ca="1">SUM(Q80:Q82)</f>
        <v>40254271.817656413</v>
      </c>
      <c r="R83" s="8"/>
      <c r="S83" s="421">
        <f ca="1">SUM(S80:S82)</f>
        <v>40012964</v>
      </c>
    </row>
    <row r="84" spans="1:19">
      <c r="D84" s="29"/>
      <c r="E84" s="28"/>
      <c r="F84" s="28"/>
      <c r="G84" s="28"/>
      <c r="H84" s="28"/>
      <c r="I84" s="28"/>
      <c r="J84" s="29"/>
      <c r="K84" s="28"/>
      <c r="L84" s="28"/>
      <c r="M84" s="28" t="s">
        <v>31</v>
      </c>
      <c r="N84" s="29"/>
      <c r="O84" s="544"/>
      <c r="P84" s="28"/>
      <c r="Q84" s="421"/>
    </row>
    <row r="85" spans="1:19">
      <c r="B85" s="522" t="s">
        <v>55</v>
      </c>
      <c r="D85" s="75">
        <f ca="1">SUMIF('305 Inputs'!$B$53:$B$77,"=15n",'305 Inputs'!$I$53:$I$75)</f>
        <v>16788.149999999998</v>
      </c>
      <c r="E85" s="30">
        <f t="shared" ref="E85" ca="1" si="66">D85/($D$75+$D$78+$D$83+$D$86)*$D$98</f>
        <v>102.11318336621031</v>
      </c>
      <c r="F85" s="30">
        <f>'305 VS COGNOS Revenue'!E42+'305 VS COGNOS Revenue'!G42+'305 VS COGNOS Revenue'!H42+'305 VS COGNOS Revenue'!J42+'305 VS COGNOS Revenue'!L42+'305 VS COGNOS Revenue'!S42+'305 VS COGNOS Revenue'!W42</f>
        <v>58.635574302940825</v>
      </c>
      <c r="G85" s="30">
        <f ca="1">-SUMIF('305 Inputs'!$A$53:$A$77,"=b15n",'305 Inputs'!$I$53:$I$72)</f>
        <v>217.18</v>
      </c>
      <c r="H85" s="30">
        <v>0</v>
      </c>
      <c r="I85" s="30">
        <f ca="1">SUM(E85:H85)</f>
        <v>377.92875766915114</v>
      </c>
      <c r="J85" s="75">
        <f ca="1">D85+I85</f>
        <v>17166.078757669147</v>
      </c>
      <c r="K85" s="541">
        <v>0</v>
      </c>
      <c r="L85" s="30">
        <f>'305 VS COGNOS Revenue'!Y42</f>
        <v>0</v>
      </c>
      <c r="M85" s="30">
        <f>SUM(L85:L85)</f>
        <v>0</v>
      </c>
      <c r="N85" s="75">
        <f ca="1">J85+M85</f>
        <v>17166.078757669147</v>
      </c>
      <c r="O85" s="418"/>
      <c r="P85" s="30">
        <f t="shared" ref="P85" ca="1" si="67">I85+M85</f>
        <v>377.92875766915114</v>
      </c>
      <c r="Q85" s="420">
        <f ca="1">+D85+P85</f>
        <v>17166.078757669147</v>
      </c>
      <c r="R85" s="8"/>
      <c r="S85" s="421">
        <f ca="1">D85+F85+G85</f>
        <v>17063.96557430294</v>
      </c>
    </row>
    <row r="86" spans="1:19">
      <c r="B86" s="4" t="s">
        <v>35</v>
      </c>
      <c r="D86" s="29">
        <f t="shared" ref="D86:J86" ca="1" si="68">SUM(D85:D85)</f>
        <v>16788.149999999998</v>
      </c>
      <c r="E86" s="582">
        <f t="shared" ca="1" si="68"/>
        <v>102.11318336621031</v>
      </c>
      <c r="F86" s="28">
        <f t="shared" si="68"/>
        <v>58.635574302940825</v>
      </c>
      <c r="G86" s="28">
        <f t="shared" ca="1" si="68"/>
        <v>217.18</v>
      </c>
      <c r="H86" s="28">
        <f t="shared" si="68"/>
        <v>0</v>
      </c>
      <c r="I86" s="28">
        <f t="shared" ca="1" si="68"/>
        <v>377.92875766915114</v>
      </c>
      <c r="J86" s="29">
        <f t="shared" ca="1" si="68"/>
        <v>17166.078757669147</v>
      </c>
      <c r="K86" s="541"/>
      <c r="L86" s="28">
        <f>SUM(L85:L85)</f>
        <v>0</v>
      </c>
      <c r="M86" s="28">
        <f>SUM(M85:M85)</f>
        <v>0</v>
      </c>
      <c r="N86" s="29">
        <f ca="1">SUM(N85:N85)</f>
        <v>17166.078757669147</v>
      </c>
      <c r="O86" s="10"/>
      <c r="P86" s="28">
        <f ca="1">SUM(P85:P85)</f>
        <v>377.92875766915114</v>
      </c>
      <c r="Q86" s="421">
        <f ca="1">SUM(Q85:Q85)</f>
        <v>17166.078757669147</v>
      </c>
      <c r="R86" s="8"/>
    </row>
    <row r="87" spans="1:19">
      <c r="D87" s="29"/>
      <c r="E87" s="28"/>
      <c r="F87" s="28"/>
      <c r="G87" s="28"/>
      <c r="H87" s="28"/>
      <c r="I87" s="28"/>
      <c r="J87" s="29"/>
      <c r="K87" s="30"/>
      <c r="L87" s="28"/>
      <c r="M87" s="28"/>
      <c r="N87" s="29"/>
      <c r="O87" s="544"/>
      <c r="P87" s="28"/>
      <c r="Q87" s="421"/>
    </row>
    <row r="88" spans="1:19" s="11" customFormat="1">
      <c r="B88" s="4" t="s">
        <v>34</v>
      </c>
      <c r="D88" s="29">
        <f ca="1">SUMIF('305 Inputs'!$B$53:$B$77,"=aga",'305 Inputs'!$I$53:$I$75)</f>
        <v>33490.409999999996</v>
      </c>
      <c r="E88" s="28"/>
      <c r="F88" s="30">
        <v>0</v>
      </c>
      <c r="G88" s="30">
        <v>0</v>
      </c>
      <c r="H88" s="30">
        <v>0</v>
      </c>
      <c r="I88" s="30">
        <f>SUM(F88:H88)</f>
        <v>0</v>
      </c>
      <c r="J88" s="75">
        <f ca="1">D88+I88</f>
        <v>33490.409999999996</v>
      </c>
      <c r="K88" s="541">
        <v>0</v>
      </c>
      <c r="L88" s="30">
        <f t="shared" ref="L88" ca="1" si="69">ROUND(J88*K88*((366-30)/(366+30*K88)),0)</f>
        <v>0</v>
      </c>
      <c r="M88" s="30">
        <f ca="1">SUM(L88:L88)</f>
        <v>0</v>
      </c>
      <c r="N88" s="75">
        <f ca="1">J88+M88</f>
        <v>33490.409999999996</v>
      </c>
      <c r="O88" s="418"/>
      <c r="P88" s="30">
        <f t="shared" ref="P88:P98" ca="1" si="70">I88+M88</f>
        <v>0</v>
      </c>
      <c r="Q88" s="420">
        <f ca="1">+D88+P88</f>
        <v>33490.409999999996</v>
      </c>
      <c r="R88" s="12"/>
    </row>
    <row r="89" spans="1:19" s="11" customFormat="1">
      <c r="B89" s="4"/>
      <c r="D89" s="29"/>
      <c r="E89" s="28"/>
      <c r="F89" s="30"/>
      <c r="G89" s="30"/>
      <c r="H89" s="30"/>
      <c r="I89" s="30"/>
      <c r="J89" s="75"/>
      <c r="K89" s="541"/>
      <c r="L89" s="30"/>
      <c r="M89" s="30"/>
      <c r="N89" s="75"/>
      <c r="O89" s="418"/>
      <c r="P89" s="30"/>
      <c r="Q89" s="420"/>
      <c r="R89" s="12"/>
    </row>
    <row r="90" spans="1:19" s="11" customFormat="1">
      <c r="B90" s="4" t="s">
        <v>873</v>
      </c>
      <c r="D90" s="75">
        <f ca="1">SUMIF('305 Inputs'!$B$53:$B$77,"=def",'305 Inputs'!$I$53:$I$75)</f>
        <v>0</v>
      </c>
      <c r="E90" s="30"/>
      <c r="F90" s="30">
        <f ca="1">-D90</f>
        <v>0</v>
      </c>
      <c r="G90" s="30">
        <v>0</v>
      </c>
      <c r="H90" s="30">
        <v>0</v>
      </c>
      <c r="I90" s="30">
        <f t="shared" ref="I90:I96" ca="1" si="71">SUM(F90:H90)</f>
        <v>0</v>
      </c>
      <c r="J90" s="75">
        <f t="shared" ref="J90:J96" ca="1" si="72">D90+I90</f>
        <v>0</v>
      </c>
      <c r="K90" s="541">
        <v>0</v>
      </c>
      <c r="L90" s="30">
        <f t="shared" ref="L90:L95" ca="1" si="73">ROUND(J90*K90*((366-30)/(366+30*K90)),0)</f>
        <v>0</v>
      </c>
      <c r="M90" s="30">
        <f t="shared" ref="M90:M95" ca="1" si="74">SUM(L90:L90)</f>
        <v>0</v>
      </c>
      <c r="N90" s="75">
        <f t="shared" ref="N90:N95" ca="1" si="75">J90+M90</f>
        <v>0</v>
      </c>
      <c r="O90" s="418"/>
      <c r="P90" s="30">
        <f t="shared" ca="1" si="70"/>
        <v>0</v>
      </c>
      <c r="Q90" s="420">
        <f t="shared" ref="Q90:Q96" ca="1" si="76">+D90+P90</f>
        <v>0</v>
      </c>
      <c r="R90" s="12"/>
    </row>
    <row r="91" spans="1:19" s="11" customFormat="1">
      <c r="A91" s="4"/>
      <c r="B91" s="4" t="s">
        <v>665</v>
      </c>
      <c r="C91" s="4"/>
      <c r="D91" s="75">
        <f ca="1">SUMIF('305 Inputs'!$B$53:$B$77,"=rev",'305 Inputs'!$I$53:$I$75)</f>
        <v>-3494192.64</v>
      </c>
      <c r="E91" s="30"/>
      <c r="F91" s="30">
        <f ca="1">-D91</f>
        <v>3494192.64</v>
      </c>
      <c r="G91" s="30">
        <v>0</v>
      </c>
      <c r="H91" s="30">
        <v>0</v>
      </c>
      <c r="I91" s="30">
        <f t="shared" ca="1" si="71"/>
        <v>3494192.64</v>
      </c>
      <c r="J91" s="75">
        <f t="shared" ca="1" si="72"/>
        <v>0</v>
      </c>
      <c r="K91" s="541">
        <v>0</v>
      </c>
      <c r="L91" s="30">
        <f t="shared" ca="1" si="73"/>
        <v>0</v>
      </c>
      <c r="M91" s="30">
        <f t="shared" ca="1" si="74"/>
        <v>0</v>
      </c>
      <c r="N91" s="75">
        <f t="shared" ca="1" si="75"/>
        <v>0</v>
      </c>
      <c r="O91" s="418"/>
      <c r="P91" s="30">
        <f t="shared" ca="1" si="70"/>
        <v>3494192.64</v>
      </c>
      <c r="Q91" s="420">
        <f t="shared" ca="1" si="76"/>
        <v>0</v>
      </c>
      <c r="R91" s="12"/>
    </row>
    <row r="92" spans="1:19" s="11" customFormat="1">
      <c r="B92" s="4" t="s">
        <v>672</v>
      </c>
      <c r="D92" s="75">
        <f ca="1">SUMIF('305 Inputs'!$B$53:$B$77,"=dsm",'305 Inputs'!$I$53:$I$75)</f>
        <v>1387644.67</v>
      </c>
      <c r="E92" s="30"/>
      <c r="F92" s="30">
        <f ca="1">-D92</f>
        <v>-1387644.67</v>
      </c>
      <c r="G92" s="30">
        <v>0</v>
      </c>
      <c r="H92" s="30">
        <v>0</v>
      </c>
      <c r="I92" s="30">
        <f t="shared" ca="1" si="71"/>
        <v>-1387644.67</v>
      </c>
      <c r="J92" s="75">
        <f t="shared" ca="1" si="72"/>
        <v>0</v>
      </c>
      <c r="K92" s="541">
        <v>0</v>
      </c>
      <c r="L92" s="30">
        <f t="shared" ca="1" si="73"/>
        <v>0</v>
      </c>
      <c r="M92" s="30">
        <f t="shared" ca="1" si="74"/>
        <v>0</v>
      </c>
      <c r="N92" s="75">
        <f t="shared" ca="1" si="75"/>
        <v>0</v>
      </c>
      <c r="O92" s="418"/>
      <c r="P92" s="30">
        <f t="shared" ca="1" si="70"/>
        <v>-1387644.67</v>
      </c>
      <c r="Q92" s="420">
        <f t="shared" ca="1" si="76"/>
        <v>0</v>
      </c>
      <c r="R92" s="12"/>
    </row>
    <row r="93" spans="1:19" s="11" customFormat="1">
      <c r="B93" s="4" t="s">
        <v>673</v>
      </c>
      <c r="D93" s="75">
        <f ca="1">SUMIF('305 Inputs'!$B$53:$B$77,"=blue",'305 Inputs'!$I$53:$I$75)</f>
        <v>20.78</v>
      </c>
      <c r="E93" s="30"/>
      <c r="F93" s="30">
        <f ca="1">-D93</f>
        <v>-20.78</v>
      </c>
      <c r="G93" s="30">
        <v>0</v>
      </c>
      <c r="H93" s="30">
        <v>0</v>
      </c>
      <c r="I93" s="30">
        <f t="shared" ca="1" si="71"/>
        <v>-20.78</v>
      </c>
      <c r="J93" s="75">
        <f t="shared" ca="1" si="72"/>
        <v>0</v>
      </c>
      <c r="K93" s="541">
        <v>0</v>
      </c>
      <c r="L93" s="30">
        <f t="shared" ref="L93" ca="1" si="77">ROUND(J93*K93*((366-30)/(366+30*K93)),0)</f>
        <v>0</v>
      </c>
      <c r="M93" s="30">
        <f t="shared" ref="M93" ca="1" si="78">SUM(L93:L93)</f>
        <v>0</v>
      </c>
      <c r="N93" s="75">
        <f t="shared" ref="N93" ca="1" si="79">J93+M93</f>
        <v>0</v>
      </c>
      <c r="O93" s="418"/>
      <c r="P93" s="30">
        <f t="shared" ref="P93" ca="1" si="80">I93+M93</f>
        <v>-20.78</v>
      </c>
      <c r="Q93" s="420">
        <f t="shared" ca="1" si="76"/>
        <v>0</v>
      </c>
      <c r="R93" s="12"/>
    </row>
    <row r="94" spans="1:19" s="11" customFormat="1">
      <c r="B94" s="4" t="s">
        <v>96</v>
      </c>
      <c r="D94" s="75">
        <f ca="1">SUMIF('305 Inputs'!$B$53:$B$77,"=bpa",'305 Inputs'!$I$53:$I$75)</f>
        <v>-175.71</v>
      </c>
      <c r="E94" s="30"/>
      <c r="F94" s="30">
        <v>0</v>
      </c>
      <c r="G94" s="30">
        <f ca="1">-D94</f>
        <v>175.71</v>
      </c>
      <c r="H94" s="30">
        <v>0</v>
      </c>
      <c r="I94" s="30">
        <f t="shared" ca="1" si="71"/>
        <v>175.71</v>
      </c>
      <c r="J94" s="75">
        <f t="shared" ca="1" si="72"/>
        <v>0</v>
      </c>
      <c r="K94" s="541">
        <v>0</v>
      </c>
      <c r="L94" s="30">
        <f t="shared" ca="1" si="73"/>
        <v>0</v>
      </c>
      <c r="M94" s="30">
        <f t="shared" ca="1" si="74"/>
        <v>0</v>
      </c>
      <c r="N94" s="75">
        <f t="shared" ca="1" si="75"/>
        <v>0</v>
      </c>
      <c r="O94" s="418"/>
      <c r="P94" s="30">
        <f t="shared" ca="1" si="70"/>
        <v>175.71</v>
      </c>
      <c r="Q94" s="420">
        <f t="shared" ca="1" si="76"/>
        <v>0</v>
      </c>
      <c r="R94" s="12"/>
    </row>
    <row r="95" spans="1:19" s="11" customFormat="1">
      <c r="B95" s="4" t="s">
        <v>878</v>
      </c>
      <c r="D95" s="75">
        <f ca="1">SUMIF('305 Inputs'!$B$53:$B$77,"=altrev",'305 Inputs'!$I$53:$I$75)</f>
        <v>-1435848.99</v>
      </c>
      <c r="E95" s="30"/>
      <c r="F95" s="30">
        <f ca="1">D95*-1</f>
        <v>1435848.99</v>
      </c>
      <c r="G95" s="30">
        <v>0</v>
      </c>
      <c r="H95" s="30">
        <v>0</v>
      </c>
      <c r="I95" s="30">
        <f t="shared" ca="1" si="71"/>
        <v>1435848.99</v>
      </c>
      <c r="J95" s="75">
        <f t="shared" ca="1" si="72"/>
        <v>0</v>
      </c>
      <c r="K95" s="541">
        <v>0</v>
      </c>
      <c r="L95" s="30">
        <f t="shared" ca="1" si="73"/>
        <v>0</v>
      </c>
      <c r="M95" s="30">
        <f t="shared" ca="1" si="74"/>
        <v>0</v>
      </c>
      <c r="N95" s="75">
        <f t="shared" ca="1" si="75"/>
        <v>0</v>
      </c>
      <c r="O95" s="418"/>
      <c r="P95" s="30">
        <f t="shared" ca="1" si="70"/>
        <v>1435848.99</v>
      </c>
      <c r="Q95" s="420">
        <f t="shared" ca="1" si="76"/>
        <v>0</v>
      </c>
      <c r="R95" s="12"/>
    </row>
    <row r="96" spans="1:19" s="11" customFormat="1">
      <c r="B96" s="4" t="s">
        <v>876</v>
      </c>
      <c r="D96" s="75">
        <f ca="1">SUMIF('305 Inputs'!$B$53:$B$77,"=tax",'305 Inputs'!$I$53:$I$75)</f>
        <v>48775.1</v>
      </c>
      <c r="E96" s="30"/>
      <c r="F96" s="30">
        <f ca="1">D96*-1</f>
        <v>-48775.1</v>
      </c>
      <c r="G96" s="30">
        <v>0</v>
      </c>
      <c r="H96" s="30">
        <v>0</v>
      </c>
      <c r="I96" s="30">
        <f t="shared" ca="1" si="71"/>
        <v>-48775.1</v>
      </c>
      <c r="J96" s="75">
        <f t="shared" ca="1" si="72"/>
        <v>0</v>
      </c>
      <c r="K96" s="541">
        <v>0</v>
      </c>
      <c r="L96" s="30">
        <f t="shared" ref="L96" ca="1" si="81">ROUND(J96*K96*((366-30)/(366+30*K96)),0)</f>
        <v>0</v>
      </c>
      <c r="M96" s="30">
        <f t="shared" ref="M96" ca="1" si="82">SUM(L96:L96)</f>
        <v>0</v>
      </c>
      <c r="N96" s="75">
        <f t="shared" ref="N96" ca="1" si="83">J96+M96</f>
        <v>0</v>
      </c>
      <c r="O96" s="418"/>
      <c r="P96" s="30">
        <f t="shared" ref="P96" ca="1" si="84">I96+M96</f>
        <v>-48775.1</v>
      </c>
      <c r="Q96" s="420">
        <f t="shared" ca="1" si="76"/>
        <v>0</v>
      </c>
      <c r="R96" s="12"/>
    </row>
    <row r="97" spans="1:19" s="11" customFormat="1">
      <c r="A97" s="4"/>
      <c r="C97" s="4"/>
      <c r="D97" s="29"/>
      <c r="E97" s="28"/>
      <c r="F97" s="28"/>
      <c r="G97" s="28"/>
      <c r="H97" s="28"/>
      <c r="I97" s="28"/>
      <c r="J97" s="29"/>
      <c r="K97" s="541"/>
      <c r="L97" s="28"/>
      <c r="M97" s="28"/>
      <c r="N97" s="75"/>
      <c r="O97" s="418"/>
      <c r="P97" s="30"/>
      <c r="Q97" s="421"/>
      <c r="R97" s="12"/>
    </row>
    <row r="98" spans="1:19" s="11" customFormat="1">
      <c r="B98" s="4" t="s">
        <v>79</v>
      </c>
      <c r="D98" s="75">
        <f ca="1">SUMIF('305 Inputs'!$B$53:$B$77,"=unbilled",'305 Inputs'!$I$53:$I$74)</f>
        <v>301000</v>
      </c>
      <c r="E98" s="30">
        <f ca="1">-D98</f>
        <v>-301000</v>
      </c>
      <c r="F98" s="30">
        <v>0</v>
      </c>
      <c r="G98" s="30">
        <v>0</v>
      </c>
      <c r="H98" s="30">
        <v>0</v>
      </c>
      <c r="I98" s="30">
        <f ca="1">SUM(E98:H98)</f>
        <v>-301000</v>
      </c>
      <c r="J98" s="75">
        <f ca="1">D98+I98</f>
        <v>0</v>
      </c>
      <c r="K98" s="541">
        <v>0</v>
      </c>
      <c r="L98" s="30">
        <f t="shared" ref="L98" ca="1" si="85">ROUND(J98*K98*((366-30)/(366+30*K98)),0)</f>
        <v>0</v>
      </c>
      <c r="M98" s="30">
        <f ca="1">SUM(L98:L98)</f>
        <v>0</v>
      </c>
      <c r="N98" s="75">
        <f ca="1">J98+M98</f>
        <v>0</v>
      </c>
      <c r="O98" s="418"/>
      <c r="P98" s="30">
        <f t="shared" ca="1" si="70"/>
        <v>-301000</v>
      </c>
      <c r="Q98" s="420">
        <f ca="1">+D98+P98</f>
        <v>0</v>
      </c>
      <c r="R98" s="12"/>
    </row>
    <row r="99" spans="1:19" s="11" customFormat="1">
      <c r="A99" s="4"/>
      <c r="C99" s="4"/>
      <c r="D99" s="75"/>
      <c r="E99" s="30"/>
      <c r="F99" s="30"/>
      <c r="G99" s="30"/>
      <c r="H99" s="30"/>
      <c r="I99" s="30"/>
      <c r="J99" s="75"/>
      <c r="K99" s="30"/>
      <c r="L99" s="30"/>
      <c r="M99" s="30"/>
      <c r="N99" s="75"/>
      <c r="O99" s="418"/>
      <c r="P99" s="30"/>
      <c r="Q99" s="30"/>
      <c r="R99" s="12"/>
    </row>
    <row r="100" spans="1:19">
      <c r="B100" s="32" t="s">
        <v>9</v>
      </c>
      <c r="C100" s="33"/>
      <c r="D100" s="76">
        <f t="shared" ref="D100:N100" ca="1" si="86">+D75+D78+D83+D86+D88+SUM(D90:D98)</f>
        <v>46327302.749999993</v>
      </c>
      <c r="E100" s="77">
        <f t="shared" ca="1" si="86"/>
        <v>0</v>
      </c>
      <c r="F100" s="36">
        <f ca="1">+F75+F78+F83+F86+F88+SUM(F90:F98)</f>
        <v>4017641.0555743049</v>
      </c>
      <c r="G100" s="36">
        <f t="shared" ca="1" si="86"/>
        <v>18552.57</v>
      </c>
      <c r="H100" s="36">
        <f t="shared" si="86"/>
        <v>0</v>
      </c>
      <c r="I100" s="36">
        <f t="shared" ca="1" si="86"/>
        <v>4036193.6255743047</v>
      </c>
      <c r="J100" s="76">
        <f t="shared" ca="1" si="86"/>
        <v>50363496.375574298</v>
      </c>
      <c r="K100" s="36">
        <f t="shared" si="86"/>
        <v>0</v>
      </c>
      <c r="L100" s="36">
        <f t="shared" ca="1" si="86"/>
        <v>0</v>
      </c>
      <c r="M100" s="36">
        <f t="shared" ca="1" si="86"/>
        <v>0</v>
      </c>
      <c r="N100" s="76">
        <f t="shared" ca="1" si="86"/>
        <v>50363496.375574298</v>
      </c>
      <c r="O100" s="77"/>
      <c r="P100" s="36">
        <f ca="1">+P75+P78+P83+P86+P88+SUM(P90:P98)</f>
        <v>4036193.6255743047</v>
      </c>
      <c r="Q100" s="36">
        <f ca="1">+Q75+Q78+Q83+Q86+Q88+SUM(Q90:Q98)</f>
        <v>50363496.375574298</v>
      </c>
      <c r="R100" s="8"/>
    </row>
    <row r="101" spans="1:19">
      <c r="D101" s="29"/>
      <c r="E101" s="28"/>
      <c r="F101" s="28"/>
      <c r="G101" s="28"/>
      <c r="H101" s="28"/>
      <c r="I101" s="28"/>
      <c r="J101" s="29" t="s">
        <v>31</v>
      </c>
      <c r="K101" s="28"/>
      <c r="L101" s="28"/>
      <c r="M101" s="28"/>
      <c r="N101" s="29" t="s">
        <v>31</v>
      </c>
      <c r="O101" s="544"/>
      <c r="P101" s="28"/>
      <c r="Q101" s="421"/>
      <c r="R101" s="547"/>
    </row>
    <row r="102" spans="1:19">
      <c r="B102" s="5"/>
      <c r="D102" s="29"/>
      <c r="E102" s="28"/>
      <c r="F102" s="28"/>
      <c r="G102" s="28"/>
      <c r="H102" s="28"/>
      <c r="I102" s="28"/>
      <c r="J102" s="29" t="s">
        <v>31</v>
      </c>
      <c r="K102" s="28"/>
      <c r="L102" s="28"/>
      <c r="M102" s="28"/>
      <c r="N102" s="29"/>
      <c r="O102" s="10"/>
      <c r="P102" s="28"/>
      <c r="Q102" s="421"/>
    </row>
    <row r="103" spans="1:19">
      <c r="A103" s="5" t="s">
        <v>197</v>
      </c>
      <c r="B103" s="5"/>
      <c r="D103" s="29"/>
      <c r="E103" s="28"/>
      <c r="F103" s="28"/>
      <c r="G103" s="28"/>
      <c r="H103" s="28"/>
      <c r="I103" s="28"/>
      <c r="J103" s="29"/>
      <c r="K103" s="28"/>
      <c r="L103" s="28"/>
      <c r="M103" s="28"/>
      <c r="N103" s="29"/>
      <c r="O103" s="10"/>
      <c r="P103" s="28"/>
      <c r="Q103" s="421"/>
    </row>
    <row r="104" spans="1:19">
      <c r="B104" s="522" t="s">
        <v>58</v>
      </c>
      <c r="D104" s="29">
        <f>SUMIF('305 Inputs'!B83:B105,"=40",'305 Inputs'!I83:I105)</f>
        <v>8446189.7500000019</v>
      </c>
      <c r="E104" s="28">
        <f>D104/$D$106*$D$120</f>
        <v>710400.5754126875</v>
      </c>
      <c r="F104" s="28">
        <f>'305 VS COGNOS Revenue'!E47+'305 VS COGNOS Revenue'!G47+'305 VS COGNOS Revenue'!H47+'305 VS COGNOS Revenue'!J47+'305 VS COGNOS Revenue'!L47+'305 VS COGNOS Revenue'!S47+'305 VS COGNOS Revenue'!W47</f>
        <v>-469793.53503960639</v>
      </c>
      <c r="G104" s="28">
        <f>-SUMIF('305 Inputs'!$A$83:$A$105,"=b40",'305 Inputs'!I$83:I$105)</f>
        <v>808348.21</v>
      </c>
      <c r="H104" s="28">
        <f>Temperature!D92*1000</f>
        <v>-170791.43</v>
      </c>
      <c r="I104" s="28">
        <f>SUM(E104:H104)</f>
        <v>878163.82037308114</v>
      </c>
      <c r="J104" s="29">
        <f>D104+I104</f>
        <v>9324353.5703730825</v>
      </c>
      <c r="K104" s="540">
        <f>$K$13</f>
        <v>0</v>
      </c>
      <c r="L104" s="28">
        <f>'305 VS COGNOS Revenue'!Y47</f>
        <v>5.0396059523336589E-3</v>
      </c>
      <c r="M104" s="28">
        <f>SUM(L104:L104)</f>
        <v>5.0396059523336589E-3</v>
      </c>
      <c r="N104" s="29">
        <f>J104+M104</f>
        <v>9324353.5754126888</v>
      </c>
      <c r="O104" s="10"/>
      <c r="P104" s="28">
        <f>I104+M104</f>
        <v>878163.82541268715</v>
      </c>
      <c r="Q104" s="421">
        <f>+D104+P104</f>
        <v>9324353.5754126888</v>
      </c>
      <c r="R104" s="8"/>
      <c r="S104" s="421">
        <f t="shared" ref="S104:S105" si="87">D104+F104+G104</f>
        <v>8784744.4249603953</v>
      </c>
    </row>
    <row r="105" spans="1:19" ht="18">
      <c r="B105" s="522" t="s">
        <v>59</v>
      </c>
      <c r="D105" s="75">
        <f>SUMIF('305 Inputs'!$A$83:$A$105,"=40x",'305 Inputs'!$I$83:$I$105)</f>
        <v>5499999.0899999999</v>
      </c>
      <c r="E105" s="30">
        <f>D105/$D$106*$D$120</f>
        <v>462599.42458731245</v>
      </c>
      <c r="F105" s="30">
        <f>'305 VS COGNOS Revenue'!E48+'305 VS COGNOS Revenue'!G48+'305 VS COGNOS Revenue'!H48+'305 VS COGNOS Revenue'!J48+'305 VS COGNOS Revenue'!L48+'305 VS COGNOS Revenue'!S48+'305 VS COGNOS Revenue'!W48</f>
        <v>-122103.08999999975</v>
      </c>
      <c r="G105" s="87">
        <f>-SUMIF('305 Inputs'!$A$83:$A$105,"=b40x",'305 Inputs'!I$83:I$105)</f>
        <v>0</v>
      </c>
      <c r="H105" s="87">
        <v>0</v>
      </c>
      <c r="I105" s="30">
        <f>SUM(E105:H105)</f>
        <v>340496.33458731271</v>
      </c>
      <c r="J105" s="75">
        <f>D105+I105</f>
        <v>5840495.4245873122</v>
      </c>
      <c r="K105" s="548">
        <f>$K$13</f>
        <v>0</v>
      </c>
      <c r="L105" s="30">
        <f>'305 VS COGNOS Revenue'!Y48</f>
        <v>0</v>
      </c>
      <c r="M105" s="30">
        <f>SUM(L105:L105)</f>
        <v>0</v>
      </c>
      <c r="N105" s="75">
        <f>J105+M105</f>
        <v>5840495.4245873122</v>
      </c>
      <c r="O105" s="418"/>
      <c r="P105" s="30">
        <f t="shared" ref="P105" si="88">I105+M105</f>
        <v>340496.33458731271</v>
      </c>
      <c r="Q105" s="420">
        <f>+D105+P105</f>
        <v>5840495.4245873122</v>
      </c>
      <c r="R105" s="8"/>
      <c r="S105" s="421">
        <f t="shared" si="87"/>
        <v>5377896</v>
      </c>
    </row>
    <row r="106" spans="1:19">
      <c r="B106" s="4" t="s">
        <v>35</v>
      </c>
      <c r="D106" s="29">
        <f t="shared" ref="D106:J106" si="89">SUM(D104:D105)</f>
        <v>13946188.840000002</v>
      </c>
      <c r="E106" s="582">
        <f t="shared" si="89"/>
        <v>1173000</v>
      </c>
      <c r="F106" s="28">
        <f t="shared" si="89"/>
        <v>-591896.62503960612</v>
      </c>
      <c r="G106" s="28">
        <f t="shared" si="89"/>
        <v>808348.21</v>
      </c>
      <c r="H106" s="28">
        <f t="shared" si="89"/>
        <v>-170791.43</v>
      </c>
      <c r="I106" s="28">
        <f t="shared" si="89"/>
        <v>1218660.1549603939</v>
      </c>
      <c r="J106" s="29">
        <f t="shared" si="89"/>
        <v>15164848.994960394</v>
      </c>
      <c r="K106" s="540"/>
      <c r="L106" s="28">
        <f>SUM(L104:L105)</f>
        <v>5.0396059523336589E-3</v>
      </c>
      <c r="M106" s="28">
        <f>SUM(M104:M105)</f>
        <v>5.0396059523336589E-3</v>
      </c>
      <c r="N106" s="29">
        <f>SUM(N104:N105)</f>
        <v>15164849</v>
      </c>
      <c r="O106" s="10"/>
      <c r="P106" s="28">
        <f>SUM(P104:P105)</f>
        <v>1218660.1599999999</v>
      </c>
      <c r="Q106" s="421">
        <f>SUM(Q104:Q105)</f>
        <v>15164849</v>
      </c>
      <c r="R106" s="8"/>
      <c r="S106" s="421">
        <f>SUM(S104:S105)</f>
        <v>14162640.424960395</v>
      </c>
    </row>
    <row r="107" spans="1:19" s="11" customFormat="1">
      <c r="A107" s="4"/>
      <c r="B107" s="4"/>
      <c r="C107" s="4"/>
      <c r="D107" s="29"/>
      <c r="E107" s="28"/>
      <c r="F107" s="28"/>
      <c r="G107" s="28"/>
      <c r="H107" s="28"/>
      <c r="I107" s="28"/>
      <c r="J107" s="29"/>
      <c r="K107" s="540"/>
      <c r="L107" s="28"/>
      <c r="M107" s="28"/>
      <c r="N107" s="29"/>
      <c r="O107" s="418"/>
      <c r="P107" s="28"/>
      <c r="Q107" s="421"/>
      <c r="R107" s="12"/>
    </row>
    <row r="108" spans="1:19" s="11" customFormat="1">
      <c r="B108" s="4" t="s">
        <v>34</v>
      </c>
      <c r="D108" s="75">
        <f>SUMIF('305 Inputs'!$A$83:$A$105,"=aga",'305 Inputs'!$I$83:$I$105)</f>
        <v>210968.67</v>
      </c>
      <c r="E108" s="30"/>
      <c r="F108" s="30">
        <v>0</v>
      </c>
      <c r="G108" s="30">
        <v>0</v>
      </c>
      <c r="H108" s="30">
        <v>0</v>
      </c>
      <c r="I108" s="30">
        <f>SUM(F108:H108)</f>
        <v>0</v>
      </c>
      <c r="J108" s="75">
        <f>D108+I108</f>
        <v>210968.67</v>
      </c>
      <c r="K108" s="541">
        <v>0</v>
      </c>
      <c r="L108" s="30">
        <f t="shared" ref="L108:L120" si="90">ROUND(J108*K108*((366-30)/(366+30*K108)),0)</f>
        <v>0</v>
      </c>
      <c r="M108" s="30">
        <f>SUM(L108:L108)</f>
        <v>0</v>
      </c>
      <c r="N108" s="75">
        <f>J108+M108</f>
        <v>210968.67</v>
      </c>
      <c r="O108" s="418"/>
      <c r="P108" s="30">
        <f t="shared" ref="P108:P120" si="91">I108+M108</f>
        <v>0</v>
      </c>
      <c r="Q108" s="420">
        <f>+D108+P108</f>
        <v>210968.67</v>
      </c>
      <c r="R108" s="12"/>
    </row>
    <row r="109" spans="1:19" s="11" customFormat="1">
      <c r="B109" s="4"/>
      <c r="D109" s="29"/>
      <c r="E109" s="28"/>
      <c r="F109" s="30"/>
      <c r="G109" s="30"/>
      <c r="H109" s="30"/>
      <c r="I109" s="30"/>
      <c r="J109" s="75"/>
      <c r="K109" s="541"/>
      <c r="L109" s="30"/>
      <c r="M109" s="30"/>
      <c r="N109" s="75"/>
      <c r="O109" s="418"/>
      <c r="P109" s="30"/>
      <c r="Q109" s="420"/>
      <c r="R109" s="12"/>
    </row>
    <row r="110" spans="1:19" s="11" customFormat="1">
      <c r="B110" s="4" t="s">
        <v>666</v>
      </c>
      <c r="D110" s="75">
        <f>SUMIF('305 Inputs'!$B$83:$B$105,"=irr",'305 Inputs'!$I$83:$I$105)</f>
        <v>122000</v>
      </c>
      <c r="E110" s="30"/>
      <c r="F110" s="30">
        <f>-D110</f>
        <v>-122000</v>
      </c>
      <c r="G110" s="30">
        <v>0</v>
      </c>
      <c r="H110" s="30">
        <v>0</v>
      </c>
      <c r="I110" s="30">
        <f t="shared" ref="I110:I118" si="92">SUM(F110:H110)</f>
        <v>-122000</v>
      </c>
      <c r="J110" s="75">
        <f t="shared" ref="J110:J118" si="93">D110+I110</f>
        <v>0</v>
      </c>
      <c r="K110" s="541">
        <v>0</v>
      </c>
      <c r="L110" s="30">
        <f t="shared" si="90"/>
        <v>0</v>
      </c>
      <c r="M110" s="30">
        <f t="shared" ref="M110:M118" si="94">SUM(L110:L110)</f>
        <v>0</v>
      </c>
      <c r="N110" s="75">
        <f t="shared" ref="N110:N118" si="95">J110+M110</f>
        <v>0</v>
      </c>
      <c r="O110" s="418"/>
      <c r="P110" s="30">
        <f t="shared" si="91"/>
        <v>-122000</v>
      </c>
      <c r="Q110" s="420">
        <f t="shared" ref="Q110:Q118" si="96">+D110+P110</f>
        <v>0</v>
      </c>
      <c r="R110" s="12"/>
    </row>
    <row r="111" spans="1:19" s="11" customFormat="1">
      <c r="B111" s="4" t="s">
        <v>873</v>
      </c>
      <c r="D111" s="75">
        <f>SUMIF('305 Inputs'!$B$83:$B$105,"=def",'305 Inputs'!$I$83:$I$105)</f>
        <v>6120.75</v>
      </c>
      <c r="E111" s="30"/>
      <c r="F111" s="30">
        <f>-D111</f>
        <v>-6120.75</v>
      </c>
      <c r="G111" s="30">
        <v>0</v>
      </c>
      <c r="H111" s="30">
        <v>0</v>
      </c>
      <c r="I111" s="30">
        <f t="shared" si="92"/>
        <v>-6120.75</v>
      </c>
      <c r="J111" s="75">
        <f t="shared" si="93"/>
        <v>0</v>
      </c>
      <c r="K111" s="541">
        <v>0</v>
      </c>
      <c r="L111" s="30">
        <f t="shared" si="90"/>
        <v>0</v>
      </c>
      <c r="M111" s="30">
        <f t="shared" si="94"/>
        <v>0</v>
      </c>
      <c r="N111" s="75">
        <f t="shared" si="95"/>
        <v>0</v>
      </c>
      <c r="O111" s="418"/>
      <c r="P111" s="30">
        <f t="shared" si="91"/>
        <v>-6120.75</v>
      </c>
      <c r="Q111" s="420">
        <f t="shared" si="96"/>
        <v>0</v>
      </c>
      <c r="R111" s="12"/>
    </row>
    <row r="112" spans="1:19">
      <c r="B112" s="4" t="s">
        <v>665</v>
      </c>
      <c r="D112" s="75">
        <f>SUMIF('305 Inputs'!$B$83:$B$105,"=rev",'305 Inputs'!$I$83:$I$105)</f>
        <v>-1087001.44</v>
      </c>
      <c r="E112" s="30"/>
      <c r="F112" s="30">
        <f>-D112</f>
        <v>1087001.44</v>
      </c>
      <c r="G112" s="28">
        <v>0</v>
      </c>
      <c r="H112" s="30">
        <v>0</v>
      </c>
      <c r="I112" s="30">
        <f t="shared" si="92"/>
        <v>1087001.44</v>
      </c>
      <c r="J112" s="75">
        <f t="shared" si="93"/>
        <v>0</v>
      </c>
      <c r="K112" s="541">
        <v>0</v>
      </c>
      <c r="L112" s="30">
        <f t="shared" si="90"/>
        <v>0</v>
      </c>
      <c r="M112" s="30">
        <f t="shared" si="94"/>
        <v>0</v>
      </c>
      <c r="N112" s="75">
        <f t="shared" si="95"/>
        <v>0</v>
      </c>
      <c r="O112" s="549"/>
      <c r="P112" s="30">
        <f t="shared" si="91"/>
        <v>1087001.44</v>
      </c>
      <c r="Q112" s="420">
        <f t="shared" si="96"/>
        <v>0</v>
      </c>
    </row>
    <row r="113" spans="1:19" s="11" customFormat="1">
      <c r="B113" s="4" t="s">
        <v>672</v>
      </c>
      <c r="D113" s="75">
        <f>SUMIF('305 Inputs'!$B$83:$B$105,"=dsm",'305 Inputs'!$I$83:$I$105)</f>
        <v>459273.54</v>
      </c>
      <c r="E113" s="30"/>
      <c r="F113" s="30">
        <f>-D113</f>
        <v>-459273.54</v>
      </c>
      <c r="G113" s="30">
        <v>0</v>
      </c>
      <c r="H113" s="30">
        <v>0</v>
      </c>
      <c r="I113" s="30">
        <f t="shared" si="92"/>
        <v>-459273.54</v>
      </c>
      <c r="J113" s="75">
        <f t="shared" si="93"/>
        <v>0</v>
      </c>
      <c r="K113" s="541">
        <v>0</v>
      </c>
      <c r="L113" s="30">
        <f t="shared" si="90"/>
        <v>0</v>
      </c>
      <c r="M113" s="30">
        <f t="shared" si="94"/>
        <v>0</v>
      </c>
      <c r="N113" s="75">
        <f t="shared" si="95"/>
        <v>0</v>
      </c>
      <c r="O113" s="418"/>
      <c r="P113" s="30">
        <f t="shared" si="91"/>
        <v>-459273.54</v>
      </c>
      <c r="Q113" s="420">
        <f t="shared" si="96"/>
        <v>0</v>
      </c>
      <c r="R113" s="12"/>
    </row>
    <row r="114" spans="1:19" s="11" customFormat="1">
      <c r="B114" s="4" t="s">
        <v>673</v>
      </c>
      <c r="D114" s="75">
        <f>SUMIF('305 Inputs'!$B$83:$B$105,"=blue",'305 Inputs'!$I$83:$I$105)</f>
        <v>273.93</v>
      </c>
      <c r="E114" s="30"/>
      <c r="F114" s="30">
        <f>-D114</f>
        <v>-273.93</v>
      </c>
      <c r="G114" s="30">
        <v>0</v>
      </c>
      <c r="H114" s="30">
        <v>0</v>
      </c>
      <c r="I114" s="30">
        <f t="shared" si="92"/>
        <v>-273.93</v>
      </c>
      <c r="J114" s="75">
        <f t="shared" si="93"/>
        <v>0</v>
      </c>
      <c r="K114" s="541">
        <v>0</v>
      </c>
      <c r="L114" s="30">
        <f t="shared" si="90"/>
        <v>0</v>
      </c>
      <c r="M114" s="30">
        <f t="shared" si="94"/>
        <v>0</v>
      </c>
      <c r="N114" s="75">
        <f t="shared" si="95"/>
        <v>0</v>
      </c>
      <c r="O114" s="418"/>
      <c r="P114" s="30">
        <f t="shared" si="91"/>
        <v>-273.93</v>
      </c>
      <c r="Q114" s="420">
        <f t="shared" si="96"/>
        <v>0</v>
      </c>
      <c r="R114" s="12"/>
    </row>
    <row r="115" spans="1:19" s="11" customFormat="1">
      <c r="B115" s="4" t="s">
        <v>96</v>
      </c>
      <c r="D115" s="75">
        <f>SUMIF('305 Inputs'!$B$83:$B$105,"=bpa",'305 Inputs'!$I$83:$I$105)</f>
        <v>-18799.510000000002</v>
      </c>
      <c r="E115" s="30"/>
      <c r="F115" s="30">
        <v>0</v>
      </c>
      <c r="G115" s="30">
        <f>-D115</f>
        <v>18799.510000000002</v>
      </c>
      <c r="H115" s="30">
        <v>0</v>
      </c>
      <c r="I115" s="30">
        <f t="shared" si="92"/>
        <v>18799.510000000002</v>
      </c>
      <c r="J115" s="75">
        <f t="shared" si="93"/>
        <v>0</v>
      </c>
      <c r="K115" s="541">
        <v>0</v>
      </c>
      <c r="L115" s="30">
        <f t="shared" si="90"/>
        <v>0</v>
      </c>
      <c r="M115" s="30">
        <f t="shared" si="94"/>
        <v>0</v>
      </c>
      <c r="N115" s="75">
        <f t="shared" si="95"/>
        <v>0</v>
      </c>
      <c r="O115" s="418"/>
      <c r="P115" s="30">
        <f t="shared" si="91"/>
        <v>18799.510000000002</v>
      </c>
      <c r="Q115" s="420">
        <f t="shared" si="96"/>
        <v>0</v>
      </c>
      <c r="R115" s="12"/>
    </row>
    <row r="116" spans="1:19" s="11" customFormat="1">
      <c r="B116" s="4" t="s">
        <v>876</v>
      </c>
      <c r="D116" s="75">
        <f>SUMIF('305 Inputs'!$B$83:$B$105,"=tax",'305 Inputs'!$I$83:$I$105)</f>
        <v>8521.43</v>
      </c>
      <c r="E116" s="30"/>
      <c r="F116" s="30">
        <f>-D116</f>
        <v>-8521.43</v>
      </c>
      <c r="G116" s="30">
        <v>0</v>
      </c>
      <c r="H116" s="30">
        <v>0</v>
      </c>
      <c r="I116" s="30">
        <f t="shared" ref="I116" si="97">SUM(F116:H116)</f>
        <v>-8521.43</v>
      </c>
      <c r="J116" s="75">
        <f t="shared" ref="J116" si="98">D116+I116</f>
        <v>0</v>
      </c>
      <c r="K116" s="541">
        <v>0</v>
      </c>
      <c r="L116" s="30">
        <f t="shared" ref="L116" si="99">ROUND(J116*K116*((366-30)/(366+30*K116)),0)</f>
        <v>0</v>
      </c>
      <c r="M116" s="30">
        <f t="shared" ref="M116" si="100">SUM(L116:L116)</f>
        <v>0</v>
      </c>
      <c r="N116" s="75">
        <f t="shared" ref="N116" si="101">J116+M116</f>
        <v>0</v>
      </c>
      <c r="O116" s="418"/>
      <c r="P116" s="30">
        <f t="shared" ref="P116" si="102">I116+M116</f>
        <v>-8521.43</v>
      </c>
      <c r="Q116" s="420">
        <f t="shared" ref="Q116" si="103">+D116+P116</f>
        <v>0</v>
      </c>
      <c r="R116" s="12"/>
    </row>
    <row r="117" spans="1:19" s="11" customFormat="1">
      <c r="B117" s="4" t="s">
        <v>880</v>
      </c>
      <c r="D117" s="75">
        <f>SUMIF('305 Inputs'!$B$83:$B$105,"=altrev",'305 Inputs'!$I$83:$I$105)</f>
        <v>-657528.82000000007</v>
      </c>
      <c r="E117" s="30"/>
      <c r="F117" s="30">
        <f>-D117</f>
        <v>657528.82000000007</v>
      </c>
      <c r="G117" s="30">
        <v>0</v>
      </c>
      <c r="H117" s="30">
        <v>0</v>
      </c>
      <c r="I117" s="30">
        <f t="shared" ref="I117" si="104">SUM(F117:H117)</f>
        <v>657528.82000000007</v>
      </c>
      <c r="J117" s="75">
        <f t="shared" ref="J117" si="105">D117+I117</f>
        <v>0</v>
      </c>
      <c r="K117" s="541">
        <v>0</v>
      </c>
      <c r="L117" s="30">
        <f t="shared" ref="L117" si="106">ROUND(J117*K117*((366-30)/(366+30*K117)),0)</f>
        <v>0</v>
      </c>
      <c r="M117" s="30">
        <f t="shared" ref="M117" si="107">SUM(L117:L117)</f>
        <v>0</v>
      </c>
      <c r="N117" s="75">
        <f t="shared" ref="N117" si="108">J117+M117</f>
        <v>0</v>
      </c>
      <c r="O117" s="418"/>
      <c r="P117" s="30">
        <f t="shared" ref="P117" si="109">I117+M117</f>
        <v>657528.82000000007</v>
      </c>
      <c r="Q117" s="420">
        <f t="shared" ref="Q117" si="110">+D117+P117</f>
        <v>0</v>
      </c>
      <c r="R117" s="12"/>
    </row>
    <row r="118" spans="1:19" s="11" customFormat="1">
      <c r="B118" s="4" t="s">
        <v>157</v>
      </c>
      <c r="D118" s="75">
        <f>SUMIF('305 Inputs'!$B$83:$B$105,"=bpaadj",'305 Inputs'!$I$83:$I$105)</f>
        <v>112995.67</v>
      </c>
      <c r="E118" s="30"/>
      <c r="F118" s="30">
        <v>0</v>
      </c>
      <c r="G118" s="30">
        <f>-D118</f>
        <v>-112995.67</v>
      </c>
      <c r="H118" s="30">
        <v>0</v>
      </c>
      <c r="I118" s="30">
        <f t="shared" si="92"/>
        <v>-112995.67</v>
      </c>
      <c r="J118" s="75">
        <f t="shared" si="93"/>
        <v>0</v>
      </c>
      <c r="K118" s="541">
        <v>0</v>
      </c>
      <c r="L118" s="30">
        <f t="shared" si="90"/>
        <v>0</v>
      </c>
      <c r="M118" s="30">
        <f t="shared" si="94"/>
        <v>0</v>
      </c>
      <c r="N118" s="75">
        <f t="shared" si="95"/>
        <v>0</v>
      </c>
      <c r="O118" s="418"/>
      <c r="P118" s="30">
        <f t="shared" si="91"/>
        <v>-112995.67</v>
      </c>
      <c r="Q118" s="420">
        <f t="shared" si="96"/>
        <v>0</v>
      </c>
      <c r="R118" s="12"/>
    </row>
    <row r="119" spans="1:19" s="11" customFormat="1">
      <c r="B119" s="4"/>
      <c r="D119" s="75"/>
      <c r="E119" s="30"/>
      <c r="F119" s="30"/>
      <c r="G119" s="30"/>
      <c r="H119" s="30"/>
      <c r="I119" s="30"/>
      <c r="J119" s="75"/>
      <c r="K119" s="541"/>
      <c r="L119" s="28"/>
      <c r="M119" s="30"/>
      <c r="N119" s="75"/>
      <c r="O119" s="418"/>
      <c r="P119" s="30"/>
      <c r="Q119" s="420"/>
      <c r="R119" s="12"/>
    </row>
    <row r="120" spans="1:19" s="11" customFormat="1">
      <c r="B120" s="4" t="s">
        <v>79</v>
      </c>
      <c r="D120" s="75">
        <f>SUMIF('305 Inputs'!$A$83:$A$105,"=unbilled",'305 Inputs'!$I$83:$I$105)</f>
        <v>1173000</v>
      </c>
      <c r="E120" s="30">
        <f>-D120</f>
        <v>-1173000</v>
      </c>
      <c r="F120" s="30">
        <v>0</v>
      </c>
      <c r="G120" s="30">
        <v>0</v>
      </c>
      <c r="H120" s="30">
        <v>0</v>
      </c>
      <c r="I120" s="30">
        <f>SUM(E120:H120)</f>
        <v>-1173000</v>
      </c>
      <c r="J120" s="75">
        <f>D120+I120</f>
        <v>0</v>
      </c>
      <c r="K120" s="541">
        <v>0</v>
      </c>
      <c r="L120" s="30">
        <f t="shared" si="90"/>
        <v>0</v>
      </c>
      <c r="M120" s="30">
        <f>SUM(L120:L120)</f>
        <v>0</v>
      </c>
      <c r="N120" s="75">
        <f>J120+M120</f>
        <v>0</v>
      </c>
      <c r="O120" s="418"/>
      <c r="P120" s="30">
        <f t="shared" si="91"/>
        <v>-1173000</v>
      </c>
      <c r="Q120" s="420">
        <f>+D120+P120</f>
        <v>0</v>
      </c>
      <c r="R120" s="12"/>
    </row>
    <row r="121" spans="1:19" s="11" customFormat="1">
      <c r="A121" s="4"/>
      <c r="C121" s="4"/>
      <c r="D121" s="75"/>
      <c r="E121" s="30"/>
      <c r="F121" s="30"/>
      <c r="G121" s="30"/>
      <c r="H121" s="30"/>
      <c r="I121" s="30"/>
      <c r="J121" s="75"/>
      <c r="K121" s="30"/>
      <c r="L121" s="30"/>
      <c r="M121" s="30"/>
      <c r="N121" s="75"/>
      <c r="O121" s="418"/>
      <c r="P121" s="30"/>
      <c r="Q121" s="30"/>
      <c r="R121" s="12"/>
    </row>
    <row r="122" spans="1:19">
      <c r="B122" s="32" t="s">
        <v>9</v>
      </c>
      <c r="C122" s="33"/>
      <c r="D122" s="76">
        <f t="shared" ref="D122:P122" si="111">D106+D108+SUM(D110:D120)</f>
        <v>14276013.060000002</v>
      </c>
      <c r="E122" s="77">
        <f t="shared" si="111"/>
        <v>0</v>
      </c>
      <c r="F122" s="36">
        <f>F106+F108+SUM(F110:F120)</f>
        <v>556443.98496039398</v>
      </c>
      <c r="G122" s="36">
        <f t="shared" si="111"/>
        <v>714152.04999999993</v>
      </c>
      <c r="H122" s="36">
        <f t="shared" si="111"/>
        <v>-170791.43</v>
      </c>
      <c r="I122" s="36">
        <f t="shared" si="111"/>
        <v>1099804.6049603941</v>
      </c>
      <c r="J122" s="76">
        <f t="shared" si="111"/>
        <v>15375817.664960394</v>
      </c>
      <c r="K122" s="36">
        <f t="shared" si="111"/>
        <v>0</v>
      </c>
      <c r="L122" s="36">
        <f t="shared" si="111"/>
        <v>5.0396059523336589E-3</v>
      </c>
      <c r="M122" s="36">
        <f t="shared" si="111"/>
        <v>5.0396059523336589E-3</v>
      </c>
      <c r="N122" s="76">
        <f t="shared" si="111"/>
        <v>15375817.67</v>
      </c>
      <c r="O122" s="77"/>
      <c r="P122" s="36">
        <f t="shared" si="111"/>
        <v>1099804.6100000001</v>
      </c>
      <c r="Q122" s="36">
        <f>Q106+Q108+SUM(Q110:Q120)</f>
        <v>15375817.67</v>
      </c>
      <c r="R122" s="8"/>
    </row>
    <row r="123" spans="1:19">
      <c r="D123" s="29"/>
      <c r="E123" s="28"/>
      <c r="F123" s="28" t="s">
        <v>31</v>
      </c>
      <c r="G123" s="28"/>
      <c r="H123" s="28"/>
      <c r="I123" s="28"/>
      <c r="J123" s="29"/>
      <c r="K123" s="28"/>
      <c r="L123" s="28"/>
      <c r="M123" s="28"/>
      <c r="N123" s="29"/>
      <c r="O123" s="544"/>
      <c r="P123" s="28"/>
      <c r="Q123" s="421"/>
    </row>
    <row r="124" spans="1:19">
      <c r="B124" s="5"/>
      <c r="D124" s="29"/>
      <c r="E124" s="28"/>
      <c r="F124" s="28"/>
      <c r="G124" s="28"/>
      <c r="H124" s="28"/>
      <c r="I124" s="28"/>
      <c r="J124" s="29"/>
      <c r="K124" s="28"/>
      <c r="L124" s="28"/>
      <c r="M124" s="28"/>
      <c r="N124" s="29"/>
      <c r="O124" s="544"/>
      <c r="P124" s="28"/>
      <c r="Q124" s="421"/>
    </row>
    <row r="125" spans="1:19">
      <c r="A125" s="5" t="s">
        <v>36</v>
      </c>
      <c r="D125" s="6"/>
      <c r="E125" s="7"/>
      <c r="F125" s="7"/>
      <c r="G125" s="7"/>
      <c r="H125" s="7"/>
      <c r="J125" s="6"/>
      <c r="K125" s="7"/>
      <c r="L125" s="7"/>
      <c r="M125" s="7"/>
      <c r="N125" s="29"/>
      <c r="O125" s="544"/>
      <c r="R125" s="550"/>
    </row>
    <row r="126" spans="1:19">
      <c r="B126" s="522" t="s">
        <v>61</v>
      </c>
      <c r="D126" s="29">
        <f>SUMIF('305 Inputs'!$B$111:$B$120,"=52",'305 Inputs'!$I$111:$I$120)</f>
        <v>30476.03</v>
      </c>
      <c r="E126" s="28">
        <f>D126/$D$132*$D$140</f>
        <v>476.33906498997436</v>
      </c>
      <c r="F126" s="28">
        <f>'305 VS COGNOS Revenue'!E53+'305 VS COGNOS Revenue'!G53+'305 VS COGNOS Revenue'!H53+'305 VS COGNOS Revenue'!J53+'305 VS COGNOS Revenue'!L53+'305 VS COGNOS Revenue'!S53+'305 VS COGNOS Revenue'!W53</f>
        <v>-60.966934324902809</v>
      </c>
      <c r="G126" s="28">
        <f ca="1">-SUMIF('305 Inputs'!$A$111:$A$120,"=b52",'305 Inputs'!$I$111:$I$119)</f>
        <v>0</v>
      </c>
      <c r="H126" s="28">
        <v>0</v>
      </c>
      <c r="I126" s="28">
        <f t="shared" ref="I126:I131" ca="1" si="112">SUM(E126:H126)</f>
        <v>415.37213066507155</v>
      </c>
      <c r="J126" s="29">
        <f t="shared" ref="J126:J131" ca="1" si="113">D126+I126</f>
        <v>30891.402130665072</v>
      </c>
      <c r="K126" s="540">
        <v>0</v>
      </c>
      <c r="L126" s="28">
        <f>'305 VS COGNOS Revenue'!Y53</f>
        <v>0</v>
      </c>
      <c r="M126" s="28">
        <f t="shared" ref="M126:M131" si="114">SUM(L126:L126)</f>
        <v>0</v>
      </c>
      <c r="N126" s="29">
        <f t="shared" ref="N126:N131" ca="1" si="115">J126+M126</f>
        <v>30891.402130665072</v>
      </c>
      <c r="O126" s="10"/>
      <c r="P126" s="28">
        <f ca="1">I126+M126</f>
        <v>415.37213066507155</v>
      </c>
      <c r="Q126" s="421">
        <f t="shared" ref="Q126:Q131" ca="1" si="116">+D126+P126</f>
        <v>30891.402130665072</v>
      </c>
      <c r="R126" s="8"/>
      <c r="S126" s="421">
        <f t="shared" ref="S126:S131" ca="1" si="117">D126+F126+G126</f>
        <v>30415.063065675095</v>
      </c>
    </row>
    <row r="127" spans="1:19">
      <c r="B127" s="522" t="s">
        <v>62</v>
      </c>
      <c r="D127" s="29">
        <f>SUMIF('305 Inputs'!$B$111:$B$120,"=53f",'305 Inputs'!$I$111:$I$120)</f>
        <v>213592.21</v>
      </c>
      <c r="E127" s="28">
        <f t="shared" ref="E127:E131" si="118">D127/$D$132*$D$140</f>
        <v>3338.4372439764056</v>
      </c>
      <c r="F127" s="28">
        <f>'305 VS COGNOS Revenue'!E54+'305 VS COGNOS Revenue'!G54+'305 VS COGNOS Revenue'!H54+'305 VS COGNOS Revenue'!J54+'305 VS COGNOS Revenue'!L54+'305 VS COGNOS Revenue'!S54+'305 VS COGNOS Revenue'!W54</f>
        <v>1481.7631758424714</v>
      </c>
      <c r="G127" s="28">
        <f ca="1">-SUMIF('305 Inputs'!$A$111:$A$120,"=b53f",'305 Inputs'!$I$111:$I$119)</f>
        <v>0</v>
      </c>
      <c r="H127" s="28">
        <v>0</v>
      </c>
      <c r="I127" s="28">
        <f t="shared" ca="1" si="112"/>
        <v>4820.200419818877</v>
      </c>
      <c r="J127" s="29">
        <f t="shared" ca="1" si="113"/>
        <v>218412.41041981886</v>
      </c>
      <c r="K127" s="540">
        <v>0</v>
      </c>
      <c r="L127" s="28">
        <f>'305 VS COGNOS Revenue'!Y54</f>
        <v>0</v>
      </c>
      <c r="M127" s="28">
        <f t="shared" si="114"/>
        <v>0</v>
      </c>
      <c r="N127" s="29">
        <f t="shared" ca="1" si="115"/>
        <v>218412.41041981886</v>
      </c>
      <c r="O127" s="10"/>
      <c r="P127" s="28">
        <f t="shared" ref="P127:P131" ca="1" si="119">I127+M127</f>
        <v>4820.200419818877</v>
      </c>
      <c r="Q127" s="421">
        <f t="shared" ca="1" si="116"/>
        <v>218412.41041981886</v>
      </c>
      <c r="R127" s="8"/>
      <c r="S127" s="421">
        <f t="shared" ca="1" si="117"/>
        <v>215073.97317584246</v>
      </c>
    </row>
    <row r="128" spans="1:19">
      <c r="B128" s="522" t="s">
        <v>63</v>
      </c>
      <c r="D128" s="29">
        <f>SUMIF('305 Inputs'!$B$111:$B$120,"=53m",'305 Inputs'!$I$111:$I$120)</f>
        <v>53026.42</v>
      </c>
      <c r="E128" s="28">
        <f t="shared" si="118"/>
        <v>828.80071067542849</v>
      </c>
      <c r="F128" s="28">
        <f>'305 VS COGNOS Revenue'!E55+'305 VS COGNOS Revenue'!G55+'305 VS COGNOS Revenue'!H55+'305 VS COGNOS Revenue'!J55+'305 VS COGNOS Revenue'!L55+'305 VS COGNOS Revenue'!S55+'305 VS COGNOS Revenue'!W55</f>
        <v>221.58000000000061</v>
      </c>
      <c r="G128" s="28">
        <f ca="1">-SUMIF('305 Inputs'!$A$111:$A$120,"=b53m",'305 Inputs'!$I$111:$I$119)</f>
        <v>0</v>
      </c>
      <c r="H128" s="28">
        <v>0</v>
      </c>
      <c r="I128" s="28">
        <f t="shared" ca="1" si="112"/>
        <v>1050.3807106754291</v>
      </c>
      <c r="J128" s="29">
        <f t="shared" ca="1" si="113"/>
        <v>54076.80071067543</v>
      </c>
      <c r="K128" s="540">
        <v>0</v>
      </c>
      <c r="L128" s="28">
        <f>'305 VS COGNOS Revenue'!Y55</f>
        <v>0</v>
      </c>
      <c r="M128" s="28">
        <f t="shared" si="114"/>
        <v>0</v>
      </c>
      <c r="N128" s="29">
        <f t="shared" ca="1" si="115"/>
        <v>54076.80071067543</v>
      </c>
      <c r="O128" s="10"/>
      <c r="P128" s="28">
        <f t="shared" ca="1" si="119"/>
        <v>1050.3807106754291</v>
      </c>
      <c r="Q128" s="421">
        <f t="shared" ca="1" si="116"/>
        <v>54076.80071067543</v>
      </c>
      <c r="R128" s="8"/>
      <c r="S128" s="421">
        <f t="shared" ca="1" si="117"/>
        <v>53248</v>
      </c>
    </row>
    <row r="129" spans="1:19">
      <c r="B129" s="522" t="s">
        <v>64</v>
      </c>
      <c r="D129" s="29">
        <f>SUMIF('305 Inputs'!$B$111:$B$120,"=51",'305 Inputs'!$I$111:$I$120)</f>
        <v>792436.5</v>
      </c>
      <c r="E129" s="28">
        <f t="shared" si="118"/>
        <v>12385.749110823419</v>
      </c>
      <c r="F129" s="28">
        <f>'305 VS COGNOS Revenue'!E56+'305 VS COGNOS Revenue'!G56+'305 VS COGNOS Revenue'!H56+'305 VS COGNOS Revenue'!J56+'305 VS COGNOS Revenue'!L56+'305 VS COGNOS Revenue'!S56+'305 VS COGNOS Revenue'!W56</f>
        <v>9417.5000000000618</v>
      </c>
      <c r="G129" s="28">
        <f ca="1">-SUMIF('305 Inputs'!$A$111:$A$120,"=b51",'305 Inputs'!$I$111:$I$119)</f>
        <v>0</v>
      </c>
      <c r="H129" s="28">
        <v>0</v>
      </c>
      <c r="I129" s="28">
        <f t="shared" ca="1" si="112"/>
        <v>21803.249110823483</v>
      </c>
      <c r="J129" s="29">
        <f t="shared" ca="1" si="113"/>
        <v>814239.7491108235</v>
      </c>
      <c r="K129" s="540">
        <v>0</v>
      </c>
      <c r="L129" s="28">
        <f>'305 VS COGNOS Revenue'!Y56</f>
        <v>0</v>
      </c>
      <c r="M129" s="28">
        <f t="shared" si="114"/>
        <v>0</v>
      </c>
      <c r="N129" s="29">
        <f t="shared" ca="1" si="115"/>
        <v>814239.7491108235</v>
      </c>
      <c r="O129" s="10"/>
      <c r="P129" s="28">
        <f t="shared" ca="1" si="119"/>
        <v>21803.249110823483</v>
      </c>
      <c r="Q129" s="421">
        <f t="shared" ca="1" si="116"/>
        <v>814239.7491108235</v>
      </c>
      <c r="R129" s="8"/>
      <c r="S129" s="421">
        <f t="shared" ca="1" si="117"/>
        <v>801854.00000000012</v>
      </c>
    </row>
    <row r="130" spans="1:19" s="11" customFormat="1">
      <c r="B130" s="522" t="s">
        <v>65</v>
      </c>
      <c r="D130" s="29">
        <f>SUMIF('305 Inputs'!$B$111:$B$120,"=57",'305 Inputs'!$I$111:$I$120)</f>
        <v>190062.82</v>
      </c>
      <c r="E130" s="28">
        <f t="shared" si="118"/>
        <v>2970.6738695347722</v>
      </c>
      <c r="F130" s="28">
        <f>'305 VS COGNOS Revenue'!E57+'305 VS COGNOS Revenue'!G57+'305 VS COGNOS Revenue'!H57+'305 VS COGNOS Revenue'!J57+'305 VS COGNOS Revenue'!L57+'305 VS COGNOS Revenue'!S57+'305 VS COGNOS Revenue'!W57</f>
        <v>1286.1799999999844</v>
      </c>
      <c r="G130" s="28">
        <f ca="1">-SUMIF('305 Inputs'!$A$111:$A$120,"=b57",'305 Inputs'!$I$111:$I$119)</f>
        <v>0</v>
      </c>
      <c r="H130" s="28">
        <v>0</v>
      </c>
      <c r="I130" s="28">
        <f t="shared" ca="1" si="112"/>
        <v>4256.8538695347561</v>
      </c>
      <c r="J130" s="29">
        <f t="shared" ca="1" si="113"/>
        <v>194319.67386953477</v>
      </c>
      <c r="K130" s="540">
        <v>0</v>
      </c>
      <c r="L130" s="28">
        <f>'305 VS COGNOS Revenue'!Y57</f>
        <v>0</v>
      </c>
      <c r="M130" s="28">
        <f t="shared" si="114"/>
        <v>0</v>
      </c>
      <c r="N130" s="29">
        <f t="shared" ca="1" si="115"/>
        <v>194319.67386953477</v>
      </c>
      <c r="O130" s="10"/>
      <c r="P130" s="28">
        <f t="shared" ca="1" si="119"/>
        <v>4256.8538695347561</v>
      </c>
      <c r="Q130" s="421">
        <f t="shared" ca="1" si="116"/>
        <v>194319.67386953477</v>
      </c>
      <c r="R130" s="12"/>
      <c r="S130" s="421">
        <f t="shared" ca="1" si="117"/>
        <v>191349</v>
      </c>
    </row>
    <row r="131" spans="1:19" s="11" customFormat="1">
      <c r="B131" s="522" t="s">
        <v>667</v>
      </c>
      <c r="D131" s="75">
        <f>SUMIF('305 Inputs'!$B$111:$B$120,"=12",'305 Inputs'!$I$111:$I$120)</f>
        <v>0</v>
      </c>
      <c r="E131" s="30">
        <f t="shared" si="118"/>
        <v>0</v>
      </c>
      <c r="F131" s="30">
        <v>0</v>
      </c>
      <c r="G131" s="30">
        <f ca="1">-SUMIF('305 Inputs'!$A$111:$A$120,"=b12",'305 Inputs'!$I$111:$I$119)</f>
        <v>0</v>
      </c>
      <c r="H131" s="30">
        <v>0</v>
      </c>
      <c r="I131" s="30">
        <f t="shared" ca="1" si="112"/>
        <v>0</v>
      </c>
      <c r="J131" s="75">
        <f t="shared" ca="1" si="113"/>
        <v>0</v>
      </c>
      <c r="K131" s="541">
        <v>0</v>
      </c>
      <c r="L131" s="30">
        <f t="shared" ref="L131" ca="1" si="120">ROUND(J131*K131*((366-30)/(366+30*K131)),0)</f>
        <v>0</v>
      </c>
      <c r="M131" s="30">
        <f t="shared" ca="1" si="114"/>
        <v>0</v>
      </c>
      <c r="N131" s="75">
        <f t="shared" ca="1" si="115"/>
        <v>0</v>
      </c>
      <c r="O131" s="418"/>
      <c r="P131" s="30">
        <f t="shared" ca="1" si="119"/>
        <v>0</v>
      </c>
      <c r="Q131" s="420">
        <f t="shared" ca="1" si="116"/>
        <v>0</v>
      </c>
      <c r="R131" s="12"/>
      <c r="S131" s="421">
        <f t="shared" ca="1" si="117"/>
        <v>0</v>
      </c>
    </row>
    <row r="132" spans="1:19">
      <c r="B132" s="4" t="s">
        <v>69</v>
      </c>
      <c r="D132" s="29">
        <f t="shared" ref="D132:G132" si="121">SUM(D126:D131)</f>
        <v>1279593.98</v>
      </c>
      <c r="E132" s="582">
        <f t="shared" si="121"/>
        <v>20000</v>
      </c>
      <c r="F132" s="28">
        <f t="shared" si="121"/>
        <v>12346.056241517615</v>
      </c>
      <c r="G132" s="28">
        <f t="shared" ca="1" si="121"/>
        <v>0</v>
      </c>
      <c r="H132" s="28">
        <f>SUM(H126:H130)</f>
        <v>0</v>
      </c>
      <c r="I132" s="28">
        <f ca="1">SUM(I126:I130)</f>
        <v>32346.056241517617</v>
      </c>
      <c r="J132" s="29">
        <f ca="1">SUM(J126:J131)</f>
        <v>1311940.0362415179</v>
      </c>
      <c r="K132" s="540"/>
      <c r="L132" s="28">
        <f ca="1">SUM(L126:L131)</f>
        <v>0</v>
      </c>
      <c r="M132" s="28">
        <f ca="1">SUM(M126:M131)</f>
        <v>0</v>
      </c>
      <c r="N132" s="29">
        <f ca="1">SUM(N126:N131)</f>
        <v>1311940.0362415179</v>
      </c>
      <c r="O132" s="10"/>
      <c r="P132" s="28">
        <f ca="1">SUM(P126:P131)</f>
        <v>32346.056241517617</v>
      </c>
      <c r="Q132" s="28">
        <f ca="1">SUM(Q126:Q131)</f>
        <v>1311940.0362415179</v>
      </c>
      <c r="R132" s="8"/>
      <c r="S132" s="421">
        <f ca="1">SUM(S126:S131)</f>
        <v>1291940.0362415176</v>
      </c>
    </row>
    <row r="133" spans="1:19">
      <c r="D133" s="29"/>
      <c r="E133" s="28"/>
      <c r="F133" s="28"/>
      <c r="G133" s="28"/>
      <c r="H133" s="28"/>
      <c r="I133" s="28"/>
      <c r="J133" s="29"/>
      <c r="K133" s="540"/>
      <c r="L133" s="28"/>
      <c r="M133" s="28"/>
      <c r="N133" s="29"/>
      <c r="O133" s="10"/>
      <c r="P133" s="28"/>
      <c r="Q133" s="28"/>
      <c r="R133" s="8"/>
    </row>
    <row r="134" spans="1:19">
      <c r="B134" s="522" t="s">
        <v>34</v>
      </c>
      <c r="D134" s="75">
        <f>SUMIF('305 Inputs'!$B$111:$B$120,"=aga",'305 Inputs'!$I$111:$I$120)</f>
        <v>90.84</v>
      </c>
      <c r="E134" s="30"/>
      <c r="F134" s="30">
        <v>0</v>
      </c>
      <c r="G134" s="30">
        <v>0</v>
      </c>
      <c r="H134" s="30">
        <v>0</v>
      </c>
      <c r="I134" s="30">
        <f>SUM(F134:H134)</f>
        <v>0</v>
      </c>
      <c r="J134" s="75">
        <f>D134+I134</f>
        <v>90.84</v>
      </c>
      <c r="K134" s="541">
        <v>0</v>
      </c>
      <c r="L134" s="28">
        <f t="shared" ref="L134" si="122">ROUND(J134*K134*((366-30)/(366+30*K134)),0)</f>
        <v>0</v>
      </c>
      <c r="M134" s="30">
        <f>SUM(L134:L134)</f>
        <v>0</v>
      </c>
      <c r="N134" s="75">
        <f>J134+M134</f>
        <v>90.84</v>
      </c>
      <c r="O134" s="418"/>
      <c r="P134" s="30">
        <f t="shared" ref="P134" si="123">I134+M134</f>
        <v>0</v>
      </c>
      <c r="Q134" s="420">
        <f>+D134+P134</f>
        <v>90.84</v>
      </c>
      <c r="R134" s="550"/>
    </row>
    <row r="135" spans="1:19">
      <c r="B135" s="522"/>
      <c r="D135" s="29"/>
      <c r="E135" s="28"/>
      <c r="F135" s="30"/>
      <c r="G135" s="30"/>
      <c r="H135" s="30"/>
      <c r="I135" s="30"/>
      <c r="J135" s="75"/>
      <c r="K135" s="541"/>
      <c r="L135" s="30"/>
      <c r="M135" s="30"/>
      <c r="N135" s="75"/>
      <c r="O135" s="418"/>
      <c r="P135" s="30"/>
      <c r="Q135" s="420"/>
      <c r="R135" s="550"/>
    </row>
    <row r="136" spans="1:19">
      <c r="B136" s="4" t="s">
        <v>873</v>
      </c>
      <c r="D136" s="75">
        <f>SUMIF('305 Inputs'!$B$111:$B$120,"=def",'305 Inputs'!$I$111:$I$120)</f>
        <v>0</v>
      </c>
      <c r="E136" s="30"/>
      <c r="F136" s="30">
        <f>-D136</f>
        <v>0</v>
      </c>
      <c r="G136" s="30">
        <v>0</v>
      </c>
      <c r="H136" s="30">
        <v>0</v>
      </c>
      <c r="I136" s="30">
        <f>SUM(F136:H136)</f>
        <v>0</v>
      </c>
      <c r="J136" s="75">
        <f>D136+I136</f>
        <v>0</v>
      </c>
      <c r="K136" s="541">
        <v>0</v>
      </c>
      <c r="L136" s="30">
        <f t="shared" ref="L136:L138" si="124">ROUND(J136*K136*((366-30)/(366+30*K136)),0)</f>
        <v>0</v>
      </c>
      <c r="M136" s="30">
        <f>SUM(L136:L136)</f>
        <v>0</v>
      </c>
      <c r="N136" s="75">
        <f>J136+M136</f>
        <v>0</v>
      </c>
      <c r="O136" s="418"/>
      <c r="P136" s="30">
        <f t="shared" ref="P136:P140" si="125">I136+M136</f>
        <v>0</v>
      </c>
      <c r="Q136" s="420">
        <f>+D136+P136</f>
        <v>0</v>
      </c>
      <c r="R136" s="550"/>
    </row>
    <row r="137" spans="1:19">
      <c r="B137" s="4" t="s">
        <v>665</v>
      </c>
      <c r="D137" s="75">
        <f>SUMIF('305 Inputs'!$B$111:$B$120,"=rev",'305 Inputs'!$I$111:$I$120)</f>
        <v>-57713.93</v>
      </c>
      <c r="E137" s="30"/>
      <c r="F137" s="30">
        <f>-D137</f>
        <v>57713.93</v>
      </c>
      <c r="G137" s="30">
        <v>0</v>
      </c>
      <c r="H137" s="30">
        <v>0</v>
      </c>
      <c r="I137" s="30">
        <f>SUM(F137:H137)</f>
        <v>57713.93</v>
      </c>
      <c r="J137" s="75">
        <f>D137+I137</f>
        <v>0</v>
      </c>
      <c r="K137" s="541">
        <v>0</v>
      </c>
      <c r="L137" s="30">
        <f t="shared" si="124"/>
        <v>0</v>
      </c>
      <c r="M137" s="30">
        <f>SUM(L137:L137)</f>
        <v>0</v>
      </c>
      <c r="N137" s="75">
        <f>J137+M137</f>
        <v>0</v>
      </c>
      <c r="O137" s="418"/>
      <c r="P137" s="30">
        <f t="shared" si="125"/>
        <v>57713.93</v>
      </c>
      <c r="Q137" s="420">
        <f>+D137+P137</f>
        <v>0</v>
      </c>
      <c r="R137" s="550"/>
    </row>
    <row r="138" spans="1:19" s="11" customFormat="1">
      <c r="B138" s="4" t="s">
        <v>672</v>
      </c>
      <c r="D138" s="75">
        <f>SUMIF('305 Inputs'!$B$111:$B$120,"=dsm",'305 Inputs'!$I$111:$I$120)</f>
        <v>23415.399999999998</v>
      </c>
      <c r="E138" s="30"/>
      <c r="F138" s="30">
        <f>-D138</f>
        <v>-23415.399999999998</v>
      </c>
      <c r="G138" s="30">
        <v>0</v>
      </c>
      <c r="H138" s="30">
        <v>0</v>
      </c>
      <c r="I138" s="30">
        <f>SUM(F138:H138)</f>
        <v>-23415.399999999998</v>
      </c>
      <c r="J138" s="75">
        <f>D138+I138</f>
        <v>0</v>
      </c>
      <c r="K138" s="541">
        <v>0</v>
      </c>
      <c r="L138" s="30">
        <f t="shared" si="124"/>
        <v>0</v>
      </c>
      <c r="M138" s="30">
        <f>SUM(L138:L138)</f>
        <v>0</v>
      </c>
      <c r="N138" s="75">
        <f>J138+M138</f>
        <v>0</v>
      </c>
      <c r="O138" s="418"/>
      <c r="P138" s="30">
        <f t="shared" si="125"/>
        <v>-23415.399999999998</v>
      </c>
      <c r="Q138" s="420">
        <f>+D138+P138</f>
        <v>0</v>
      </c>
      <c r="R138" s="12"/>
    </row>
    <row r="139" spans="1:19" s="11" customFormat="1">
      <c r="B139" s="4"/>
      <c r="D139" s="75"/>
      <c r="E139" s="30"/>
      <c r="F139" s="30"/>
      <c r="G139" s="30"/>
      <c r="H139" s="30"/>
      <c r="I139" s="30"/>
      <c r="J139" s="75"/>
      <c r="K139" s="541"/>
      <c r="L139" s="30"/>
      <c r="M139" s="30"/>
      <c r="N139" s="75"/>
      <c r="O139" s="418"/>
      <c r="P139" s="30"/>
      <c r="Q139" s="420"/>
      <c r="R139" s="12"/>
    </row>
    <row r="140" spans="1:19" s="11" customFormat="1">
      <c r="B140" s="4" t="s">
        <v>79</v>
      </c>
      <c r="D140" s="75">
        <f>SUMIF('305 Inputs'!$B$111:$B$120,"=unbilled",'305 Inputs'!$I$111:$I$120)</f>
        <v>20000</v>
      </c>
      <c r="E140" s="30">
        <f>-D140</f>
        <v>-20000</v>
      </c>
      <c r="F140" s="30">
        <v>0</v>
      </c>
      <c r="G140" s="30">
        <v>0</v>
      </c>
      <c r="H140" s="30">
        <v>0</v>
      </c>
      <c r="I140" s="30">
        <f>SUM(E140:H140)</f>
        <v>-20000</v>
      </c>
      <c r="J140" s="75">
        <f>D140+I140</f>
        <v>0</v>
      </c>
      <c r="K140" s="541">
        <v>0</v>
      </c>
      <c r="L140" s="30">
        <f t="shared" ref="L140" si="126">ROUND(J140*K140*((366-30)/(366+30*K140)),0)</f>
        <v>0</v>
      </c>
      <c r="M140" s="30">
        <f>SUM(L140:L140)</f>
        <v>0</v>
      </c>
      <c r="N140" s="75">
        <f>J140+M140</f>
        <v>0</v>
      </c>
      <c r="O140" s="418"/>
      <c r="P140" s="30">
        <f t="shared" si="125"/>
        <v>-20000</v>
      </c>
      <c r="Q140" s="420">
        <f>+D140+P140</f>
        <v>0</v>
      </c>
      <c r="R140" s="12"/>
    </row>
    <row r="141" spans="1:19" s="11" customFormat="1">
      <c r="A141" s="4"/>
      <c r="C141" s="4"/>
      <c r="D141" s="75"/>
      <c r="E141" s="30"/>
      <c r="F141" s="30"/>
      <c r="G141" s="30"/>
      <c r="H141" s="30"/>
      <c r="I141" s="30"/>
      <c r="J141" s="75"/>
      <c r="K141" s="30"/>
      <c r="L141" s="30"/>
      <c r="M141" s="30"/>
      <c r="N141" s="75"/>
      <c r="O141" s="418"/>
      <c r="P141" s="30"/>
      <c r="Q141" s="30"/>
      <c r="R141" s="12"/>
    </row>
    <row r="142" spans="1:19">
      <c r="B142" s="32" t="s">
        <v>9</v>
      </c>
      <c r="C142" s="33"/>
      <c r="D142" s="76">
        <f>D132+D134+SUM(D136:D140)</f>
        <v>1265386.29</v>
      </c>
      <c r="E142" s="77">
        <f t="shared" ref="E142:N142" si="127">E132+E134+SUM(E136:E140)</f>
        <v>0</v>
      </c>
      <c r="F142" s="36">
        <f t="shared" si="127"/>
        <v>46644.586241517616</v>
      </c>
      <c r="G142" s="36">
        <f t="shared" ca="1" si="127"/>
        <v>0</v>
      </c>
      <c r="H142" s="36">
        <f t="shared" si="127"/>
        <v>0</v>
      </c>
      <c r="I142" s="36">
        <f t="shared" ca="1" si="127"/>
        <v>46644.586241517616</v>
      </c>
      <c r="J142" s="76">
        <f t="shared" ca="1" si="127"/>
        <v>1312030.876241518</v>
      </c>
      <c r="K142" s="36">
        <f t="shared" si="127"/>
        <v>0</v>
      </c>
      <c r="L142" s="36">
        <f t="shared" ca="1" si="127"/>
        <v>0</v>
      </c>
      <c r="M142" s="36">
        <f t="shared" ca="1" si="127"/>
        <v>0</v>
      </c>
      <c r="N142" s="76">
        <f t="shared" ca="1" si="127"/>
        <v>1312030.876241518</v>
      </c>
      <c r="O142" s="77"/>
      <c r="P142" s="36">
        <f ca="1">P132+P134+SUM(P136:P140)</f>
        <v>46644.586241517616</v>
      </c>
      <c r="Q142" s="36">
        <f ca="1">Q132+Q134+SUM(Q136:Q140)</f>
        <v>1312030.876241518</v>
      </c>
      <c r="R142" s="8"/>
    </row>
    <row r="143" spans="1:19">
      <c r="D143" s="29"/>
      <c r="E143" s="28"/>
      <c r="F143" s="28"/>
      <c r="G143" s="28"/>
      <c r="H143" s="28"/>
      <c r="I143" s="28"/>
      <c r="J143" s="6"/>
      <c r="K143" s="7"/>
      <c r="L143" s="7"/>
      <c r="M143" s="7" t="s">
        <v>31</v>
      </c>
      <c r="N143" s="29"/>
      <c r="O143" s="544"/>
      <c r="P143" s="28"/>
      <c r="Q143" s="421"/>
    </row>
    <row r="144" spans="1:19" ht="16.5" thickBot="1">
      <c r="D144" s="29"/>
      <c r="E144" s="28"/>
      <c r="F144" s="28"/>
      <c r="G144" s="28"/>
      <c r="H144" s="551"/>
      <c r="I144" s="28"/>
      <c r="J144" s="6"/>
      <c r="K144" s="7"/>
      <c r="L144" s="7"/>
      <c r="M144" s="7"/>
      <c r="N144" s="29"/>
      <c r="O144" s="544"/>
      <c r="P144" s="28"/>
      <c r="Q144" s="421"/>
    </row>
    <row r="145" spans="1:19" s="13" customFormat="1" ht="17.25" thickTop="1" thickBot="1">
      <c r="A145" s="4"/>
      <c r="B145" s="37" t="s">
        <v>159</v>
      </c>
      <c r="C145" s="35"/>
      <c r="D145" s="88">
        <f t="shared" ref="D145:J145" ca="1" si="128">D38+D69+D100+D122+D142</f>
        <v>322988711.03000003</v>
      </c>
      <c r="E145" s="583">
        <f t="shared" ca="1" si="128"/>
        <v>0</v>
      </c>
      <c r="F145" s="38">
        <f t="shared" ca="1" si="128"/>
        <v>18882566.310773376</v>
      </c>
      <c r="G145" s="38">
        <f t="shared" ca="1" si="128"/>
        <v>13999321.260000002</v>
      </c>
      <c r="H145" s="38">
        <f t="shared" si="128"/>
        <v>-6463994.9400000004</v>
      </c>
      <c r="I145" s="38">
        <f t="shared" ca="1" si="128"/>
        <v>26417892.630773373</v>
      </c>
      <c r="J145" s="88">
        <f t="shared" ca="1" si="128"/>
        <v>349406603.6607734</v>
      </c>
      <c r="K145" s="38"/>
      <c r="L145" s="38">
        <f ca="1">L38+L69+L100+L122+L142</f>
        <v>0.28534264946938492</v>
      </c>
      <c r="M145" s="38">
        <f ca="1">M38+M69+M100+M122+M142</f>
        <v>0.28534264946938492</v>
      </c>
      <c r="N145" s="88">
        <f ca="1">N38+N69+N100+N122+N142</f>
        <v>349406603.94611603</v>
      </c>
      <c r="O145" s="552"/>
      <c r="P145" s="38">
        <f ca="1">P38+P69+P100+P122+P142</f>
        <v>26417892.916116025</v>
      </c>
      <c r="Q145" s="38">
        <f ca="1">Q38+Q69+Q100+Q122+Q142</f>
        <v>349406603.94611603</v>
      </c>
      <c r="R145" s="17"/>
      <c r="S145" s="647">
        <f ca="1">S20+S22+S44+S46+S49+S54+S75+S77+S83+S85+S106+S132</f>
        <v>351245605.21077341</v>
      </c>
    </row>
    <row r="146" spans="1:19" ht="16.5" thickTop="1">
      <c r="D146" s="7"/>
      <c r="E146" s="7"/>
      <c r="F146" s="553" t="s">
        <v>31</v>
      </c>
      <c r="G146" s="28"/>
      <c r="H146" s="7" t="s">
        <v>31</v>
      </c>
      <c r="I146" s="7"/>
      <c r="J146" s="28" t="s">
        <v>31</v>
      </c>
      <c r="M146" s="28"/>
      <c r="N146" s="31" t="s">
        <v>31</v>
      </c>
      <c r="O146" s="7"/>
      <c r="P146" s="7"/>
      <c r="Q146" s="8"/>
    </row>
    <row r="147" spans="1:19" ht="19.5" customHeight="1">
      <c r="D147" s="423" t="s">
        <v>915</v>
      </c>
      <c r="E147" s="423"/>
      <c r="F147" s="784"/>
      <c r="G147" s="784"/>
      <c r="H147" s="784"/>
      <c r="I147" s="784"/>
      <c r="J147" s="784"/>
      <c r="K147" s="784"/>
      <c r="L147" s="784"/>
      <c r="M147" s="784"/>
      <c r="N147" s="784"/>
      <c r="P147" s="421"/>
    </row>
    <row r="148" spans="1:19" ht="19.5" customHeight="1">
      <c r="D148" s="423" t="s">
        <v>913</v>
      </c>
      <c r="E148" s="423"/>
      <c r="F148" s="784"/>
      <c r="G148" s="784"/>
      <c r="H148" s="784"/>
      <c r="I148" s="784"/>
      <c r="J148" s="784"/>
      <c r="K148" s="784"/>
      <c r="L148" s="784"/>
      <c r="M148" s="784"/>
      <c r="N148" s="784"/>
      <c r="P148" s="421"/>
    </row>
    <row r="149" spans="1:19" ht="18.75">
      <c r="D149" s="43" t="s">
        <v>902</v>
      </c>
      <c r="E149" s="43"/>
      <c r="F149" s="113"/>
      <c r="G149" s="113"/>
      <c r="H149" s="113"/>
      <c r="I149" s="46"/>
      <c r="J149" s="46"/>
      <c r="K149" s="43"/>
      <c r="L149" s="43"/>
    </row>
    <row r="150" spans="1:19" ht="18.75">
      <c r="D150" s="43"/>
      <c r="E150" s="43"/>
      <c r="F150" s="554"/>
      <c r="G150" s="46"/>
      <c r="H150" s="46"/>
      <c r="K150" s="46"/>
      <c r="L150" s="46"/>
    </row>
    <row r="151" spans="1:19">
      <c r="D151" s="4" t="s">
        <v>884</v>
      </c>
      <c r="F151" s="496">
        <f>'305 VS COGNOS Revenue'!E60</f>
        <v>-12165429.769999504</v>
      </c>
    </row>
    <row r="152" spans="1:19">
      <c r="D152" s="4" t="s">
        <v>885</v>
      </c>
      <c r="F152" s="496">
        <f>'305 VS COGNOS Revenue'!G60</f>
        <v>11400267.220000295</v>
      </c>
    </row>
    <row r="153" spans="1:19">
      <c r="D153" s="4" t="s">
        <v>886</v>
      </c>
      <c r="F153" s="496">
        <f>'305 VS COGNOS Revenue'!H60</f>
        <v>2911215.3700001165</v>
      </c>
    </row>
    <row r="154" spans="1:19">
      <c r="D154" s="4" t="s">
        <v>887</v>
      </c>
      <c r="F154" s="496">
        <f>'305 VS COGNOS Revenue'!J60</f>
        <v>3728229.8700000579</v>
      </c>
    </row>
    <row r="155" spans="1:19">
      <c r="D155" s="555" t="s">
        <v>252</v>
      </c>
      <c r="F155" s="496">
        <f>'305 VS COGNOS Revenue'!L60</f>
        <v>-88772.06999999992</v>
      </c>
    </row>
    <row r="156" spans="1:19">
      <c r="D156" s="555" t="s">
        <v>703</v>
      </c>
      <c r="F156" s="496">
        <f>'305 VS COGNOS Revenue'!S60+'305 VS COGNOS Revenue'!W60-'305 VS COGNOS Revenue'!S15-'305 VS COGNOS Revenue'!S28-'305 VS COGNOS Revenue'!S29</f>
        <v>-63863.360220590766</v>
      </c>
    </row>
    <row r="157" spans="1:19">
      <c r="D157" s="4" t="s">
        <v>901</v>
      </c>
      <c r="F157" s="496">
        <f ca="1">F29+F64+F95+F117</f>
        <v>1463026.9</v>
      </c>
    </row>
    <row r="158" spans="1:19">
      <c r="D158" s="555" t="s">
        <v>873</v>
      </c>
      <c r="F158" s="496">
        <f ca="1">F27+F58+F90+F111+F136</f>
        <v>-129219.87</v>
      </c>
    </row>
    <row r="159" spans="1:19">
      <c r="D159" s="555" t="s">
        <v>675</v>
      </c>
      <c r="F159" s="496">
        <f ca="1">F28+F59+F91+F112+F137</f>
        <v>22640239.440000001</v>
      </c>
    </row>
    <row r="160" spans="1:19">
      <c r="D160" s="555" t="s">
        <v>170</v>
      </c>
      <c r="F160" s="496">
        <f>F31</f>
        <v>3.56</v>
      </c>
    </row>
    <row r="161" spans="4:8">
      <c r="D161" s="555" t="s">
        <v>676</v>
      </c>
      <c r="F161" s="496">
        <f>F110</f>
        <v>-122000</v>
      </c>
    </row>
    <row r="162" spans="4:8">
      <c r="D162" s="555" t="s">
        <v>672</v>
      </c>
      <c r="F162" s="496">
        <f ca="1">F32+F61+F92+F113+F138</f>
        <v>-10269257.469999999</v>
      </c>
    </row>
    <row r="163" spans="4:8">
      <c r="D163" s="555" t="s">
        <v>673</v>
      </c>
      <c r="F163" s="496">
        <f ca="1">F33+F62+F93+F114</f>
        <v>-169668.69</v>
      </c>
    </row>
    <row r="164" spans="4:8">
      <c r="D164" s="555" t="s">
        <v>876</v>
      </c>
      <c r="F164" s="496">
        <f ca="1">F30+F65+F96+F116</f>
        <v>-252203.73</v>
      </c>
    </row>
    <row r="165" spans="4:8">
      <c r="F165" s="496">
        <f ca="1">SUM(F151:F164)</f>
        <v>18882567.399780374</v>
      </c>
      <c r="H165" s="421" t="s">
        <v>31</v>
      </c>
    </row>
    <row r="166" spans="4:8">
      <c r="F166" s="496"/>
    </row>
    <row r="167" spans="4:8">
      <c r="F167" s="496"/>
    </row>
    <row r="168" spans="4:8">
      <c r="F168" s="496"/>
    </row>
    <row r="169" spans="4:8">
      <c r="F169" s="496"/>
    </row>
    <row r="170" spans="4:8">
      <c r="F170" s="496"/>
    </row>
    <row r="171" spans="4:8">
      <c r="F171" s="496"/>
    </row>
    <row r="172" spans="4:8">
      <c r="F172" s="496"/>
    </row>
    <row r="173" spans="4:8">
      <c r="F173" s="496"/>
    </row>
    <row r="174" spans="4:8">
      <c r="F174" s="496"/>
    </row>
    <row r="175" spans="4:8">
      <c r="F175" s="496"/>
    </row>
    <row r="176" spans="4:8">
      <c r="F176" s="496"/>
    </row>
    <row r="177" spans="6:6">
      <c r="F177" s="496"/>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AI121"/>
  <sheetViews>
    <sheetView workbookViewId="0">
      <selection activeCell="B8" sqref="B8"/>
    </sheetView>
  </sheetViews>
  <sheetFormatPr defaultColWidth="8" defaultRowHeight="12.75"/>
  <cols>
    <col min="1" max="1" width="13.125" style="761" customWidth="1"/>
    <col min="2" max="2" width="1.625" style="580" customWidth="1"/>
    <col min="3" max="3" width="14" style="117" bestFit="1" customWidth="1"/>
    <col min="4" max="4" width="1.625" style="114" customWidth="1"/>
    <col min="5" max="5" width="13.125" style="114" customWidth="1"/>
    <col min="6" max="6" width="1.625" style="114" customWidth="1"/>
    <col min="7" max="7" width="13.125" style="114" customWidth="1"/>
    <col min="8" max="8" width="15.625" style="114" bestFit="1" customWidth="1"/>
    <col min="9" max="9" width="1.625" style="114" customWidth="1"/>
    <col min="10" max="10" width="13.125" style="114" customWidth="1"/>
    <col min="11" max="11" width="1.625" style="114" customWidth="1"/>
    <col min="12" max="12" width="16.5" style="114" bestFit="1" customWidth="1"/>
    <col min="13" max="13" width="1.625" style="114" customWidth="1"/>
    <col min="14" max="14" width="14.125" style="114" customWidth="1"/>
    <col min="15" max="15" width="1.625" style="114" customWidth="1"/>
    <col min="16" max="16" width="14.25" style="114" customWidth="1"/>
    <col min="17" max="17" width="1.625" style="114" customWidth="1"/>
    <col min="18" max="18" width="13.125" style="761" customWidth="1"/>
    <col min="19" max="19" width="13.125" style="580" customWidth="1"/>
    <col min="20" max="20" width="13.125" style="797" customWidth="1"/>
    <col min="21" max="23" width="13.75" style="580" customWidth="1"/>
    <col min="24" max="24" width="13.125" style="580" customWidth="1"/>
    <col min="25" max="25" width="14.625" style="580" bestFit="1" customWidth="1"/>
    <col min="26" max="26" width="4.125" style="580" hidden="1" customWidth="1"/>
    <col min="27" max="27" width="14.75" style="580" hidden="1" customWidth="1"/>
    <col min="28" max="28" width="12.125" style="580" hidden="1" customWidth="1"/>
    <col min="29" max="29" width="12" style="580" hidden="1" customWidth="1"/>
    <col min="30" max="30" width="1.625" style="580" customWidth="1"/>
    <col min="31" max="31" width="13.875" style="580" customWidth="1"/>
    <col min="32" max="32" width="13.125" style="761" customWidth="1"/>
    <col min="33" max="34" width="1.625" style="580" customWidth="1"/>
    <col min="35" max="35" width="14.125" style="580" bestFit="1" customWidth="1"/>
    <col min="36" max="16384" width="8" style="580"/>
  </cols>
  <sheetData>
    <row r="1" spans="1:35" ht="15.75">
      <c r="A1" s="791" t="s">
        <v>247</v>
      </c>
      <c r="B1" s="792"/>
      <c r="C1" s="429"/>
      <c r="D1" s="793"/>
      <c r="E1" s="793"/>
      <c r="F1" s="793"/>
      <c r="G1" s="793"/>
      <c r="H1" s="793"/>
      <c r="I1" s="793"/>
      <c r="J1" s="793"/>
      <c r="K1" s="793"/>
      <c r="L1" s="793"/>
      <c r="M1" s="793"/>
      <c r="N1" s="793"/>
      <c r="O1" s="793"/>
    </row>
    <row r="2" spans="1:35" ht="15.75">
      <c r="A2" s="794"/>
      <c r="W2" s="761"/>
    </row>
    <row r="3" spans="1:35" s="761" customFormat="1">
      <c r="C3" s="731" t="s">
        <v>1</v>
      </c>
      <c r="D3" s="795"/>
      <c r="E3" s="795"/>
      <c r="F3" s="795"/>
      <c r="G3" s="795"/>
      <c r="H3" s="795"/>
      <c r="I3" s="795"/>
      <c r="J3" s="795"/>
      <c r="K3" s="795"/>
      <c r="L3" s="795"/>
      <c r="M3" s="795"/>
      <c r="N3" s="795"/>
      <c r="O3" s="795"/>
      <c r="P3" s="795"/>
      <c r="Q3" s="795"/>
      <c r="T3" s="798" t="s">
        <v>248</v>
      </c>
      <c r="U3" s="761" t="s">
        <v>31</v>
      </c>
      <c r="Y3" s="761" t="s">
        <v>653</v>
      </c>
      <c r="AA3" s="761" t="s">
        <v>285</v>
      </c>
    </row>
    <row r="4" spans="1:35" s="761" customFormat="1">
      <c r="C4" s="799"/>
      <c r="D4" s="795"/>
      <c r="E4" s="795"/>
      <c r="F4" s="795"/>
      <c r="G4" s="795"/>
      <c r="H4" s="795" t="s">
        <v>31</v>
      </c>
      <c r="I4" s="795"/>
      <c r="J4" s="795" t="s">
        <v>31</v>
      </c>
      <c r="K4" s="795"/>
      <c r="L4" s="795"/>
      <c r="M4" s="795"/>
      <c r="N4" s="795"/>
      <c r="O4" s="795"/>
      <c r="P4" s="795" t="s">
        <v>630</v>
      </c>
      <c r="Q4" s="795"/>
      <c r="R4" s="761" t="s">
        <v>249</v>
      </c>
      <c r="S4" s="761" t="s">
        <v>256</v>
      </c>
      <c r="T4" s="798" t="s">
        <v>250</v>
      </c>
      <c r="U4" s="761" t="s">
        <v>565</v>
      </c>
      <c r="V4" s="795" t="s">
        <v>830</v>
      </c>
      <c r="W4" s="795" t="s">
        <v>161</v>
      </c>
      <c r="X4" s="761" t="s">
        <v>249</v>
      </c>
      <c r="Y4" s="761" t="s">
        <v>256</v>
      </c>
      <c r="AA4" s="761" t="s">
        <v>190</v>
      </c>
      <c r="AB4" s="761" t="s">
        <v>249</v>
      </c>
      <c r="AC4" s="761" t="s">
        <v>256</v>
      </c>
      <c r="AE4" s="761" t="s">
        <v>9</v>
      </c>
    </row>
    <row r="5" spans="1:35" s="761" customFormat="1">
      <c r="A5" s="761" t="s">
        <v>251</v>
      </c>
      <c r="C5" s="800">
        <v>305</v>
      </c>
      <c r="D5" s="795"/>
      <c r="E5" s="795" t="s">
        <v>884</v>
      </c>
      <c r="F5" s="795"/>
      <c r="G5" s="795" t="s">
        <v>885</v>
      </c>
      <c r="H5" s="795" t="s">
        <v>886</v>
      </c>
      <c r="I5" s="795"/>
      <c r="J5" s="795" t="s">
        <v>887</v>
      </c>
      <c r="K5" s="795"/>
      <c r="L5" s="795" t="s">
        <v>898</v>
      </c>
      <c r="M5" s="795"/>
      <c r="N5" s="795" t="s">
        <v>253</v>
      </c>
      <c r="O5" s="795"/>
      <c r="P5" s="795" t="s">
        <v>254</v>
      </c>
      <c r="Q5" s="795"/>
      <c r="R5" s="761" t="s">
        <v>31</v>
      </c>
      <c r="S5" s="761" t="s">
        <v>827</v>
      </c>
      <c r="T5" s="798" t="s">
        <v>257</v>
      </c>
      <c r="U5" s="761" t="s">
        <v>1</v>
      </c>
      <c r="V5" s="795" t="s">
        <v>254</v>
      </c>
      <c r="W5" s="795" t="s">
        <v>830</v>
      </c>
      <c r="X5" s="761" t="s">
        <v>828</v>
      </c>
      <c r="Y5" s="761" t="s">
        <v>829</v>
      </c>
      <c r="AA5" s="761" t="s">
        <v>1</v>
      </c>
      <c r="AB5" s="761" t="s">
        <v>286</v>
      </c>
      <c r="AC5" s="761" t="s">
        <v>287</v>
      </c>
      <c r="AE5" s="761" t="s">
        <v>44</v>
      </c>
    </row>
    <row r="6" spans="1:35">
      <c r="A6" s="761" t="s">
        <v>258</v>
      </c>
      <c r="S6" s="761"/>
      <c r="T6" s="798"/>
      <c r="U6" s="761"/>
      <c r="V6" s="761"/>
      <c r="W6" s="761"/>
      <c r="X6" s="761"/>
      <c r="Y6" s="761"/>
      <c r="Z6" s="761"/>
      <c r="AA6" s="761"/>
      <c r="AB6" s="761"/>
      <c r="AC6" s="761"/>
      <c r="AD6" s="761"/>
      <c r="AE6" s="761"/>
    </row>
    <row r="7" spans="1:35">
      <c r="A7" s="761" t="s">
        <v>259</v>
      </c>
      <c r="C7" s="118">
        <f>VLOOKUP(A7,'305 Inputs'!$E$125:$I$154,5,FALSE)</f>
        <v>139946668.05000001</v>
      </c>
      <c r="E7" s="118">
        <v>-4983958.7499994701</v>
      </c>
      <c r="F7" s="118"/>
      <c r="G7" s="118">
        <v>5087327.1900002798</v>
      </c>
      <c r="H7" s="118">
        <v>2086102.2000001201</v>
      </c>
      <c r="I7" s="118"/>
      <c r="J7" s="118">
        <v>1746655.91000006</v>
      </c>
      <c r="K7" s="118"/>
      <c r="L7" s="118">
        <v>-4148.2400000000016</v>
      </c>
      <c r="M7" s="118"/>
      <c r="N7" s="118">
        <f t="shared" ref="N7:N13" si="0">C7+E7+G7+H7+J7+L7</f>
        <v>143878646.36000097</v>
      </c>
      <c r="O7" s="118"/>
      <c r="P7" s="118">
        <v>143937213.58632299</v>
      </c>
      <c r="Q7" s="118"/>
      <c r="R7" s="801">
        <f>ROUND(P7/N7*100,3)-100</f>
        <v>4.0999999999996817E-2</v>
      </c>
      <c r="S7" s="802">
        <f>P7-N7</f>
        <v>58567.226322025061</v>
      </c>
      <c r="T7" s="797">
        <f t="shared" ref="T7:T16" si="1">IF(ABS(R7)&lt;=0.5,0,IF(N7&gt;P7,(N7*0.995)-P7,(N7*1.005)-P7))</f>
        <v>0</v>
      </c>
      <c r="U7" s="803">
        <f>'Exhibit No.__(RMM-11) p1-8'!F116-Temperature!G22*1000</f>
        <v>143937214.00999999</v>
      </c>
      <c r="V7" s="118">
        <v>143937213.586308</v>
      </c>
      <c r="W7" s="118">
        <f>U7-V7+Temperature!G22*1000-Temperature!C22*1000*Temperature!E21-Temperature!D22*1000*Temperature!F21</f>
        <v>0.42029411438852549</v>
      </c>
      <c r="X7" s="804">
        <f>((U7-N7)/N7)*100</f>
        <v>4.0706283719461382E-2</v>
      </c>
      <c r="Y7" s="802">
        <f>U7-P7</f>
        <v>0.423676997423172</v>
      </c>
      <c r="Z7" s="805"/>
      <c r="AA7" s="118" t="e">
        <f>#REF!-#REF!*1000</f>
        <v>#REF!</v>
      </c>
      <c r="AB7" s="805" t="e">
        <f t="shared" ref="AB7:AB16" si="2">((AA7-U7)/U7)*100</f>
        <v>#REF!</v>
      </c>
      <c r="AC7" s="802" t="e">
        <f t="shared" ref="AC7:AC16" si="3">AA7-U7</f>
        <v>#REF!</v>
      </c>
      <c r="AD7" s="805"/>
      <c r="AE7" s="802">
        <f>L7+S7+Y7</f>
        <v>54419.409999022479</v>
      </c>
      <c r="AF7" s="761" t="str">
        <f>IF(ABS(T7)&lt;1, "OK", "NOPE")</f>
        <v>OK</v>
      </c>
      <c r="AG7" s="802" t="s">
        <v>31</v>
      </c>
      <c r="AH7" s="806"/>
    </row>
    <row r="8" spans="1:35">
      <c r="A8" s="761" t="s">
        <v>260</v>
      </c>
      <c r="C8" s="118">
        <f>VLOOKUP(A8,'305 Inputs'!$E$125:$I$154,5,FALSE)</f>
        <v>7360010.5499999998</v>
      </c>
      <c r="E8" s="118">
        <v>-261718.01999999699</v>
      </c>
      <c r="F8" s="118"/>
      <c r="G8" s="118">
        <v>293967.970000003</v>
      </c>
      <c r="H8" s="118">
        <v>106022.3</v>
      </c>
      <c r="I8" s="118"/>
      <c r="J8" s="118">
        <v>100915.83</v>
      </c>
      <c r="K8" s="118"/>
      <c r="L8" s="118">
        <v>-509.84000000000003</v>
      </c>
      <c r="M8" s="118"/>
      <c r="N8" s="118">
        <f t="shared" si="0"/>
        <v>7598688.7900000056</v>
      </c>
      <c r="O8" s="118"/>
      <c r="P8" s="118">
        <v>7597281.2581699798</v>
      </c>
      <c r="Q8" s="118"/>
      <c r="R8" s="761">
        <f t="shared" ref="R8:R16" si="4">ROUND(P8/N8*100,3)-100</f>
        <v>-1.9000000000005457E-2</v>
      </c>
      <c r="S8" s="802">
        <f t="shared" ref="S8:S16" si="5">P8-N8</f>
        <v>-1407.5318300258368</v>
      </c>
      <c r="T8" s="797">
        <f t="shared" si="1"/>
        <v>0</v>
      </c>
      <c r="U8" s="118">
        <f>'Exhibit No.__(RMM-11) p1-8'!F147-Temperature!G40*1000</f>
        <v>7597281.3600000003</v>
      </c>
      <c r="V8" s="118">
        <v>7597281.2581700003</v>
      </c>
      <c r="W8" s="118">
        <f>U8-V8+Temperature!G40*1000-Temperature!C40*1000*Temperature!E39-Temperature!D40*1000*Temperature!F39</f>
        <v>9.6887016901746392E-2</v>
      </c>
      <c r="X8" s="804">
        <f t="shared" ref="X8:X16" si="6">((U8-N8)/N8)*100</f>
        <v>-1.8522011348293274E-2</v>
      </c>
      <c r="Y8" s="802">
        <f>U8-P8</f>
        <v>0.10183002054691315</v>
      </c>
      <c r="Z8" s="805"/>
      <c r="AA8" s="118" t="e">
        <f>#REF!</f>
        <v>#REF!</v>
      </c>
      <c r="AB8" s="805" t="e">
        <f t="shared" si="2"/>
        <v>#REF!</v>
      </c>
      <c r="AC8" s="802" t="e">
        <f t="shared" si="3"/>
        <v>#REF!</v>
      </c>
      <c r="AD8" s="805"/>
      <c r="AE8" s="802">
        <f t="shared" ref="AE8:AE13" si="7">L8+S8+Y8</f>
        <v>-1917.2700000052901</v>
      </c>
      <c r="AH8" s="806"/>
    </row>
    <row r="9" spans="1:35">
      <c r="A9" s="761" t="s">
        <v>261</v>
      </c>
      <c r="B9" s="802"/>
      <c r="C9" s="118">
        <f>VLOOKUP(A9,'305 Inputs'!$E$125:$I$154,5,FALSE)</f>
        <v>216272.66</v>
      </c>
      <c r="E9" s="118">
        <v>-6973.50000000001</v>
      </c>
      <c r="F9" s="118"/>
      <c r="G9" s="118">
        <v>6814.3600000000097</v>
      </c>
      <c r="H9" s="118">
        <v>2943.37</v>
      </c>
      <c r="I9" s="118"/>
      <c r="J9" s="118">
        <v>2394.15</v>
      </c>
      <c r="K9" s="118"/>
      <c r="L9" s="118">
        <v>-378.4899999999999</v>
      </c>
      <c r="M9" s="118"/>
      <c r="N9" s="118">
        <f t="shared" si="0"/>
        <v>221072.55000000002</v>
      </c>
      <c r="O9" s="118"/>
      <c r="P9" s="118">
        <v>220974.21950741901</v>
      </c>
      <c r="Q9" s="118"/>
      <c r="R9" s="761">
        <f t="shared" si="4"/>
        <v>-4.399999999999693E-2</v>
      </c>
      <c r="S9" s="802">
        <f t="shared" si="5"/>
        <v>-98.330492581008002</v>
      </c>
      <c r="T9" s="797">
        <f t="shared" si="1"/>
        <v>0</v>
      </c>
      <c r="U9" s="118">
        <f>'Exhibit No.__(RMM-11) p1-8'!F162-Temperature!G58*1000</f>
        <v>220974.11000000002</v>
      </c>
      <c r="V9" s="118">
        <v>220974.21950741901</v>
      </c>
      <c r="W9" s="118">
        <f>U9-V9+Temperature!G58*1000-Temperature!C58*1000*Temperature!E57-Temperature!D58*1000*Temperature!F57</f>
        <v>-0.12542362502972537</v>
      </c>
      <c r="X9" s="804">
        <f t="shared" si="6"/>
        <v>-4.452836862830882E-2</v>
      </c>
      <c r="Y9" s="802">
        <f t="shared" ref="Y9:Y10" si="8">U9-P9</f>
        <v>-0.10950741899432614</v>
      </c>
      <c r="Z9" s="805"/>
      <c r="AA9" s="118" t="e">
        <f>#REF!</f>
        <v>#REF!</v>
      </c>
      <c r="AB9" s="805" t="e">
        <f t="shared" si="2"/>
        <v>#REF!</v>
      </c>
      <c r="AC9" s="802" t="e">
        <f t="shared" si="3"/>
        <v>#REF!</v>
      </c>
      <c r="AD9" s="805"/>
      <c r="AE9" s="802">
        <f t="shared" si="7"/>
        <v>-476.93000000000222</v>
      </c>
      <c r="AH9" s="806"/>
    </row>
    <row r="10" spans="1:35">
      <c r="A10" s="761" t="s">
        <v>262</v>
      </c>
      <c r="B10" s="807"/>
      <c r="C10" s="118">
        <f>VLOOKUP(A10,'305 Inputs'!$E$125:$I$154,5,FALSE)</f>
        <v>32360.04</v>
      </c>
      <c r="E10" s="118">
        <v>-1067.51</v>
      </c>
      <c r="F10" s="118"/>
      <c r="G10" s="118">
        <v>955.45</v>
      </c>
      <c r="H10" s="118">
        <v>466.26</v>
      </c>
      <c r="I10" s="118"/>
      <c r="J10" s="118">
        <v>334.09</v>
      </c>
      <c r="K10" s="118"/>
      <c r="L10" s="118">
        <v>0</v>
      </c>
      <c r="M10" s="118"/>
      <c r="N10" s="118">
        <f t="shared" si="0"/>
        <v>33048.33</v>
      </c>
      <c r="O10" s="118"/>
      <c r="P10" s="118">
        <v>32992.723687096797</v>
      </c>
      <c r="Q10" s="118"/>
      <c r="R10" s="761">
        <f t="shared" si="4"/>
        <v>-0.16800000000000637</v>
      </c>
      <c r="S10" s="802">
        <f t="shared" si="5"/>
        <v>-55.606312903204525</v>
      </c>
      <c r="T10" s="797">
        <f t="shared" si="1"/>
        <v>0</v>
      </c>
      <c r="U10" s="118">
        <f>'Exhibit No.__(RMM-11) p1-8'!F177</f>
        <v>32993</v>
      </c>
      <c r="V10" s="118">
        <v>32992.723687096797</v>
      </c>
      <c r="W10" s="118">
        <f t="shared" ref="W10:W11" si="9">U10-V10</f>
        <v>0.27631290320277913</v>
      </c>
      <c r="X10" s="804">
        <f t="shared" si="6"/>
        <v>-0.16742147031333124</v>
      </c>
      <c r="Y10" s="802">
        <f t="shared" si="8"/>
        <v>0.27631290320277913</v>
      </c>
      <c r="Z10" s="805"/>
      <c r="AA10" s="118" t="e">
        <f>#REF!</f>
        <v>#REF!</v>
      </c>
      <c r="AB10" s="805" t="e">
        <f t="shared" si="2"/>
        <v>#REF!</v>
      </c>
      <c r="AC10" s="802" t="e">
        <f t="shared" si="3"/>
        <v>#REF!</v>
      </c>
      <c r="AD10" s="805"/>
      <c r="AE10" s="802">
        <f t="shared" si="7"/>
        <v>-55.330000000001746</v>
      </c>
      <c r="AF10" s="808"/>
      <c r="AH10" s="806"/>
    </row>
    <row r="11" spans="1:35">
      <c r="A11" s="761" t="s">
        <v>243</v>
      </c>
      <c r="C11" s="118">
        <f>VLOOKUP(A11,'305 Inputs'!$E$125:$I$154,5,FALSE)</f>
        <v>1217658.21</v>
      </c>
      <c r="E11" s="118">
        <v>-40891.719999999899</v>
      </c>
      <c r="F11" s="118"/>
      <c r="G11" s="118">
        <v>50095.83</v>
      </c>
      <c r="H11" s="118">
        <v>16524.79</v>
      </c>
      <c r="I11" s="118"/>
      <c r="J11" s="118">
        <v>17397.5</v>
      </c>
      <c r="K11" s="118"/>
      <c r="L11" s="118">
        <v>546.62</v>
      </c>
      <c r="M11" s="118"/>
      <c r="N11" s="118">
        <f t="shared" si="0"/>
        <v>1261331.2300000002</v>
      </c>
      <c r="O11" s="118"/>
      <c r="P11" s="118">
        <v>1262016.5221599999</v>
      </c>
      <c r="Q11" s="118"/>
      <c r="R11" s="761">
        <f>ROUND(P11/N11*100,3)-100</f>
        <v>5.4000000000002046E-2</v>
      </c>
      <c r="S11" s="802">
        <f>P11-N11</f>
        <v>685.29215999972075</v>
      </c>
      <c r="T11" s="797">
        <f>IF(ABS(R11)&lt;=0.5,0,IF(N11&gt;P11,(N11*0.995)-P11,(N11*1.005)-P11))</f>
        <v>0</v>
      </c>
      <c r="U11" s="118">
        <f>'Exhibit No.__(RMM-11) p1-8'!F132</f>
        <v>1262017</v>
      </c>
      <c r="V11" s="118">
        <v>1262016.5221599999</v>
      </c>
      <c r="W11" s="118">
        <f t="shared" si="9"/>
        <v>0.47784000006504357</v>
      </c>
      <c r="X11" s="804">
        <f>((U11-N11)/N11)*100</f>
        <v>5.4368748167742238E-2</v>
      </c>
      <c r="Y11" s="802">
        <f>U11-P11</f>
        <v>0.47784000006504357</v>
      </c>
      <c r="Z11" s="805"/>
      <c r="AA11" s="118" t="e">
        <f>#REF!</f>
        <v>#REF!</v>
      </c>
      <c r="AB11" s="805" t="e">
        <f>((AA11-U11)/U11)*100</f>
        <v>#REF!</v>
      </c>
      <c r="AC11" s="802" t="e">
        <f>AA11-U11</f>
        <v>#REF!</v>
      </c>
      <c r="AD11" s="805"/>
      <c r="AE11" s="802">
        <f>L11+S11+Y11</f>
        <v>1232.3899999997857</v>
      </c>
      <c r="AH11" s="806"/>
    </row>
    <row r="12" spans="1:35">
      <c r="A12" s="761" t="s">
        <v>263</v>
      </c>
      <c r="C12" s="118">
        <f>VLOOKUP(A12,'305 Inputs'!$E$125:$I$154,5,FALSE)</f>
        <v>147946.59</v>
      </c>
      <c r="E12" s="118">
        <v>-2691.7899999999404</v>
      </c>
      <c r="F12" s="118"/>
      <c r="G12" s="118">
        <v>1660.5300000000907</v>
      </c>
      <c r="H12" s="118">
        <v>0</v>
      </c>
      <c r="I12" s="118"/>
      <c r="J12" s="118">
        <v>1298.6500000000701</v>
      </c>
      <c r="K12" s="118"/>
      <c r="L12" s="118">
        <v>60.620000000000005</v>
      </c>
      <c r="M12" s="118"/>
      <c r="N12" s="118">
        <f t="shared" si="0"/>
        <v>148274.60000000021</v>
      </c>
      <c r="O12" s="118"/>
      <c r="P12" s="118">
        <v>148252.63468294652</v>
      </c>
      <c r="Q12" s="118"/>
      <c r="R12" s="761">
        <f t="shared" ref="R12" si="10">ROUND(P12/N12*100,3)-100</f>
        <v>-1.5000000000000568E-2</v>
      </c>
      <c r="S12" s="802">
        <f t="shared" ref="S12:S13" si="11">P12-N12</f>
        <v>-21.965317053691251</v>
      </c>
      <c r="T12" s="797">
        <f t="shared" ref="T12:T13" si="12">IF(ABS(R12)&lt;=0.5,0,IF(N12&gt;P12,(N12*0.995)-P12,(N12*1.005)-P12))</f>
        <v>0</v>
      </c>
      <c r="U12" s="118">
        <f>'Exhibit No.__(RMM-11) p1-8'!F46</f>
        <v>148252.63468292812</v>
      </c>
      <c r="V12" s="118">
        <v>148252.63468294652</v>
      </c>
      <c r="W12" s="118">
        <f>U12-V12</f>
        <v>-1.8393620848655701E-8</v>
      </c>
      <c r="X12" s="804">
        <f t="shared" ref="X12" si="13">((U12-N12)/N12)*100</f>
        <v>-1.4813944581259933E-2</v>
      </c>
      <c r="Y12" s="802">
        <f t="shared" ref="Y12" si="14">U12-P12</f>
        <v>-1.8393620848655701E-8</v>
      </c>
      <c r="Z12" s="805"/>
      <c r="AA12" s="118" t="e">
        <f>#REF!</f>
        <v>#REF!</v>
      </c>
      <c r="AB12" s="805" t="e">
        <f t="shared" ref="AB12" si="15">((AA12-U12)/U12)*100</f>
        <v>#REF!</v>
      </c>
      <c r="AC12" s="802" t="e">
        <f t="shared" ref="AC12:AC13" si="16">AA12-U12</f>
        <v>#REF!</v>
      </c>
      <c r="AD12" s="805"/>
      <c r="AE12" s="802">
        <f t="shared" si="7"/>
        <v>38.654682927915132</v>
      </c>
      <c r="AH12" s="806"/>
    </row>
    <row r="13" spans="1:35">
      <c r="A13" s="761" t="s">
        <v>664</v>
      </c>
      <c r="C13" s="118">
        <f>VLOOKUP(A13,'305 Inputs'!$E$125:$I$154,5,FALSE)</f>
        <v>2480834.42</v>
      </c>
      <c r="E13" s="118">
        <v>-68242.439999999697</v>
      </c>
      <c r="F13" s="118"/>
      <c r="G13" s="118">
        <v>60262.509999999711</v>
      </c>
      <c r="H13" s="118">
        <v>14497.090000000298</v>
      </c>
      <c r="I13" s="118"/>
      <c r="J13" s="118">
        <v>19718.6500000003</v>
      </c>
      <c r="K13" s="118"/>
      <c r="L13" s="118">
        <v>-14856.979999999998</v>
      </c>
      <c r="M13" s="118"/>
      <c r="N13" s="118">
        <f t="shared" si="0"/>
        <v>2492213.2500000009</v>
      </c>
      <c r="O13" s="118"/>
      <c r="P13" s="118">
        <v>2489980.8355599921</v>
      </c>
      <c r="Q13" s="118"/>
      <c r="R13" s="801">
        <f>ROUND(P13/N13*100,3)-100</f>
        <v>-9.0000000000003411E-2</v>
      </c>
      <c r="S13" s="802">
        <f t="shared" si="11"/>
        <v>-2232.4144400088117</v>
      </c>
      <c r="T13" s="797">
        <f t="shared" si="12"/>
        <v>0</v>
      </c>
      <c r="U13" s="118">
        <f>'Exhibit No.__(RMM-11) p1-8'!F290-Temperature!V75*1000</f>
        <v>2513322.2400000002</v>
      </c>
      <c r="V13" s="118">
        <v>2513321.1564399921</v>
      </c>
      <c r="W13" s="118">
        <f>U13-V13+Temperature!V75*1000-Temperature!P75*1000*Temperature!S74-Temperature!Q75*1000*Temperature!T74-Temperature!R75*1000*Temperature!U74</f>
        <v>1.0890069935413749</v>
      </c>
      <c r="X13" s="804">
        <f>((U13-N13)/N13)*100</f>
        <v>0.84699774387281201</v>
      </c>
      <c r="Y13" s="802">
        <f>U13-P13-U14</f>
        <v>23341.404440008104</v>
      </c>
      <c r="Z13" s="805"/>
      <c r="AA13" s="118">
        <v>31869846</v>
      </c>
      <c r="AB13" s="805">
        <f>((AA13-U13)/U13)*100</f>
        <v>1168.0366048087808</v>
      </c>
      <c r="AC13" s="802">
        <f t="shared" si="16"/>
        <v>29356523.759999998</v>
      </c>
      <c r="AD13" s="805"/>
      <c r="AE13" s="802">
        <f t="shared" si="7"/>
        <v>6252.0099999992963</v>
      </c>
      <c r="AF13" s="796" t="s">
        <v>31</v>
      </c>
      <c r="AG13" s="809" t="s">
        <v>31</v>
      </c>
      <c r="AH13" s="810" t="s">
        <v>31</v>
      </c>
      <c r="AI13" s="805"/>
    </row>
    <row r="14" spans="1:35">
      <c r="A14" s="761" t="s">
        <v>883</v>
      </c>
      <c r="C14" s="118">
        <f>VLOOKUP(A14,'305 Inputs'!$E$125:$I$154,5,FALSE)</f>
        <v>22666.080000000002</v>
      </c>
      <c r="E14" s="118">
        <v>-684.37</v>
      </c>
      <c r="F14" s="118"/>
      <c r="G14" s="118">
        <v>866.82</v>
      </c>
      <c r="H14" s="118">
        <v>209.20000000000002</v>
      </c>
      <c r="I14" s="118"/>
      <c r="J14" s="118">
        <v>289.14999999999998</v>
      </c>
      <c r="K14" s="118"/>
      <c r="L14" s="118">
        <v>4.4699999999999847</v>
      </c>
      <c r="M14" s="118"/>
      <c r="N14" s="118">
        <f>C14+E14+G14+H14+J14+L14</f>
        <v>23351.350000000006</v>
      </c>
      <c r="O14" s="118"/>
      <c r="P14" s="118">
        <v>23340.320880000003</v>
      </c>
      <c r="Q14" s="118"/>
      <c r="R14" s="801">
        <f>ROUND(P14/N14*100,3)-100</f>
        <v>-4.6999999999997044E-2</v>
      </c>
      <c r="S14" s="802">
        <f t="shared" ref="S14" si="17">P14-N14</f>
        <v>-11.029120000002877</v>
      </c>
      <c r="T14" s="797">
        <f t="shared" ref="T14" si="18">IF(ABS(R14)&lt;=0.5,0,IF(N14&gt;P14,(N14*0.995)-P14,(N14*1.005)-P14))</f>
        <v>0</v>
      </c>
      <c r="U14" s="118">
        <v>0</v>
      </c>
      <c r="V14" s="118">
        <v>0</v>
      </c>
      <c r="W14" s="118">
        <f t="shared" ref="W14" si="19">U14-V14</f>
        <v>0</v>
      </c>
      <c r="X14" s="804">
        <v>0</v>
      </c>
      <c r="Y14" s="802">
        <f t="shared" ref="Y14" si="20">U14-P14</f>
        <v>-23340.320880000003</v>
      </c>
      <c r="Z14" s="805"/>
      <c r="AA14" s="118">
        <v>31869846</v>
      </c>
      <c r="AB14" s="805" t="e">
        <f>((AA14-U14)/U14)*100</f>
        <v>#DIV/0!</v>
      </c>
      <c r="AC14" s="802">
        <f t="shared" ref="AC14" si="21">AA14-U14</f>
        <v>31869846</v>
      </c>
      <c r="AD14" s="805"/>
      <c r="AE14" s="802">
        <f t="shared" ref="AE14" si="22">L14+S14+Y14</f>
        <v>-23346.880000000005</v>
      </c>
      <c r="AF14" s="796" t="s">
        <v>31</v>
      </c>
      <c r="AG14" s="809" t="s">
        <v>31</v>
      </c>
      <c r="AH14" s="810" t="s">
        <v>31</v>
      </c>
      <c r="AI14" s="805"/>
    </row>
    <row r="15" spans="1:35">
      <c r="A15" s="761" t="s">
        <v>877</v>
      </c>
      <c r="C15" s="118">
        <f>VLOOKUP(A15,'305 Inputs'!$E$125:$I$154,5,FALSE)</f>
        <v>119191.29</v>
      </c>
      <c r="E15" s="118">
        <v>-4429.93</v>
      </c>
      <c r="F15" s="118"/>
      <c r="G15" s="118">
        <v>4616.6000000000004</v>
      </c>
      <c r="H15" s="118">
        <v>1080.46</v>
      </c>
      <c r="I15" s="118"/>
      <c r="J15" s="118">
        <v>1412.38</v>
      </c>
      <c r="K15" s="118"/>
      <c r="L15" s="118">
        <v>0</v>
      </c>
      <c r="M15" s="118"/>
      <c r="N15" s="118">
        <f>C15+E15+G15+H15+J15+L15</f>
        <v>121870.8</v>
      </c>
      <c r="O15" s="118"/>
      <c r="P15" s="118">
        <v>121922.9608</v>
      </c>
      <c r="Q15" s="118"/>
      <c r="R15" s="801">
        <f>ROUND(P15/N15*100,3)-100</f>
        <v>4.3000000000006366E-2</v>
      </c>
      <c r="S15" s="802">
        <f t="shared" ref="S15" si="23">P15-N15</f>
        <v>52.160799999997835</v>
      </c>
      <c r="T15" s="797">
        <f t="shared" ref="T15" si="24">IF(ABS(R15)&lt;=0.5,0,IF(N15&gt;P15,(N15*0.995)-P15,(N15*1.005)-P15))</f>
        <v>0</v>
      </c>
      <c r="U15" s="118">
        <f>V15</f>
        <v>121922.9608</v>
      </c>
      <c r="V15" s="118">
        <v>121922.9608</v>
      </c>
      <c r="W15" s="118">
        <f>U15-V15</f>
        <v>0</v>
      </c>
      <c r="X15" s="804">
        <f>((U15-N15)/N15)*100</f>
        <v>4.2800080084809351E-2</v>
      </c>
      <c r="Y15" s="802">
        <f t="shared" ref="Y15" si="25">U15-P15</f>
        <v>0</v>
      </c>
      <c r="Z15" s="805"/>
      <c r="AA15" s="118">
        <v>31869846</v>
      </c>
      <c r="AB15" s="805">
        <f>((AA15-U15)/U15)*100</f>
        <v>26039.330763365127</v>
      </c>
      <c r="AC15" s="802">
        <f t="shared" ref="AC15" si="26">AA15-U15</f>
        <v>31747923.0392</v>
      </c>
      <c r="AD15" s="805"/>
      <c r="AE15" s="802">
        <f t="shared" ref="AE15" si="27">L15+S15+Y15</f>
        <v>52.160799999997835</v>
      </c>
      <c r="AF15" s="796" t="s">
        <v>31</v>
      </c>
      <c r="AG15" s="809" t="s">
        <v>31</v>
      </c>
      <c r="AH15" s="810" t="s">
        <v>31</v>
      </c>
      <c r="AI15" s="805"/>
    </row>
    <row r="16" spans="1:35">
      <c r="A16" s="761" t="s">
        <v>264</v>
      </c>
      <c r="C16" s="118">
        <f>SUM(C7:C15)</f>
        <v>151543607.89000002</v>
      </c>
      <c r="E16" s="118">
        <f>SUM(E7:E15)</f>
        <v>-5370658.0299994657</v>
      </c>
      <c r="F16" s="118"/>
      <c r="G16" s="118">
        <f>SUM(G7:G15)</f>
        <v>5506567.2600002838</v>
      </c>
      <c r="H16" s="118">
        <f>SUM(H7:H15)</f>
        <v>2227845.6700001205</v>
      </c>
      <c r="I16" s="118"/>
      <c r="J16" s="118">
        <f>SUM(J7:J15)</f>
        <v>1890416.3100000604</v>
      </c>
      <c r="K16" s="118"/>
      <c r="L16" s="118">
        <f>SUM(L7:L15)</f>
        <v>-19281.839999999997</v>
      </c>
      <c r="M16" s="118"/>
      <c r="N16" s="118">
        <f>SUM(N7:N15)</f>
        <v>155778497.26000097</v>
      </c>
      <c r="O16" s="118"/>
      <c r="P16" s="118">
        <f>SUM(P7:P15)</f>
        <v>155833975.06177041</v>
      </c>
      <c r="Q16" s="118"/>
      <c r="R16" s="761">
        <f t="shared" si="4"/>
        <v>3.6000000000001364E-2</v>
      </c>
      <c r="S16" s="802">
        <f t="shared" si="5"/>
        <v>55477.801769435406</v>
      </c>
      <c r="T16" s="797">
        <f t="shared" si="1"/>
        <v>0</v>
      </c>
      <c r="U16" s="115">
        <f>SUM(U7:U15)</f>
        <v>155833977.31548294</v>
      </c>
      <c r="V16" s="118">
        <f>SUM(V7:V15)</f>
        <v>155833975.06175545</v>
      </c>
      <c r="W16" s="115">
        <f>SUM(W7:W15)</f>
        <v>2.2349173846761232</v>
      </c>
      <c r="X16" s="804">
        <f t="shared" si="6"/>
        <v>3.561470707306396E-2</v>
      </c>
      <c r="Y16" s="802">
        <f>U16-P16-U14</f>
        <v>2.25371253490448</v>
      </c>
      <c r="Z16" s="805"/>
      <c r="AA16" s="115" t="e">
        <f>SUM(AA7:AA12)</f>
        <v>#REF!</v>
      </c>
      <c r="AB16" s="805" t="e">
        <f t="shared" si="2"/>
        <v>#REF!</v>
      </c>
      <c r="AC16" s="802" t="e">
        <f t="shared" si="3"/>
        <v>#REF!</v>
      </c>
      <c r="AD16" s="805"/>
      <c r="AE16" s="802">
        <f>SUM(AE7:AE15)</f>
        <v>36198.215481944186</v>
      </c>
      <c r="AF16" s="808"/>
      <c r="AH16" s="805"/>
    </row>
    <row r="17" spans="1:35">
      <c r="C17" s="118"/>
      <c r="E17" s="118"/>
      <c r="F17" s="118"/>
      <c r="G17" s="118"/>
      <c r="H17" s="118"/>
      <c r="I17" s="118"/>
      <c r="J17" s="118" t="s">
        <v>31</v>
      </c>
      <c r="K17" s="118"/>
      <c r="L17" s="118"/>
      <c r="M17" s="118"/>
      <c r="N17" s="118"/>
      <c r="O17" s="118"/>
      <c r="P17" s="118"/>
      <c r="Q17" s="118"/>
      <c r="S17" s="805"/>
      <c r="U17" s="417"/>
      <c r="V17" s="417"/>
      <c r="W17" s="417"/>
      <c r="X17" s="805"/>
      <c r="Y17" s="805"/>
      <c r="Z17" s="805"/>
      <c r="AA17" s="417"/>
      <c r="AB17" s="805"/>
      <c r="AC17" s="805"/>
      <c r="AD17" s="805"/>
      <c r="AE17" s="805"/>
      <c r="AF17" s="808"/>
      <c r="AH17" s="805"/>
    </row>
    <row r="18" spans="1:35">
      <c r="C18" s="118"/>
      <c r="E18" s="118" t="s">
        <v>31</v>
      </c>
      <c r="F18" s="118"/>
      <c r="G18" s="118" t="s">
        <v>31</v>
      </c>
      <c r="H18" s="118" t="s">
        <v>31</v>
      </c>
      <c r="I18" s="118"/>
      <c r="J18" s="118" t="s">
        <v>31</v>
      </c>
      <c r="K18" s="118"/>
      <c r="L18" s="118"/>
      <c r="M18" s="118"/>
      <c r="N18" s="118"/>
      <c r="O18" s="118"/>
      <c r="P18" s="118"/>
      <c r="Q18" s="118"/>
      <c r="S18" s="805"/>
      <c r="U18" s="417"/>
      <c r="V18" s="417"/>
      <c r="W18" s="417"/>
      <c r="X18" s="805"/>
      <c r="Y18" s="805"/>
      <c r="Z18" s="805"/>
      <c r="AA18" s="417"/>
      <c r="AB18" s="805"/>
      <c r="AC18" s="805"/>
      <c r="AD18" s="805"/>
      <c r="AE18" s="805"/>
      <c r="AF18" s="808"/>
      <c r="AH18" s="805"/>
    </row>
    <row r="19" spans="1:35">
      <c r="A19" s="761" t="s">
        <v>265</v>
      </c>
      <c r="C19" s="118"/>
      <c r="E19" s="118"/>
      <c r="F19" s="118"/>
      <c r="G19" s="118"/>
      <c r="H19" s="118"/>
      <c r="I19" s="118"/>
      <c r="J19" s="118"/>
      <c r="K19" s="118"/>
      <c r="L19" s="118"/>
      <c r="M19" s="118"/>
      <c r="N19" s="118"/>
      <c r="O19" s="118"/>
      <c r="P19" s="118"/>
      <c r="Q19" s="118"/>
      <c r="S19" s="805"/>
      <c r="U19" s="417"/>
      <c r="V19" s="417"/>
      <c r="W19" s="417"/>
      <c r="X19" s="805"/>
      <c r="Y19" s="805"/>
      <c r="Z19" s="805"/>
      <c r="AA19" s="417"/>
      <c r="AB19" s="805"/>
      <c r="AC19" s="805"/>
      <c r="AD19" s="805"/>
      <c r="AE19" s="805"/>
      <c r="AF19" s="808"/>
      <c r="AH19" s="805"/>
    </row>
    <row r="20" spans="1:35">
      <c r="A20" s="761" t="s">
        <v>51</v>
      </c>
      <c r="C20" s="118">
        <f>VLOOKUP(A20,'305 Inputs'!$E$7:$I$46,5,FALSE)+'305 Inputs'!I30</f>
        <v>47069843.520000003</v>
      </c>
      <c r="E20" s="118">
        <v>-1679851.070000038</v>
      </c>
      <c r="F20" s="118"/>
      <c r="G20" s="118">
        <v>1419381.930000012</v>
      </c>
      <c r="H20" s="118">
        <v>346688.91999999608</v>
      </c>
      <c r="I20" s="118"/>
      <c r="J20" s="118">
        <v>461131.12999999709</v>
      </c>
      <c r="K20" s="118"/>
      <c r="L20" s="118">
        <v>60356.090000000004</v>
      </c>
      <c r="M20" s="118"/>
      <c r="N20" s="118">
        <f>C20+E20+G20+H20+J20+L20+N28</f>
        <v>48025183.469999976</v>
      </c>
      <c r="O20" s="118"/>
      <c r="P20" s="118">
        <v>47995751.638454109</v>
      </c>
      <c r="Q20" s="118"/>
      <c r="R20" s="801">
        <f>ROUND(P20/N20*100,3)-100</f>
        <v>-6.1000000000007049E-2</v>
      </c>
      <c r="S20" s="802">
        <f t="shared" ref="S20:S30" si="28">P20-N20</f>
        <v>-29431.831545867026</v>
      </c>
      <c r="T20" s="797">
        <f t="shared" ref="T20:T30" si="29">IF(ABS(R20)&lt;=0.5,0,IF(N20&gt;P20,(N20*0.995)-P20,(N20*1.005)-P20))</f>
        <v>0</v>
      </c>
      <c r="U20" s="118">
        <f>'Exhibit No.__(RMM-11) p1-8'!F325-Temperature!I75*1000</f>
        <v>47995751.950000003</v>
      </c>
      <c r="V20" s="118">
        <v>47995751.638454109</v>
      </c>
      <c r="W20" s="118">
        <f>U20-V20+Temperature!I75*1000-Temperature!C75*1000*Temperature!F74-Temperature!D75*1000*Temperature!G74-Temperature!E75*1000*Temperature!H74</f>
        <v>0.30216315203870181</v>
      </c>
      <c r="X20" s="804">
        <f>((U20-N20)/N20)*100</f>
        <v>-6.1283513926310228E-2</v>
      </c>
      <c r="Y20" s="802">
        <f>U20-P20-W20</f>
        <v>9.3827415112173185E-3</v>
      </c>
      <c r="Z20" s="805"/>
      <c r="AA20" s="118">
        <v>31869846</v>
      </c>
      <c r="AB20" s="805">
        <f>((AA20-U20)/U20)*100</f>
        <v>-33.598610907897239</v>
      </c>
      <c r="AC20" s="802">
        <f t="shared" ref="AC20:AC30" si="30">AA20-U20</f>
        <v>-16125905.950000003</v>
      </c>
      <c r="AD20" s="805"/>
      <c r="AE20" s="802">
        <f t="shared" ref="AE20:AE25" si="31">L20+S20+Y20</f>
        <v>30924.267836874489</v>
      </c>
      <c r="AF20" s="796" t="s">
        <v>31</v>
      </c>
      <c r="AG20" s="809" t="s">
        <v>31</v>
      </c>
      <c r="AH20" s="806"/>
      <c r="AI20" s="805"/>
    </row>
    <row r="21" spans="1:35">
      <c r="A21" s="761" t="s">
        <v>52</v>
      </c>
      <c r="C21" s="118">
        <f>VLOOKUP(A21,'305 Inputs'!$E$7:$I$46,5,FALSE)+'305 Inputs'!I38</f>
        <v>169004.85</v>
      </c>
      <c r="E21" s="118">
        <v>-3994.36</v>
      </c>
      <c r="F21" s="118"/>
      <c r="G21" s="118">
        <v>3001.81</v>
      </c>
      <c r="H21" s="118">
        <v>768.49</v>
      </c>
      <c r="I21" s="118"/>
      <c r="J21" s="118">
        <v>998.30000000000302</v>
      </c>
      <c r="K21" s="118"/>
      <c r="L21" s="118">
        <v>92.47</v>
      </c>
      <c r="M21" s="118"/>
      <c r="N21" s="118">
        <f>C21+E21+G21+H21+J21+L21</f>
        <v>169871.56000000003</v>
      </c>
      <c r="O21" s="118"/>
      <c r="P21" s="118">
        <v>170606.8467986022</v>
      </c>
      <c r="Q21" s="118"/>
      <c r="R21" s="801">
        <f>ROUND(P21/N21*100,3)-100</f>
        <v>0.43300000000000693</v>
      </c>
      <c r="S21" s="802">
        <f t="shared" si="28"/>
        <v>735.2867986021738</v>
      </c>
      <c r="T21" s="797">
        <f t="shared" si="29"/>
        <v>0</v>
      </c>
      <c r="U21" s="118">
        <f>'Exhibit No.__(RMM-11) p1-8'!F429</f>
        <v>170607</v>
      </c>
      <c r="V21" s="118">
        <v>170606.8467986022</v>
      </c>
      <c r="W21" s="118">
        <f t="shared" ref="W21:W29" si="32">U21-V21</f>
        <v>0.1532013977994211</v>
      </c>
      <c r="X21" s="804">
        <f>((U21-N21)/N21)*100</f>
        <v>0.43293886275017024</v>
      </c>
      <c r="Y21" s="802">
        <f t="shared" ref="Y21:Y30" si="33">U21-P21-W21</f>
        <v>0</v>
      </c>
      <c r="Z21" s="805"/>
      <c r="AA21" s="118">
        <v>139779</v>
      </c>
      <c r="AB21" s="805">
        <f>((AA21-U21)/U21)*100</f>
        <v>-18.069598551055936</v>
      </c>
      <c r="AC21" s="802">
        <f t="shared" si="30"/>
        <v>-30828</v>
      </c>
      <c r="AD21" s="805"/>
      <c r="AE21" s="802">
        <f t="shared" si="31"/>
        <v>827.75679860217383</v>
      </c>
      <c r="AH21" s="806"/>
    </row>
    <row r="22" spans="1:35">
      <c r="A22" s="761" t="s">
        <v>288</v>
      </c>
      <c r="C22" s="118">
        <f>VLOOKUP(A22,'305 Inputs'!$E$7:$I$46,5,FALSE)</f>
        <v>69411.56</v>
      </c>
      <c r="E22" s="118">
        <v>-419.3</v>
      </c>
      <c r="F22" s="118"/>
      <c r="G22" s="118">
        <v>325.37</v>
      </c>
      <c r="H22" s="118">
        <v>100.74</v>
      </c>
      <c r="I22" s="118"/>
      <c r="J22" s="118">
        <v>118.69</v>
      </c>
      <c r="K22" s="118"/>
      <c r="L22" s="118">
        <v>-44.639999999999993</v>
      </c>
      <c r="M22" s="118"/>
      <c r="N22" s="118">
        <f>C22+E22+G22+H22+J22+L22</f>
        <v>69492.42</v>
      </c>
      <c r="O22" s="118"/>
      <c r="P22" s="118">
        <v>69469.378950076003</v>
      </c>
      <c r="Q22" s="118"/>
      <c r="R22" s="801">
        <f>ROUND(P22/N22*100,3)-100</f>
        <v>-3.3000000000001251E-2</v>
      </c>
      <c r="S22" s="802">
        <f t="shared" si="28"/>
        <v>-23.04104992399516</v>
      </c>
      <c r="T22" s="797">
        <f t="shared" si="29"/>
        <v>0</v>
      </c>
      <c r="U22" s="118">
        <f>'Exhibit No.__(RMM-11) p1-8'!F535</f>
        <v>69469</v>
      </c>
      <c r="V22" s="118">
        <v>69469.378950076003</v>
      </c>
      <c r="W22" s="118">
        <f t="shared" si="32"/>
        <v>-0.37895007600309327</v>
      </c>
      <c r="X22" s="804">
        <f>((U22-N22)/N22)*100</f>
        <v>-3.3701517374122608E-2</v>
      </c>
      <c r="Y22" s="802">
        <f t="shared" si="33"/>
        <v>0</v>
      </c>
      <c r="Z22" s="805"/>
      <c r="AA22" s="118">
        <v>112893</v>
      </c>
      <c r="AB22" s="805">
        <f>((AA22-U22)/U22)*100</f>
        <v>62.508457009601401</v>
      </c>
      <c r="AC22" s="802">
        <f t="shared" si="30"/>
        <v>43424</v>
      </c>
      <c r="AD22" s="805"/>
      <c r="AE22" s="802">
        <f t="shared" si="31"/>
        <v>-67.681049923995147</v>
      </c>
      <c r="AH22" s="806"/>
    </row>
    <row r="23" spans="1:35">
      <c r="A23" s="761" t="s">
        <v>266</v>
      </c>
      <c r="C23" s="118">
        <v>0</v>
      </c>
      <c r="E23" s="118">
        <v>0</v>
      </c>
      <c r="F23" s="118"/>
      <c r="G23" s="118">
        <v>0</v>
      </c>
      <c r="H23" s="118">
        <v>0</v>
      </c>
      <c r="I23" s="118"/>
      <c r="J23" s="118">
        <v>0</v>
      </c>
      <c r="K23" s="118"/>
      <c r="L23" s="118">
        <v>0</v>
      </c>
      <c r="M23" s="118"/>
      <c r="N23" s="118">
        <f t="shared" ref="N23" si="34">C23+E23+H23+J23+L23</f>
        <v>0</v>
      </c>
      <c r="O23" s="118"/>
      <c r="P23" s="118">
        <v>0</v>
      </c>
      <c r="Q23" s="118"/>
      <c r="R23" s="801">
        <v>0</v>
      </c>
      <c r="S23" s="802">
        <f t="shared" si="28"/>
        <v>0</v>
      </c>
      <c r="T23" s="797">
        <f>IF(ABS(R23)&lt;=0.5,0,IF(N23&gt;P23,(N23*0.995)-P23,(N23*1.005)-P23))</f>
        <v>0</v>
      </c>
      <c r="U23" s="118">
        <v>0</v>
      </c>
      <c r="V23" s="118">
        <v>0</v>
      </c>
      <c r="W23" s="118">
        <f t="shared" si="32"/>
        <v>0</v>
      </c>
      <c r="X23" s="804">
        <v>0</v>
      </c>
      <c r="Y23" s="802">
        <f t="shared" si="33"/>
        <v>0</v>
      </c>
      <c r="Z23" s="805"/>
      <c r="AA23" s="118">
        <v>0</v>
      </c>
      <c r="AB23" s="805">
        <v>0</v>
      </c>
      <c r="AC23" s="802">
        <f t="shared" si="30"/>
        <v>0</v>
      </c>
      <c r="AD23" s="805"/>
      <c r="AE23" s="802">
        <f>L23+S23</f>
        <v>0</v>
      </c>
      <c r="AH23" s="806"/>
    </row>
    <row r="24" spans="1:35">
      <c r="A24" s="761" t="s">
        <v>53</v>
      </c>
      <c r="C24" s="118">
        <f>VLOOKUP(A24,'305 Inputs'!$E$7:$I$46,5,FALSE)+'305 Inputs'!I34</f>
        <v>65373451.310000002</v>
      </c>
      <c r="E24" s="118">
        <v>-2334034.970000003</v>
      </c>
      <c r="F24" s="118"/>
      <c r="G24" s="118">
        <v>2087053.5899999989</v>
      </c>
      <c r="H24" s="118">
        <v>508183.85</v>
      </c>
      <c r="I24" s="118"/>
      <c r="J24" s="118">
        <v>631471.79</v>
      </c>
      <c r="K24" s="118"/>
      <c r="L24" s="118">
        <v>-31323.989999999932</v>
      </c>
      <c r="M24" s="118"/>
      <c r="N24" s="118">
        <f>C24+E24+G24+H24+J24+L24+N29+N15</f>
        <v>67372766.999999985</v>
      </c>
      <c r="O24" s="118"/>
      <c r="P24" s="118">
        <v>67296121.140076503</v>
      </c>
      <c r="Q24" s="118"/>
      <c r="R24" s="801">
        <f t="shared" ref="R24:R30" si="35">ROUND(P24/N24*100,3)-100</f>
        <v>-0.11400000000000432</v>
      </c>
      <c r="S24" s="802">
        <f t="shared" si="28"/>
        <v>-76645.859923481941</v>
      </c>
      <c r="T24" s="797">
        <f t="shared" si="29"/>
        <v>0</v>
      </c>
      <c r="U24" s="118">
        <f>'Exhibit No.__(RMM-11) p1-8'!F691-Temperature!G110*1000</f>
        <v>67296122.129999995</v>
      </c>
      <c r="V24" s="118">
        <v>67296121.140076503</v>
      </c>
      <c r="W24" s="118">
        <f>U24-V24+Temperature!G110*1000-Temperature!C110*1000*Temperature!E109-Temperature!D110*1000*Temperature!F109</f>
        <v>0.98764938625390641</v>
      </c>
      <c r="X24" s="804">
        <f t="shared" ref="X24:X30" si="36">((U24-N24)/N24)*100</f>
        <v>-0.11376239007667575</v>
      </c>
      <c r="Y24" s="802">
        <f t="shared" si="33"/>
        <v>2.2741058201063424E-3</v>
      </c>
      <c r="Z24" s="805"/>
      <c r="AA24" s="118" t="e">
        <f>#REF!</f>
        <v>#REF!</v>
      </c>
      <c r="AB24" s="805" t="e">
        <f t="shared" ref="AB24:AB30" si="37">((AA24-U24)/U24)*100</f>
        <v>#REF!</v>
      </c>
      <c r="AC24" s="802" t="e">
        <f t="shared" si="30"/>
        <v>#REF!</v>
      </c>
      <c r="AD24" s="805"/>
      <c r="AE24" s="802">
        <f t="shared" si="31"/>
        <v>-107969.84764937605</v>
      </c>
      <c r="AG24" s="809"/>
      <c r="AH24" s="806"/>
    </row>
    <row r="25" spans="1:35">
      <c r="A25" s="761" t="s">
        <v>54</v>
      </c>
      <c r="C25" s="118">
        <f>VLOOKUP(A25,'305 Inputs'!$E$7:$I$46,5,FALSE)+'305 Inputs'!I45</f>
        <v>14223219.33</v>
      </c>
      <c r="E25" s="118">
        <v>-448241.34000000008</v>
      </c>
      <c r="F25" s="118"/>
      <c r="G25" s="118">
        <v>424479.99</v>
      </c>
      <c r="H25" s="118">
        <v>0</v>
      </c>
      <c r="I25" s="118"/>
      <c r="J25" s="118">
        <v>117308.49</v>
      </c>
      <c r="K25" s="118"/>
      <c r="L25" s="118">
        <v>10005.799999999996</v>
      </c>
      <c r="M25" s="118"/>
      <c r="N25" s="118">
        <f t="shared" ref="N25:N29" si="38">C25+E25+G25+H25+J25+L25</f>
        <v>14326772.270000001</v>
      </c>
      <c r="O25" s="118"/>
      <c r="P25" s="118">
        <v>14318938.579627631</v>
      </c>
      <c r="Q25" s="118"/>
      <c r="R25" s="801">
        <f t="shared" si="35"/>
        <v>-5.5000000000006821E-2</v>
      </c>
      <c r="S25" s="802">
        <f t="shared" si="28"/>
        <v>-7833.6903723701835</v>
      </c>
      <c r="T25" s="797">
        <f t="shared" si="29"/>
        <v>0</v>
      </c>
      <c r="U25" s="118">
        <f>'Exhibit No.__(RMM-11) p1-8'!F1080-(Temperature!D127+Temperature!H127)*1000</f>
        <v>14318939.710000001</v>
      </c>
      <c r="V25" s="118">
        <v>14318938.579627631</v>
      </c>
      <c r="W25" s="118">
        <f>U25-V25+Temperature!D127*1000+Temperature!H127*1000-Temperature!B127*1000*Temperature!C126-Temperature!F127*1000*Temperature!G126</f>
        <v>1.1303616598379449</v>
      </c>
      <c r="X25" s="804">
        <f t="shared" si="36"/>
        <v>-5.467079292103888E-2</v>
      </c>
      <c r="Y25" s="802">
        <f t="shared" si="33"/>
        <v>1.0709823982324451E-5</v>
      </c>
      <c r="Z25" s="805"/>
      <c r="AA25" s="118">
        <v>7698008</v>
      </c>
      <c r="AB25" s="805">
        <f t="shared" si="37"/>
        <v>-46.23898028829678</v>
      </c>
      <c r="AC25" s="802">
        <f t="shared" si="30"/>
        <v>-6620931.7100000009</v>
      </c>
      <c r="AD25" s="805"/>
      <c r="AE25" s="802">
        <f t="shared" si="31"/>
        <v>2172.1096383396361</v>
      </c>
      <c r="AH25" s="806"/>
    </row>
    <row r="26" spans="1:35">
      <c r="A26" s="761" t="s">
        <v>55</v>
      </c>
      <c r="C26" s="118">
        <f>VLOOKUP(A26,'305 Inputs'!$E$7:$I$46,5,FALSE)+'305 Inputs'!I36</f>
        <v>291149.03000000003</v>
      </c>
      <c r="E26" s="118">
        <v>-5570.3500000001168</v>
      </c>
      <c r="F26" s="118"/>
      <c r="G26" s="118">
        <v>3399.6100000000774</v>
      </c>
      <c r="H26" s="118">
        <v>0</v>
      </c>
      <c r="I26" s="118"/>
      <c r="J26" s="118">
        <v>2664.8200000000516</v>
      </c>
      <c r="K26" s="118"/>
      <c r="L26" s="118">
        <v>355.59999999999997</v>
      </c>
      <c r="M26" s="118"/>
      <c r="N26" s="118">
        <f t="shared" si="38"/>
        <v>291998.71000000008</v>
      </c>
      <c r="O26" s="118"/>
      <c r="P26" s="118">
        <v>292183.04878389242</v>
      </c>
      <c r="Q26" s="118"/>
      <c r="R26" s="801">
        <f t="shared" si="35"/>
        <v>6.3000000000002387E-2</v>
      </c>
      <c r="S26" s="802">
        <f t="shared" si="28"/>
        <v>184.33878389233723</v>
      </c>
      <c r="T26" s="797">
        <f t="shared" si="29"/>
        <v>0</v>
      </c>
      <c r="U26" s="118">
        <f>'Exhibit No.__(RMM-11) p1-8'!F64</f>
        <v>292183.04878387944</v>
      </c>
      <c r="V26" s="118">
        <v>292183.04878389242</v>
      </c>
      <c r="W26" s="118">
        <f>U26-V26</f>
        <v>-1.2980308383703232E-8</v>
      </c>
      <c r="X26" s="804">
        <f t="shared" si="36"/>
        <v>6.3129999402859308E-2</v>
      </c>
      <c r="Y26" s="802">
        <f t="shared" si="33"/>
        <v>0</v>
      </c>
      <c r="Z26" s="805"/>
      <c r="AA26" s="118">
        <v>296573</v>
      </c>
      <c r="AB26" s="805">
        <f t="shared" si="37"/>
        <v>1.502466085692638</v>
      </c>
      <c r="AC26" s="802">
        <f t="shared" si="30"/>
        <v>4389.9512161205639</v>
      </c>
      <c r="AD26" s="805"/>
      <c r="AE26" s="802">
        <f>L26+S26+Y26</f>
        <v>539.93878389233714</v>
      </c>
      <c r="AH26" s="806"/>
    </row>
    <row r="27" spans="1:35">
      <c r="A27" s="761" t="s">
        <v>56</v>
      </c>
      <c r="C27" s="118">
        <f>VLOOKUP(A27,'305 Inputs'!$E$7:$I$46,5,FALSE)</f>
        <v>26057.85</v>
      </c>
      <c r="E27" s="118">
        <v>-911.47</v>
      </c>
      <c r="F27" s="118"/>
      <c r="G27" s="118">
        <v>517.66999999999996</v>
      </c>
      <c r="H27" s="118">
        <v>0</v>
      </c>
      <c r="I27" s="118"/>
      <c r="J27" s="118">
        <v>373.83</v>
      </c>
      <c r="K27" s="118"/>
      <c r="L27" s="118">
        <v>73.14</v>
      </c>
      <c r="M27" s="118"/>
      <c r="N27" s="118">
        <f t="shared" si="38"/>
        <v>26111.019999999997</v>
      </c>
      <c r="O27" s="118"/>
      <c r="P27" s="118">
        <v>26083.94384</v>
      </c>
      <c r="Q27" s="118"/>
      <c r="R27" s="801">
        <f t="shared" si="35"/>
        <v>-0.1039999999999992</v>
      </c>
      <c r="S27" s="802">
        <f>P27-N27</f>
        <v>-27.076159999996889</v>
      </c>
      <c r="T27" s="797">
        <f t="shared" si="29"/>
        <v>0</v>
      </c>
      <c r="U27" s="118">
        <f>'Exhibit No.__(RMM-11) p1-8'!F1253</f>
        <v>26084</v>
      </c>
      <c r="V27" s="118">
        <v>26083.94384</v>
      </c>
      <c r="W27" s="118">
        <f t="shared" si="32"/>
        <v>5.6160000000090804E-2</v>
      </c>
      <c r="X27" s="804">
        <f t="shared" si="36"/>
        <v>-0.10348121214719609</v>
      </c>
      <c r="Y27" s="802">
        <f t="shared" si="33"/>
        <v>0</v>
      </c>
      <c r="Z27" s="805"/>
      <c r="AA27" s="118">
        <v>18590</v>
      </c>
      <c r="AB27" s="805">
        <f t="shared" si="37"/>
        <v>-28.730256095690841</v>
      </c>
      <c r="AC27" s="802">
        <f t="shared" si="30"/>
        <v>-7494</v>
      </c>
      <c r="AD27" s="805"/>
      <c r="AE27" s="802">
        <f>L27+S27+Y27</f>
        <v>46.063840000003111</v>
      </c>
      <c r="AH27" s="806"/>
    </row>
    <row r="28" spans="1:35">
      <c r="A28" s="761" t="s">
        <v>211</v>
      </c>
      <c r="C28" s="118">
        <f>VLOOKUP(A28,'305 Inputs'!$E$7:$I$46,5,FALSE)+'305 Inputs'!I46</f>
        <v>340819.73000000004</v>
      </c>
      <c r="E28" s="118">
        <v>-11627.81</v>
      </c>
      <c r="F28" s="118"/>
      <c r="G28" s="118">
        <v>11701.11</v>
      </c>
      <c r="H28" s="118">
        <v>2882.44</v>
      </c>
      <c r="I28" s="118"/>
      <c r="J28" s="118">
        <v>3884.01</v>
      </c>
      <c r="K28" s="118"/>
      <c r="L28" s="118">
        <v>-26.530000000000086</v>
      </c>
      <c r="M28" s="118"/>
      <c r="N28" s="118">
        <f t="shared" si="38"/>
        <v>347632.95</v>
      </c>
      <c r="O28" s="118"/>
      <c r="P28" s="118">
        <v>347927.45283333317</v>
      </c>
      <c r="Q28" s="118"/>
      <c r="R28" s="801">
        <f t="shared" ref="R28" si="39">ROUND(P28/N28*100,3)-100</f>
        <v>8.4999999999993747E-2</v>
      </c>
      <c r="S28" s="802">
        <f t="shared" ref="S28" si="40">P28-N28</f>
        <v>294.50283333315747</v>
      </c>
      <c r="T28" s="797">
        <f t="shared" ref="T28" si="41">IF(ABS(R28)&lt;=0.5,0,IF(N28&gt;P28,(N28*0.995)-P28,(N28*1.005)-P28))</f>
        <v>0</v>
      </c>
      <c r="U28" s="118">
        <f>P28</f>
        <v>347927.45283333317</v>
      </c>
      <c r="V28" s="118">
        <v>347927.45283333317</v>
      </c>
      <c r="W28" s="118">
        <f t="shared" si="32"/>
        <v>0</v>
      </c>
      <c r="X28" s="804">
        <f t="shared" ref="X28" si="42">((U28-N28)/N28)*100</f>
        <v>8.4716605066682396E-2</v>
      </c>
      <c r="Y28" s="802">
        <f t="shared" si="33"/>
        <v>0</v>
      </c>
      <c r="Z28" s="805"/>
      <c r="AA28" s="118">
        <v>515</v>
      </c>
      <c r="AB28" s="805">
        <f t="shared" ref="AB28" si="43">((AA28-U28)/U28)*100</f>
        <v>-99.851980636823541</v>
      </c>
      <c r="AC28" s="802">
        <f t="shared" ref="AC28" si="44">AA28-U28</f>
        <v>-347412.45283333317</v>
      </c>
      <c r="AD28" s="805"/>
      <c r="AE28" s="802">
        <f>L28+S28+Y28</f>
        <v>267.97283333315738</v>
      </c>
    </row>
    <row r="29" spans="1:35">
      <c r="A29" s="761" t="s">
        <v>629</v>
      </c>
      <c r="C29" s="118">
        <f>VLOOKUP(A29,'305 Inputs'!$E$7:$I$46,5,FALSE)</f>
        <v>997488.24</v>
      </c>
      <c r="E29" s="118">
        <v>-33537.879999999997</v>
      </c>
      <c r="F29" s="118"/>
      <c r="G29" s="118">
        <v>33627.4</v>
      </c>
      <c r="H29" s="118">
        <v>8184.25</v>
      </c>
      <c r="I29" s="118"/>
      <c r="J29" s="118">
        <v>10332.61</v>
      </c>
      <c r="K29" s="118"/>
      <c r="L29" s="118">
        <v>0</v>
      </c>
      <c r="M29" s="118"/>
      <c r="N29" s="118">
        <f t="shared" si="38"/>
        <v>1016094.62</v>
      </c>
      <c r="O29" s="118"/>
      <c r="P29" s="118">
        <v>1013413.400558667</v>
      </c>
      <c r="Q29" s="118"/>
      <c r="R29" s="801">
        <f t="shared" si="35"/>
        <v>-0.26399999999999579</v>
      </c>
      <c r="S29" s="802">
        <f t="shared" si="28"/>
        <v>-2681.2194413329707</v>
      </c>
      <c r="T29" s="797">
        <f t="shared" si="29"/>
        <v>0</v>
      </c>
      <c r="U29" s="118">
        <f>V29</f>
        <v>1013413.400558667</v>
      </c>
      <c r="V29" s="118">
        <v>1013413.400558667</v>
      </c>
      <c r="W29" s="118">
        <f t="shared" si="32"/>
        <v>0</v>
      </c>
      <c r="X29" s="804">
        <f t="shared" si="36"/>
        <v>-0.26387497665650184</v>
      </c>
      <c r="Y29" s="802">
        <f t="shared" si="33"/>
        <v>0</v>
      </c>
      <c r="Z29" s="805"/>
      <c r="AA29" s="118">
        <v>515</v>
      </c>
      <c r="AB29" s="805">
        <f t="shared" si="37"/>
        <v>-99.949181646925524</v>
      </c>
      <c r="AC29" s="802">
        <f t="shared" si="30"/>
        <v>-1012898.400558667</v>
      </c>
      <c r="AD29" s="805"/>
      <c r="AE29" s="802">
        <f>L29+S29+Y29</f>
        <v>-2681.2194413329707</v>
      </c>
    </row>
    <row r="30" spans="1:35">
      <c r="A30" s="761" t="s">
        <v>267</v>
      </c>
      <c r="C30" s="118">
        <f>SUM(C20:C29)</f>
        <v>128560445.42</v>
      </c>
      <c r="E30" s="118">
        <f>SUM(E20:E29)</f>
        <v>-4518188.5500000408</v>
      </c>
      <c r="F30" s="118"/>
      <c r="G30" s="118">
        <f>SUM(G20:G29)</f>
        <v>3983488.4800000112</v>
      </c>
      <c r="H30" s="118">
        <f>SUM(H20:H29)</f>
        <v>866808.68999999599</v>
      </c>
      <c r="I30" s="118"/>
      <c r="J30" s="118">
        <f>SUM(J20:J29)</f>
        <v>1228283.6699999974</v>
      </c>
      <c r="K30" s="118"/>
      <c r="L30" s="118">
        <f>SUM(L20:L29)</f>
        <v>39487.940000000068</v>
      </c>
      <c r="M30" s="118"/>
      <c r="N30" s="118">
        <f>SUM(N20:N29)</f>
        <v>131645924.01999995</v>
      </c>
      <c r="O30" s="118"/>
      <c r="P30" s="118">
        <f>SUM(P20:P29)</f>
        <v>131530495.42992282</v>
      </c>
      <c r="Q30" s="118"/>
      <c r="R30" s="801">
        <f t="shared" si="35"/>
        <v>-8.7999999999993861E-2</v>
      </c>
      <c r="S30" s="802">
        <f t="shared" si="28"/>
        <v>-115428.59007713199</v>
      </c>
      <c r="T30" s="797">
        <f t="shared" si="29"/>
        <v>0</v>
      </c>
      <c r="U30" s="118">
        <f>SUM(U20:U29)</f>
        <v>131530497.69217588</v>
      </c>
      <c r="V30" s="118">
        <f t="shared" ref="V30:W30" si="45">SUM(V20:V29)</f>
        <v>131530495.42992282</v>
      </c>
      <c r="W30" s="118">
        <f t="shared" si="45"/>
        <v>2.2505855069466634</v>
      </c>
      <c r="X30" s="804">
        <f t="shared" si="36"/>
        <v>-8.767937836536073E-2</v>
      </c>
      <c r="Y30" s="802">
        <f t="shared" si="33"/>
        <v>1.1667553990264423E-2</v>
      </c>
      <c r="Z30" s="805"/>
      <c r="AA30" s="118" t="e">
        <f>SUM(AA20:AA29)</f>
        <v>#REF!</v>
      </c>
      <c r="AB30" s="805" t="e">
        <f t="shared" si="37"/>
        <v>#REF!</v>
      </c>
      <c r="AC30" s="802" t="e">
        <f t="shared" si="30"/>
        <v>#REF!</v>
      </c>
      <c r="AD30" s="805"/>
      <c r="AE30" s="802">
        <f>SUM(AE20:AE29)</f>
        <v>-75940.638409591207</v>
      </c>
      <c r="AG30" s="802" t="s">
        <v>31</v>
      </c>
    </row>
    <row r="31" spans="1:35">
      <c r="C31" s="118"/>
      <c r="E31" s="118"/>
      <c r="F31" s="118"/>
      <c r="G31" s="118"/>
      <c r="H31" s="118"/>
      <c r="I31" s="118"/>
      <c r="J31" s="118"/>
      <c r="K31" s="118"/>
      <c r="L31" s="118"/>
      <c r="M31" s="118"/>
      <c r="N31" s="118" t="s">
        <v>31</v>
      </c>
      <c r="O31" s="118"/>
      <c r="P31" s="118"/>
      <c r="Q31" s="118"/>
      <c r="X31" s="805"/>
      <c r="Y31" s="805"/>
      <c r="Z31" s="805"/>
      <c r="AB31" s="805"/>
      <c r="AC31" s="805"/>
      <c r="AD31" s="805"/>
      <c r="AE31" s="805"/>
      <c r="AG31" s="580" t="s">
        <v>31</v>
      </c>
    </row>
    <row r="32" spans="1:35">
      <c r="C32" s="118" t="s">
        <v>31</v>
      </c>
      <c r="E32" s="118"/>
      <c r="F32" s="118"/>
      <c r="G32" s="118"/>
      <c r="H32" s="118"/>
      <c r="I32" s="118"/>
      <c r="J32" s="118"/>
      <c r="K32" s="118"/>
      <c r="L32" s="118"/>
      <c r="M32" s="118"/>
      <c r="N32" s="118"/>
      <c r="O32" s="118"/>
      <c r="P32" s="118"/>
      <c r="Q32" s="118"/>
      <c r="S32" s="761"/>
      <c r="X32" s="805"/>
      <c r="Y32" s="805"/>
      <c r="Z32" s="805"/>
      <c r="AB32" s="805"/>
      <c r="AC32" s="805"/>
      <c r="AD32" s="805"/>
      <c r="AE32" s="805"/>
    </row>
    <row r="33" spans="1:34">
      <c r="A33" s="761" t="s">
        <v>268</v>
      </c>
      <c r="C33" s="118"/>
      <c r="E33" s="118"/>
      <c r="F33" s="118"/>
      <c r="G33" s="118"/>
      <c r="H33" s="118"/>
      <c r="I33" s="118"/>
      <c r="J33" s="118"/>
      <c r="K33" s="118"/>
      <c r="L33" s="118"/>
      <c r="M33" s="118"/>
      <c r="N33" s="118"/>
      <c r="O33" s="118"/>
      <c r="P33" s="118"/>
      <c r="Q33" s="118"/>
      <c r="S33" s="761"/>
      <c r="X33" s="805"/>
      <c r="Y33" s="805"/>
      <c r="Z33" s="805"/>
      <c r="AB33" s="805"/>
      <c r="AC33" s="805"/>
      <c r="AD33" s="805"/>
      <c r="AE33" s="805"/>
    </row>
    <row r="34" spans="1:34">
      <c r="A34" s="761" t="s">
        <v>51</v>
      </c>
      <c r="C34" s="118">
        <f>VLOOKUP(A34,'305 Inputs'!$E$53:$I$77,5,FALSE)+'305 Inputs'!I70+'305 Inputs'!I69</f>
        <v>1508949.5999999999</v>
      </c>
      <c r="E34" s="118">
        <v>-52720.120000000097</v>
      </c>
      <c r="F34" s="118"/>
      <c r="G34" s="118">
        <v>44726.030000000115</v>
      </c>
      <c r="H34" s="118">
        <v>10663.3</v>
      </c>
      <c r="I34" s="118"/>
      <c r="J34" s="118">
        <v>14380.609999999999</v>
      </c>
      <c r="K34" s="118"/>
      <c r="L34" s="118">
        <v>4683.0599999999995</v>
      </c>
      <c r="M34" s="118"/>
      <c r="N34" s="118">
        <f t="shared" ref="N34:N40" si="46">C34+E34+G34+H34+J34+L34</f>
        <v>1530682.48</v>
      </c>
      <c r="O34" s="118"/>
      <c r="P34" s="118">
        <v>1529638.8153333256</v>
      </c>
      <c r="Q34" s="118"/>
      <c r="R34" s="801">
        <f t="shared" ref="R34:R43" si="47">ROUND(P34/N34*100,3)-100</f>
        <v>-6.799999999999784E-2</v>
      </c>
      <c r="S34" s="802">
        <f t="shared" ref="S34:S42" si="48">P34-N34</f>
        <v>-1043.6646666743327</v>
      </c>
      <c r="T34" s="797">
        <f t="shared" ref="T34:T43" si="49">IF(ABS(R34)&lt;=0.5,0,IF(N34&gt;P34,(N34*0.995)-P34,(N34*1.005)-P34))</f>
        <v>0</v>
      </c>
      <c r="U34" s="118">
        <f>'Exhibit No.__(RMM-11) p1-8'!F359</f>
        <v>1529638</v>
      </c>
      <c r="V34" s="118">
        <v>1529638.8153333256</v>
      </c>
      <c r="W34" s="118">
        <f>U34-V34</f>
        <v>-0.81533332564868033</v>
      </c>
      <c r="X34" s="804">
        <f t="shared" ref="X34:X43" si="50">((U34-N34)/N34)*100</f>
        <v>-6.8236228848714692E-2</v>
      </c>
      <c r="Y34" s="802">
        <f t="shared" ref="Y34:Y43" si="51">U34-P34-W34</f>
        <v>0</v>
      </c>
      <c r="Z34" s="805"/>
      <c r="AA34" s="118">
        <v>1418240</v>
      </c>
      <c r="AB34" s="805">
        <f t="shared" ref="AB34:AB43" si="52">((AA34-U34)/U34)*100</f>
        <v>-7.2826381143773888</v>
      </c>
      <c r="AC34" s="802">
        <f t="shared" ref="AC34:AC43" si="53">AA34-U34</f>
        <v>-111398</v>
      </c>
      <c r="AD34" s="805"/>
      <c r="AE34" s="802">
        <f t="shared" ref="AE34:AE41" si="54">L34+S34+Y34</f>
        <v>3639.3953333256668</v>
      </c>
      <c r="AF34" s="796" t="s">
        <v>31</v>
      </c>
      <c r="AG34" s="417"/>
      <c r="AH34" s="806"/>
    </row>
    <row r="35" spans="1:34">
      <c r="A35" s="761" t="s">
        <v>52</v>
      </c>
      <c r="C35" s="118">
        <f>VLOOKUP(A35,'305 Inputs'!$E$53:$I$77,5,FALSE)</f>
        <v>8734.49</v>
      </c>
      <c r="E35" s="118">
        <v>-108.53</v>
      </c>
      <c r="F35" s="118"/>
      <c r="G35" s="118">
        <v>93.3</v>
      </c>
      <c r="H35" s="118">
        <v>23.89</v>
      </c>
      <c r="I35" s="118"/>
      <c r="J35" s="118">
        <v>31.02</v>
      </c>
      <c r="K35" s="118"/>
      <c r="L35" s="118">
        <v>0</v>
      </c>
      <c r="M35" s="118"/>
      <c r="N35" s="118">
        <f t="shared" si="46"/>
        <v>8774.1699999999983</v>
      </c>
      <c r="O35" s="118"/>
      <c r="P35" s="118">
        <v>8778.5193600000002</v>
      </c>
      <c r="Q35" s="118"/>
      <c r="R35" s="801">
        <f t="shared" si="47"/>
        <v>4.9999999999997158E-2</v>
      </c>
      <c r="S35" s="802">
        <f t="shared" si="48"/>
        <v>4.3493600000019796</v>
      </c>
      <c r="T35" s="797">
        <f t="shared" si="49"/>
        <v>0</v>
      </c>
      <c r="U35" s="118">
        <f>'Exhibit No.__(RMM-11) p1-8'!F464</f>
        <v>8779</v>
      </c>
      <c r="V35" s="118">
        <v>8778.5193600000002</v>
      </c>
      <c r="W35" s="118">
        <f t="shared" ref="W35:W42" si="55">U35-V35</f>
        <v>0.48063999999976659</v>
      </c>
      <c r="X35" s="804">
        <f t="shared" si="50"/>
        <v>5.504794185662857E-2</v>
      </c>
      <c r="Y35" s="802">
        <f t="shared" si="51"/>
        <v>0</v>
      </c>
      <c r="Z35" s="805"/>
      <c r="AA35" s="118">
        <v>6139</v>
      </c>
      <c r="AB35" s="805">
        <f t="shared" si="52"/>
        <v>-30.071762159699283</v>
      </c>
      <c r="AC35" s="802">
        <f t="shared" si="53"/>
        <v>-2640</v>
      </c>
      <c r="AD35" s="805"/>
      <c r="AE35" s="802">
        <f t="shared" si="54"/>
        <v>4.3493600000019796</v>
      </c>
      <c r="AH35" s="806"/>
    </row>
    <row r="36" spans="1:34">
      <c r="A36" s="761" t="s">
        <v>288</v>
      </c>
      <c r="C36" s="118">
        <f>VLOOKUP(A36,'305 Inputs'!$E$53:$I$77,5,FALSE)</f>
        <v>1485.18</v>
      </c>
      <c r="E36" s="118">
        <v>-14.84</v>
      </c>
      <c r="F36" s="118"/>
      <c r="G36" s="118">
        <v>4.46</v>
      </c>
      <c r="H36" s="118">
        <v>1.79</v>
      </c>
      <c r="I36" s="118"/>
      <c r="J36" s="118">
        <v>1.9</v>
      </c>
      <c r="K36" s="118"/>
      <c r="L36" s="118">
        <v>0</v>
      </c>
      <c r="M36" s="118"/>
      <c r="N36" s="118">
        <f t="shared" si="46"/>
        <v>1478.4900000000002</v>
      </c>
      <c r="O36" s="118"/>
      <c r="P36" s="118">
        <v>1478.4802199999999</v>
      </c>
      <c r="Q36" s="118"/>
      <c r="R36" s="801">
        <f t="shared" si="47"/>
        <v>-1.0000000000047748E-3</v>
      </c>
      <c r="S36" s="802">
        <f t="shared" si="48"/>
        <v>-9.780000000318978E-3</v>
      </c>
      <c r="T36" s="797">
        <f t="shared" si="49"/>
        <v>0</v>
      </c>
      <c r="U36" s="118">
        <f>'Exhibit No.__(RMM-11) p1-8'!F570</f>
        <v>1479</v>
      </c>
      <c r="V36" s="118">
        <v>1478.4802199999999</v>
      </c>
      <c r="W36" s="118">
        <f t="shared" si="55"/>
        <v>0.51978000000008251</v>
      </c>
      <c r="X36" s="804">
        <f t="shared" si="50"/>
        <v>3.4494653328718046E-2</v>
      </c>
      <c r="Y36" s="802">
        <f t="shared" si="51"/>
        <v>0</v>
      </c>
      <c r="Z36" s="805"/>
      <c r="AA36" s="118">
        <v>1696</v>
      </c>
      <c r="AB36" s="805">
        <f t="shared" si="52"/>
        <v>14.672075726842463</v>
      </c>
      <c r="AC36" s="802">
        <f t="shared" si="53"/>
        <v>217</v>
      </c>
      <c r="AD36" s="805"/>
      <c r="AE36" s="802">
        <f t="shared" si="54"/>
        <v>-9.780000000318978E-3</v>
      </c>
      <c r="AH36" s="806"/>
    </row>
    <row r="37" spans="1:34">
      <c r="A37" s="761" t="s">
        <v>53</v>
      </c>
      <c r="C37" s="118">
        <f>VLOOKUP(A37,'305 Inputs'!$E$53:$I$77,5,FALSE)+'305 Inputs'!I74</f>
        <v>8296031.1699999999</v>
      </c>
      <c r="E37" s="118">
        <v>-285618.44</v>
      </c>
      <c r="F37" s="118"/>
      <c r="G37" s="118">
        <v>255170.64</v>
      </c>
      <c r="H37" s="118">
        <v>65064.259999999995</v>
      </c>
      <c r="I37" s="118"/>
      <c r="J37" s="118">
        <v>79391.679999999993</v>
      </c>
      <c r="K37" s="118"/>
      <c r="L37" s="118">
        <v>53026.03</v>
      </c>
      <c r="M37" s="118"/>
      <c r="N37" s="118">
        <f t="shared" si="46"/>
        <v>8463065.339999998</v>
      </c>
      <c r="O37" s="118"/>
      <c r="P37" s="118">
        <v>8459069.9150800034</v>
      </c>
      <c r="Q37" s="118"/>
      <c r="R37" s="801">
        <f t="shared" si="47"/>
        <v>-4.6999999999997044E-2</v>
      </c>
      <c r="S37" s="802">
        <f>P37-N37</f>
        <v>-3995.424919994548</v>
      </c>
      <c r="T37" s="797">
        <f t="shared" si="49"/>
        <v>0</v>
      </c>
      <c r="U37" s="118">
        <f>'Exhibit No.__(RMM-11) p1-8'!F729</f>
        <v>8459082</v>
      </c>
      <c r="V37" s="118">
        <v>8459069.9150800034</v>
      </c>
      <c r="W37" s="118">
        <f t="shared" si="55"/>
        <v>12.08491999655962</v>
      </c>
      <c r="X37" s="804">
        <f t="shared" si="50"/>
        <v>-4.7067343095781762E-2</v>
      </c>
      <c r="Y37" s="802">
        <f t="shared" si="51"/>
        <v>0</v>
      </c>
      <c r="Z37" s="805"/>
      <c r="AA37" s="118">
        <v>8131326</v>
      </c>
      <c r="AB37" s="805">
        <f t="shared" si="52"/>
        <v>-3.874604833006702</v>
      </c>
      <c r="AC37" s="802">
        <f t="shared" si="53"/>
        <v>-327756</v>
      </c>
      <c r="AD37" s="805"/>
      <c r="AE37" s="802">
        <f t="shared" si="54"/>
        <v>49030.605080005451</v>
      </c>
      <c r="AH37" s="806"/>
    </row>
    <row r="38" spans="1:34">
      <c r="A38" s="761" t="s">
        <v>158</v>
      </c>
      <c r="C38" s="118">
        <f>VLOOKUP(A38,'305 Inputs'!$E$53:$I$77,5,FALSE)</f>
        <v>380222.11</v>
      </c>
      <c r="E38" s="118">
        <v>-6088.2</v>
      </c>
      <c r="F38" s="118"/>
      <c r="G38" s="118">
        <v>6770.9199999999992</v>
      </c>
      <c r="H38" s="118">
        <v>0</v>
      </c>
      <c r="I38" s="118"/>
      <c r="J38" s="118">
        <v>1771.56</v>
      </c>
      <c r="K38" s="118"/>
      <c r="L38" s="118">
        <v>0</v>
      </c>
      <c r="M38" s="118"/>
      <c r="N38" s="118">
        <f t="shared" si="46"/>
        <v>382676.38999999996</v>
      </c>
      <c r="O38" s="118"/>
      <c r="P38" s="118">
        <v>382689.55</v>
      </c>
      <c r="Q38" s="118"/>
      <c r="R38" s="801">
        <f>ROUND(P38/N38*100,3)-100</f>
        <v>3.0000000000001137E-3</v>
      </c>
      <c r="S38" s="802">
        <f t="shared" si="48"/>
        <v>13.160000000032596</v>
      </c>
      <c r="T38" s="797">
        <f t="shared" si="49"/>
        <v>0</v>
      </c>
      <c r="U38" s="118">
        <f>'Exhibit No.__(RMM-11) p1-8'!F911</f>
        <v>382689</v>
      </c>
      <c r="V38" s="118">
        <v>382689.55</v>
      </c>
      <c r="W38" s="118">
        <f t="shared" si="55"/>
        <v>-0.54999999998835847</v>
      </c>
      <c r="X38" s="804">
        <f t="shared" si="50"/>
        <v>3.2952124378627695E-3</v>
      </c>
      <c r="Y38" s="802">
        <f t="shared" si="51"/>
        <v>0</v>
      </c>
      <c r="Z38" s="805"/>
      <c r="AA38" s="118">
        <v>858176</v>
      </c>
      <c r="AB38" s="805">
        <f t="shared" si="52"/>
        <v>124.24893320685987</v>
      </c>
      <c r="AC38" s="802">
        <f t="shared" si="53"/>
        <v>475487</v>
      </c>
      <c r="AD38" s="805"/>
      <c r="AE38" s="802">
        <f t="shared" si="54"/>
        <v>13.160000000032596</v>
      </c>
      <c r="AH38" s="806"/>
    </row>
    <row r="39" spans="1:34">
      <c r="A39" s="761" t="s">
        <v>54</v>
      </c>
      <c r="C39" s="118">
        <f>VLOOKUP(A39,'305 Inputs'!$E$53:$I$77,5,FALSE)-C40</f>
        <v>14588579.530000001</v>
      </c>
      <c r="E39" s="118">
        <v>-464644.04</v>
      </c>
      <c r="F39" s="118"/>
      <c r="G39" s="118">
        <v>457985.67</v>
      </c>
      <c r="H39" s="118">
        <v>0</v>
      </c>
      <c r="I39" s="118"/>
      <c r="J39" s="118">
        <v>130238.06999999999</v>
      </c>
      <c r="K39" s="118"/>
      <c r="L39" s="118">
        <v>-81707.75999999998</v>
      </c>
      <c r="M39" s="118"/>
      <c r="N39" s="118">
        <f t="shared" si="46"/>
        <v>14630451.470000003</v>
      </c>
      <c r="O39" s="118"/>
      <c r="P39" s="118">
        <v>14651129.1755758</v>
      </c>
      <c r="Q39" s="118"/>
      <c r="R39" s="801">
        <f>ROUND(P39/N39*100,3)-100</f>
        <v>0.14100000000000534</v>
      </c>
      <c r="S39" s="802">
        <f>P39-N39</f>
        <v>20677.705575797707</v>
      </c>
      <c r="T39" s="797">
        <f>IF(ABS(R39)&lt;=0.5,0,IF(N39&gt;P39,(N39*0.995)-P39,(N39*1.005)-P39))</f>
        <v>0</v>
      </c>
      <c r="U39" s="118">
        <f>'Exhibit No.__(RMM-11) p1-8'!F1099</f>
        <v>14651129</v>
      </c>
      <c r="V39" s="118">
        <v>14651129.1755758</v>
      </c>
      <c r="W39" s="118">
        <f>U39-V39</f>
        <v>-0.17557580024003983</v>
      </c>
      <c r="X39" s="804">
        <f>((U39-N39)/N39)*100</f>
        <v>0.14133213894593138</v>
      </c>
      <c r="Y39" s="802">
        <f t="shared" si="51"/>
        <v>0</v>
      </c>
      <c r="Z39" s="805"/>
      <c r="AA39" s="118">
        <v>-225839</v>
      </c>
      <c r="AB39" s="805">
        <f>((AA39-U39)/U39)*100</f>
        <v>-101.54144434875974</v>
      </c>
      <c r="AC39" s="802">
        <f>AA39-U39</f>
        <v>-14876968</v>
      </c>
      <c r="AD39" s="805"/>
      <c r="AE39" s="802">
        <f t="shared" si="54"/>
        <v>-61030.054424202273</v>
      </c>
      <c r="AH39" s="806"/>
    </row>
    <row r="40" spans="1:34">
      <c r="A40" s="761" t="s">
        <v>569</v>
      </c>
      <c r="C40" s="118">
        <v>24703958.579999998</v>
      </c>
      <c r="E40" s="118">
        <v>-944101.62</v>
      </c>
      <c r="F40" s="118"/>
      <c r="G40" s="118">
        <v>944950.5</v>
      </c>
      <c r="H40" s="118">
        <v>0</v>
      </c>
      <c r="I40" s="118"/>
      <c r="J40" s="118">
        <v>285927.12</v>
      </c>
      <c r="K40" s="118"/>
      <c r="L40" s="118">
        <v>0</v>
      </c>
      <c r="M40" s="118"/>
      <c r="N40" s="118">
        <f t="shared" si="46"/>
        <v>24990734.579999998</v>
      </c>
      <c r="O40" s="118"/>
      <c r="P40" s="118">
        <v>24979146.539999999</v>
      </c>
      <c r="Q40" s="118"/>
      <c r="R40" s="801">
        <f t="shared" si="47"/>
        <v>-4.600000000000648E-2</v>
      </c>
      <c r="S40" s="802">
        <f t="shared" si="48"/>
        <v>-11588.039999999106</v>
      </c>
      <c r="T40" s="797">
        <f t="shared" si="49"/>
        <v>0</v>
      </c>
      <c r="U40" s="118">
        <f>'Exhibit No.__(RMM-11) p1-8'!F1118</f>
        <v>24979146</v>
      </c>
      <c r="V40" s="118">
        <v>24979146.539999999</v>
      </c>
      <c r="W40" s="118">
        <f t="shared" si="55"/>
        <v>-0.53999999910593033</v>
      </c>
      <c r="X40" s="804">
        <f t="shared" si="50"/>
        <v>-4.6371506059179682E-2</v>
      </c>
      <c r="Y40" s="802">
        <f t="shared" si="51"/>
        <v>0</v>
      </c>
      <c r="Z40" s="805"/>
      <c r="AA40" s="118">
        <v>29509698</v>
      </c>
      <c r="AB40" s="805">
        <f t="shared" si="52"/>
        <v>18.137337441400117</v>
      </c>
      <c r="AC40" s="802">
        <f t="shared" si="53"/>
        <v>4530552</v>
      </c>
      <c r="AD40" s="805"/>
      <c r="AE40" s="802">
        <f t="shared" si="54"/>
        <v>-11588.039999999106</v>
      </c>
      <c r="AH40" s="806"/>
    </row>
    <row r="41" spans="1:34">
      <c r="A41" s="761" t="s">
        <v>60</v>
      </c>
      <c r="B41" s="580" t="s">
        <v>31</v>
      </c>
      <c r="C41" s="118">
        <v>0</v>
      </c>
      <c r="E41" s="118">
        <v>0</v>
      </c>
      <c r="F41" s="118"/>
      <c r="G41" s="118">
        <v>0</v>
      </c>
      <c r="H41" s="118">
        <v>0</v>
      </c>
      <c r="I41" s="118"/>
      <c r="J41" s="118">
        <v>0</v>
      </c>
      <c r="K41" s="118"/>
      <c r="L41" s="118">
        <v>0</v>
      </c>
      <c r="M41" s="118"/>
      <c r="N41" s="118">
        <f>C41+E41+H41+J41+L41</f>
        <v>0</v>
      </c>
      <c r="O41" s="118"/>
      <c r="P41" s="118">
        <v>0</v>
      </c>
      <c r="Q41" s="118"/>
      <c r="R41" s="801">
        <v>0</v>
      </c>
      <c r="S41" s="802">
        <f t="shared" si="48"/>
        <v>0</v>
      </c>
      <c r="T41" s="797">
        <f>IF(ABS(R41)&lt;=0.5,0,IF(N41&gt;P41,(N41*0.995)-P41,(N41*1.005)-P41))</f>
        <v>0</v>
      </c>
      <c r="U41" s="118">
        <f>P41</f>
        <v>0</v>
      </c>
      <c r="V41" s="118">
        <v>0</v>
      </c>
      <c r="W41" s="118">
        <f t="shared" si="55"/>
        <v>0</v>
      </c>
      <c r="X41" s="804">
        <v>0</v>
      </c>
      <c r="Y41" s="802">
        <f t="shared" si="51"/>
        <v>0</v>
      </c>
      <c r="Z41" s="805"/>
      <c r="AA41" s="118">
        <v>2372611</v>
      </c>
      <c r="AB41" s="805" t="e">
        <f t="shared" si="52"/>
        <v>#DIV/0!</v>
      </c>
      <c r="AC41" s="802">
        <f t="shared" si="53"/>
        <v>2372611</v>
      </c>
      <c r="AD41" s="805"/>
      <c r="AE41" s="802">
        <f t="shared" si="54"/>
        <v>0</v>
      </c>
      <c r="AH41" s="806"/>
    </row>
    <row r="42" spans="1:34">
      <c r="A42" s="761" t="s">
        <v>55</v>
      </c>
      <c r="C42" s="118">
        <f>VLOOKUP(A42,'305 Inputs'!$E$53:$I$77,5,FALSE)+'305 Inputs'!I76</f>
        <v>17005.329999999998</v>
      </c>
      <c r="E42" s="118">
        <v>-350.67999999999978</v>
      </c>
      <c r="F42" s="118"/>
      <c r="G42" s="118">
        <v>217.88999999999976</v>
      </c>
      <c r="H42" s="118">
        <v>0</v>
      </c>
      <c r="I42" s="118"/>
      <c r="J42" s="118">
        <v>172.2699999999999</v>
      </c>
      <c r="K42" s="118"/>
      <c r="L42" s="118">
        <v>9.4699999999999989</v>
      </c>
      <c r="M42" s="118"/>
      <c r="N42" s="118">
        <f>C42+E42+G42+H42+J42+L42</f>
        <v>17054.28</v>
      </c>
      <c r="O42" s="118"/>
      <c r="P42" s="118">
        <v>17063.965574302892</v>
      </c>
      <c r="Q42" s="118"/>
      <c r="R42" s="801">
        <f t="shared" si="47"/>
        <v>5.700000000000216E-2</v>
      </c>
      <c r="S42" s="802">
        <f t="shared" si="48"/>
        <v>9.6855743028936558</v>
      </c>
      <c r="T42" s="797">
        <f t="shared" si="49"/>
        <v>0</v>
      </c>
      <c r="U42" s="118">
        <f>'Exhibit No.__(RMM-11) p1-8'!F82</f>
        <v>17063.96557430294</v>
      </c>
      <c r="V42" s="118">
        <v>17063.965574302892</v>
      </c>
      <c r="W42" s="118">
        <f t="shared" si="55"/>
        <v>4.7293724492192268E-11</v>
      </c>
      <c r="X42" s="804">
        <f t="shared" si="50"/>
        <v>5.6792630957982107E-2</v>
      </c>
      <c r="Y42" s="802">
        <f t="shared" si="51"/>
        <v>0</v>
      </c>
      <c r="Z42" s="805"/>
      <c r="AA42" s="118">
        <v>19177</v>
      </c>
      <c r="AB42" s="805">
        <f t="shared" si="52"/>
        <v>12.383020913257891</v>
      </c>
      <c r="AC42" s="802">
        <f t="shared" si="53"/>
        <v>2113.0344256970602</v>
      </c>
      <c r="AD42" s="805"/>
      <c r="AE42" s="802">
        <f>L42+S42+Y42</f>
        <v>19.155574302893655</v>
      </c>
      <c r="AH42" s="806"/>
    </row>
    <row r="43" spans="1:34">
      <c r="A43" s="761" t="s">
        <v>269</v>
      </c>
      <c r="C43" s="118">
        <f>SUM(C34:C42)</f>
        <v>49504965.989999995</v>
      </c>
      <c r="E43" s="118">
        <f>SUM(E34:E42)</f>
        <v>-1753646.47</v>
      </c>
      <c r="F43" s="118"/>
      <c r="G43" s="118">
        <f>SUM(G34:G42)</f>
        <v>1709919.41</v>
      </c>
      <c r="H43" s="118">
        <f>SUM(H34:H42)</f>
        <v>75753.239999999991</v>
      </c>
      <c r="I43" s="118"/>
      <c r="J43" s="118">
        <f>SUM(J34:J42)</f>
        <v>511914.23</v>
      </c>
      <c r="K43" s="118"/>
      <c r="L43" s="118">
        <f>SUM(L34:L42)</f>
        <v>-23989.199999999983</v>
      </c>
      <c r="M43" s="118"/>
      <c r="N43" s="118">
        <f>SUM(N34:N42)</f>
        <v>50024917.200000003</v>
      </c>
      <c r="O43" s="118"/>
      <c r="P43" s="118">
        <f>SUM(P34:P42)</f>
        <v>50028994.961143427</v>
      </c>
      <c r="Q43" s="118"/>
      <c r="R43" s="801">
        <f t="shared" si="47"/>
        <v>7.9999999999955662E-3</v>
      </c>
      <c r="S43" s="802">
        <f>SUM(S34:S42)</f>
        <v>4077.7611434326482</v>
      </c>
      <c r="T43" s="797">
        <f t="shared" si="49"/>
        <v>0</v>
      </c>
      <c r="U43" s="118">
        <f>SUM(U34:U42)</f>
        <v>50029005.965574302</v>
      </c>
      <c r="V43" s="118">
        <f t="shared" ref="V43:W43" si="56">SUM(V34:V42)</f>
        <v>50028994.961143427</v>
      </c>
      <c r="W43" s="118">
        <f t="shared" si="56"/>
        <v>11.004430871623754</v>
      </c>
      <c r="X43" s="804">
        <f t="shared" si="50"/>
        <v>8.1734579548665386E-3</v>
      </c>
      <c r="Y43" s="802">
        <f t="shared" si="51"/>
        <v>3.5583980206865817E-9</v>
      </c>
      <c r="Z43" s="805"/>
      <c r="AA43" s="118">
        <f>SUM(AA34:AA42)</f>
        <v>42091224</v>
      </c>
      <c r="AB43" s="805">
        <f t="shared" si="52"/>
        <v>-15.866359549570916</v>
      </c>
      <c r="AC43" s="802">
        <f t="shared" si="53"/>
        <v>-7937781.9655743018</v>
      </c>
      <c r="AD43" s="805"/>
      <c r="AE43" s="802">
        <f>SUM(AE34:AE42)</f>
        <v>-19911.438856567336</v>
      </c>
    </row>
    <row r="44" spans="1:34">
      <c r="C44" s="118"/>
      <c r="E44" s="118"/>
      <c r="F44" s="118"/>
      <c r="G44" s="118"/>
      <c r="H44" s="118"/>
      <c r="I44" s="118"/>
      <c r="J44" s="118"/>
      <c r="K44" s="118"/>
      <c r="L44" s="118"/>
      <c r="M44" s="118"/>
      <c r="N44" s="118"/>
      <c r="O44" s="118"/>
      <c r="P44" s="118"/>
      <c r="Q44" s="118"/>
      <c r="S44" s="115"/>
      <c r="X44" s="805"/>
      <c r="Y44" s="805"/>
      <c r="Z44" s="805"/>
      <c r="AB44" s="805"/>
      <c r="AC44" s="805"/>
      <c r="AD44" s="805"/>
      <c r="AE44" s="805"/>
    </row>
    <row r="45" spans="1:34">
      <c r="C45" s="118"/>
      <c r="E45" s="118"/>
      <c r="F45" s="118"/>
      <c r="G45" s="118"/>
      <c r="H45" s="118"/>
      <c r="I45" s="118"/>
      <c r="J45" s="118"/>
      <c r="K45" s="118"/>
      <c r="L45" s="118"/>
      <c r="M45" s="118"/>
      <c r="N45" s="118"/>
      <c r="O45" s="118"/>
      <c r="P45" s="118"/>
      <c r="Q45" s="118"/>
      <c r="S45" s="115"/>
      <c r="X45" s="805"/>
      <c r="Y45" s="805"/>
      <c r="Z45" s="805"/>
      <c r="AB45" s="805"/>
      <c r="AC45" s="805"/>
      <c r="AD45" s="805"/>
      <c r="AE45" s="805"/>
    </row>
    <row r="46" spans="1:34" ht="12.75" customHeight="1">
      <c r="A46" s="761" t="s">
        <v>270</v>
      </c>
      <c r="C46" s="118"/>
      <c r="E46" s="118"/>
      <c r="F46" s="118"/>
      <c r="G46" s="118"/>
      <c r="H46" s="118"/>
      <c r="I46" s="118"/>
      <c r="J46" s="118"/>
      <c r="K46" s="118"/>
      <c r="L46" s="118"/>
      <c r="M46" s="118"/>
      <c r="N46" s="118"/>
      <c r="O46" s="118"/>
      <c r="P46" s="118"/>
      <c r="Q46" s="118"/>
      <c r="S46" s="115"/>
      <c r="X46" s="805"/>
      <c r="Y46" s="805"/>
      <c r="Z46" s="805"/>
      <c r="AB46" s="805"/>
      <c r="AC46" s="805"/>
      <c r="AD46" s="805"/>
      <c r="AE46" s="805"/>
    </row>
    <row r="47" spans="1:34" ht="11.25" customHeight="1">
      <c r="A47" s="761" t="s">
        <v>58</v>
      </c>
      <c r="C47" s="118">
        <f>VLOOKUP(A47,'305 Inputs'!$E$83:$I$105,5,FALSE)+VLOOKUP("02NMT40135",'305 Inputs'!$E$83:$I$105,5,FALSE)</f>
        <v>9254537.9600000009</v>
      </c>
      <c r="E47" s="118">
        <v>-308252.72999999905</v>
      </c>
      <c r="F47" s="118"/>
      <c r="G47" s="118">
        <v>110744.87999999982</v>
      </c>
      <c r="H47" s="118">
        <v>-168542.57000000012</v>
      </c>
      <c r="I47" s="118"/>
      <c r="J47" s="118">
        <v>50122.27</v>
      </c>
      <c r="K47" s="118"/>
      <c r="L47" s="118">
        <v>-146826.68</v>
      </c>
      <c r="M47" s="118"/>
      <c r="N47" s="118">
        <f t="shared" ref="N47:N48" si="57">C47+E47+G47+H47+J47+L47</f>
        <v>8791783.1300000008</v>
      </c>
      <c r="O47" s="118"/>
      <c r="P47" s="118">
        <v>8784743.0643946081</v>
      </c>
      <c r="Q47" s="118"/>
      <c r="R47" s="801">
        <f>ROUND(P47/N47*100,3)-100</f>
        <v>-7.9999999999998295E-2</v>
      </c>
      <c r="S47" s="802">
        <f>P47-N47</f>
        <v>-7040.0656053926796</v>
      </c>
      <c r="T47" s="797">
        <f>IF(ABS(R47)&lt;=0.5,0,IF(N47&gt;P47,(N47*0.995)-P47,(N47*1.005)-P47))</f>
        <v>0</v>
      </c>
      <c r="U47" s="118">
        <f>'Exhibit No.__(RMM-11) p1-8'!F834-Temperature!D92*1000</f>
        <v>8784744.4299999997</v>
      </c>
      <c r="V47" s="118">
        <v>8784743.0643946081</v>
      </c>
      <c r="W47" s="118">
        <f>U47-V47+Temperature!D92*1000-Temperature!B92*1000*Temperature!C91</f>
        <v>1.3605657856096514</v>
      </c>
      <c r="X47" s="804">
        <f>((U47-N47)/N47)*100</f>
        <v>-8.0059982098319993E-2</v>
      </c>
      <c r="Y47" s="802">
        <f t="shared" ref="Y47:Y49" si="58">U47-P47-W47</f>
        <v>5.0396059523336589E-3</v>
      </c>
      <c r="Z47" s="805"/>
      <c r="AA47" s="118">
        <v>8839304</v>
      </c>
      <c r="AB47" s="805">
        <f>((AA47-U47)/U47)*100</f>
        <v>0.62107179593840844</v>
      </c>
      <c r="AC47" s="802">
        <f>AA47-U47</f>
        <v>54559.570000000298</v>
      </c>
      <c r="AD47" s="805"/>
      <c r="AE47" s="802">
        <f>L47+S47+Y47</f>
        <v>-153866.74056578672</v>
      </c>
      <c r="AH47" s="806"/>
    </row>
    <row r="48" spans="1:34">
      <c r="A48" s="761" t="s">
        <v>59</v>
      </c>
      <c r="C48" s="118">
        <f>VLOOKUP(A48,'305 Inputs'!$E$83:$I$105,5,FALSE)+VLOOKUP("02NMX40135",'305 Inputs'!$E$83:$I$105,5,FALSE)</f>
        <v>5499999.0899999999</v>
      </c>
      <c r="E48" s="118">
        <v>-188311.20999999926</v>
      </c>
      <c r="F48" s="118"/>
      <c r="G48" s="118">
        <v>73169.290000000008</v>
      </c>
      <c r="H48" s="118">
        <v>-90649.660000000105</v>
      </c>
      <c r="I48" s="118"/>
      <c r="J48" s="118">
        <v>34959.090000000091</v>
      </c>
      <c r="K48" s="118"/>
      <c r="L48" s="118">
        <v>54683.87999999999</v>
      </c>
      <c r="M48" s="118"/>
      <c r="N48" s="118">
        <f t="shared" si="57"/>
        <v>5383850.4800000004</v>
      </c>
      <c r="O48" s="118"/>
      <c r="P48" s="118">
        <v>5377897.1659901058</v>
      </c>
      <c r="Q48" s="118"/>
      <c r="R48" s="801">
        <f>ROUND(P48/N48*100,3)-100</f>
        <v>-0.11100000000000421</v>
      </c>
      <c r="S48" s="802">
        <f>P48-N48</f>
        <v>-5953.3140098946169</v>
      </c>
      <c r="T48" s="797">
        <f>IF(ABS(R48)&lt;=0.5,0,IF(N48&gt;P48,(N48*0.995)-P48,(N48*1.005)-P48))</f>
        <v>0</v>
      </c>
      <c r="U48" s="118">
        <f>'Exhibit No.__(RMM-11) p1-8'!F887</f>
        <v>5377896</v>
      </c>
      <c r="V48" s="118">
        <v>5377897.1659901058</v>
      </c>
      <c r="W48" s="118">
        <f>U48-V48</f>
        <v>-1.165990105830133</v>
      </c>
      <c r="X48" s="804">
        <f>((U48-N48)/N48)*100</f>
        <v>-0.11059891098610983</v>
      </c>
      <c r="Y48" s="802">
        <f t="shared" si="58"/>
        <v>0</v>
      </c>
      <c r="Z48" s="805"/>
      <c r="AA48" s="118">
        <v>1173033</v>
      </c>
      <c r="AB48" s="805">
        <f>((AA48-U48)/U48)*100</f>
        <v>-78.187882398618342</v>
      </c>
      <c r="AC48" s="802">
        <f>AA48-U48</f>
        <v>-4204863</v>
      </c>
      <c r="AD48" s="805"/>
      <c r="AE48" s="802">
        <f>L48+S48+Y48</f>
        <v>48730.565990105373</v>
      </c>
      <c r="AH48" s="806"/>
    </row>
    <row r="49" spans="1:34">
      <c r="A49" s="761" t="s">
        <v>271</v>
      </c>
      <c r="C49" s="118">
        <f>SUM(C47:C48)</f>
        <v>14754537.050000001</v>
      </c>
      <c r="E49" s="118">
        <f>SUM(E47:E48)</f>
        <v>-496563.93999999831</v>
      </c>
      <c r="F49" s="118"/>
      <c r="G49" s="118">
        <f>SUM(G47:G48)</f>
        <v>183914.16999999981</v>
      </c>
      <c r="H49" s="118">
        <f>SUM(H47:H48)</f>
        <v>-259192.23000000021</v>
      </c>
      <c r="I49" s="118"/>
      <c r="J49" s="118">
        <f>SUM(J47:J48)</f>
        <v>85081.360000000088</v>
      </c>
      <c r="K49" s="118"/>
      <c r="L49" s="118">
        <f>SUM(L47:L48)</f>
        <v>-92142.8</v>
      </c>
      <c r="M49" s="118"/>
      <c r="N49" s="118">
        <f>SUM(N47:N48)</f>
        <v>14175633.610000001</v>
      </c>
      <c r="O49" s="118"/>
      <c r="P49" s="118">
        <f>SUM(P47:P48)</f>
        <v>14162640.230384715</v>
      </c>
      <c r="Q49" s="118"/>
      <c r="R49" s="801">
        <f>ROUND(P49/N49*100,3)-100</f>
        <v>-9.1999999999998749E-2</v>
      </c>
      <c r="S49" s="802">
        <f>SUM(S47:S48)</f>
        <v>-12993.379615287296</v>
      </c>
      <c r="T49" s="797">
        <f>IF(ABS(R49)&lt;=0.5,0,IF(N49&gt;P49,(N49*0.995)-P49,(N49*1.005)-P49))</f>
        <v>0</v>
      </c>
      <c r="U49" s="118">
        <f>SUM(U47:U48)</f>
        <v>14162640.43</v>
      </c>
      <c r="V49" s="118">
        <f t="shared" ref="V49:W49" si="59">SUM(V47:V48)</f>
        <v>14162640.230384715</v>
      </c>
      <c r="W49" s="118">
        <f t="shared" si="59"/>
        <v>0.1945756797795184</v>
      </c>
      <c r="X49" s="804">
        <f>((U49-N49)/N49)*100</f>
        <v>-9.1658548446368615E-2</v>
      </c>
      <c r="Y49" s="802">
        <f t="shared" si="58"/>
        <v>5.0396050210110843E-3</v>
      </c>
      <c r="Z49" s="805"/>
      <c r="AA49" s="118">
        <f>SUM(AA47:AA48)</f>
        <v>10012337</v>
      </c>
      <c r="AB49" s="805">
        <f>((AA49-U49)/U49)*100</f>
        <v>-29.30458801459524</v>
      </c>
      <c r="AC49" s="802">
        <f>AA49-U49</f>
        <v>-4150303.4299999997</v>
      </c>
      <c r="AD49" s="805"/>
      <c r="AE49" s="802">
        <f>SUM(AE47:AE48)</f>
        <v>-105136.17457568135</v>
      </c>
    </row>
    <row r="50" spans="1:34">
      <c r="C50" s="118"/>
      <c r="E50" s="118"/>
      <c r="F50" s="118"/>
      <c r="G50" s="118"/>
      <c r="H50" s="118"/>
      <c r="I50" s="118"/>
      <c r="J50" s="118"/>
      <c r="K50" s="118"/>
      <c r="L50" s="118"/>
      <c r="M50" s="118"/>
      <c r="N50" s="118"/>
      <c r="O50" s="118"/>
      <c r="P50" s="118"/>
      <c r="Q50" s="118"/>
      <c r="S50" s="115"/>
      <c r="X50" s="805"/>
      <c r="Y50" s="805"/>
      <c r="Z50" s="805"/>
      <c r="AB50" s="805"/>
      <c r="AC50" s="805"/>
      <c r="AD50" s="805"/>
      <c r="AE50" s="805"/>
    </row>
    <row r="51" spans="1:34">
      <c r="C51" s="118"/>
      <c r="E51" s="118"/>
      <c r="F51" s="118"/>
      <c r="G51" s="118"/>
      <c r="H51" s="118"/>
      <c r="I51" s="118"/>
      <c r="J51" s="118"/>
      <c r="K51" s="118"/>
      <c r="L51" s="118"/>
      <c r="M51" s="118"/>
      <c r="N51" s="118"/>
      <c r="O51" s="118"/>
      <c r="P51" s="118"/>
      <c r="Q51" s="118"/>
      <c r="S51" s="115"/>
      <c r="X51" s="805"/>
      <c r="Y51" s="805"/>
      <c r="Z51" s="805"/>
      <c r="AB51" s="805"/>
      <c r="AC51" s="805"/>
      <c r="AD51" s="805"/>
      <c r="AE51" s="805"/>
    </row>
    <row r="52" spans="1:34">
      <c r="A52" s="761" t="s">
        <v>272</v>
      </c>
      <c r="C52" s="118"/>
      <c r="E52" s="118"/>
      <c r="F52" s="118"/>
      <c r="G52" s="118"/>
      <c r="H52" s="118"/>
      <c r="I52" s="118"/>
      <c r="J52" s="118"/>
      <c r="K52" s="118"/>
      <c r="L52" s="118"/>
      <c r="M52" s="118"/>
      <c r="N52" s="118"/>
      <c r="O52" s="118"/>
      <c r="P52" s="118"/>
      <c r="Q52" s="118"/>
      <c r="S52" s="115"/>
      <c r="X52" s="805"/>
      <c r="Y52" s="805"/>
      <c r="Z52" s="805"/>
      <c r="AB52" s="805"/>
      <c r="AC52" s="805"/>
      <c r="AD52" s="805"/>
      <c r="AE52" s="805"/>
    </row>
    <row r="53" spans="1:34">
      <c r="A53" s="761" t="s">
        <v>61</v>
      </c>
      <c r="C53" s="118">
        <f>VLOOKUP(A53,'305 Inputs'!$E$111:$I$120,5,FALSE)</f>
        <v>30476.03</v>
      </c>
      <c r="E53" s="118">
        <v>-415.51</v>
      </c>
      <c r="F53" s="118"/>
      <c r="G53" s="118">
        <v>277.94</v>
      </c>
      <c r="H53" s="118">
        <v>0</v>
      </c>
      <c r="I53" s="118"/>
      <c r="J53" s="118">
        <v>190.77</v>
      </c>
      <c r="K53" s="118"/>
      <c r="L53" s="118">
        <v>-90.85</v>
      </c>
      <c r="M53" s="118"/>
      <c r="N53" s="118">
        <f t="shared" ref="N53:N55" si="60">C53+E53+G53+H53+J53+L53</f>
        <v>30438.38</v>
      </c>
      <c r="O53" s="118"/>
      <c r="P53" s="118">
        <v>30415.1394805204</v>
      </c>
      <c r="Q53" s="118"/>
      <c r="R53" s="801">
        <f t="shared" ref="R53:R58" si="61">ROUND(P53/N53*100,3)-100</f>
        <v>-7.5999999999993406E-2</v>
      </c>
      <c r="S53" s="802">
        <f t="shared" ref="S53:S57" si="62">P53-N53</f>
        <v>-23.240519479601062</v>
      </c>
      <c r="T53" s="797">
        <f t="shared" ref="T53:T58" si="63">IF(ABS(R53)&lt;=0.5,0,IF(N53&gt;P53,(N53*0.995)-P53,(N53*1.005)-P53))</f>
        <v>0</v>
      </c>
      <c r="U53" s="118">
        <f>'Exhibit No.__(RMM-11) p1-8'!F1179</f>
        <v>30415.063065675098</v>
      </c>
      <c r="V53" s="118">
        <v>30415.1394805204</v>
      </c>
      <c r="W53" s="118">
        <f>U53-V53</f>
        <v>-7.6414845301769674E-2</v>
      </c>
      <c r="X53" s="804">
        <f t="shared" ref="X53:X58" si="64">((U53-N53)/N53)*100</f>
        <v>-7.6603729649550437E-2</v>
      </c>
      <c r="Y53" s="802">
        <f t="shared" ref="Y53:Y58" si="65">U53-P53-W53</f>
        <v>0</v>
      </c>
      <c r="Z53" s="805"/>
      <c r="AA53" s="118">
        <v>59948.32</v>
      </c>
      <c r="AB53" s="805">
        <f t="shared" ref="AB53:AB58" si="66">((AA53-U53)/U53)*100</f>
        <v>97.100758497701889</v>
      </c>
      <c r="AC53" s="802">
        <f t="shared" ref="AC53:AC58" si="67">AA53-U53</f>
        <v>29533.256934324902</v>
      </c>
      <c r="AD53" s="805"/>
      <c r="AE53" s="802">
        <f>L53+S53+Y53</f>
        <v>-114.09051947960106</v>
      </c>
      <c r="AH53" s="806"/>
    </row>
    <row r="54" spans="1:34">
      <c r="A54" s="761" t="s">
        <v>62</v>
      </c>
      <c r="C54" s="118">
        <f>VLOOKUP(A54,'305 Inputs'!$E$111:$I$120,5,FALSE)</f>
        <v>213592.21</v>
      </c>
      <c r="E54" s="118">
        <v>-8721.6899999999987</v>
      </c>
      <c r="F54" s="118"/>
      <c r="G54" s="118">
        <v>5148.1899999999978</v>
      </c>
      <c r="H54" s="118">
        <v>0</v>
      </c>
      <c r="I54" s="118"/>
      <c r="J54" s="118">
        <v>4403.63</v>
      </c>
      <c r="K54" s="118"/>
      <c r="L54" s="118">
        <v>12.960000000000036</v>
      </c>
      <c r="M54" s="118"/>
      <c r="N54" s="118">
        <f t="shared" si="60"/>
        <v>214435.3</v>
      </c>
      <c r="O54" s="118"/>
      <c r="P54" s="118">
        <v>215104.64471898516</v>
      </c>
      <c r="Q54" s="118"/>
      <c r="R54" s="801">
        <f t="shared" si="61"/>
        <v>0.31199999999999761</v>
      </c>
      <c r="S54" s="802">
        <f t="shared" si="62"/>
        <v>669.34471898517222</v>
      </c>
      <c r="T54" s="797">
        <f t="shared" si="63"/>
        <v>0</v>
      </c>
      <c r="U54" s="118">
        <f>'Exhibit No.__(RMM-11) p1-8'!F1224</f>
        <v>215073.97317584246</v>
      </c>
      <c r="V54" s="118">
        <v>215104.64471898516</v>
      </c>
      <c r="W54" s="118">
        <f t="shared" ref="W54:W57" si="68">U54-V54</f>
        <v>-30.671543142700102</v>
      </c>
      <c r="X54" s="804">
        <f t="shared" si="64"/>
        <v>0.2978395701838607</v>
      </c>
      <c r="Y54" s="802">
        <f t="shared" si="65"/>
        <v>0</v>
      </c>
      <c r="Z54" s="805"/>
      <c r="AA54" s="118">
        <v>213189.22</v>
      </c>
      <c r="AB54" s="805">
        <f t="shared" si="66"/>
        <v>-0.87632787362025566</v>
      </c>
      <c r="AC54" s="802">
        <f t="shared" si="67"/>
        <v>-1884.7531758424593</v>
      </c>
      <c r="AD54" s="805"/>
      <c r="AE54" s="802">
        <f>L54+S54+Y54</f>
        <v>682.30471898517226</v>
      </c>
      <c r="AH54" s="806"/>
    </row>
    <row r="55" spans="1:34">
      <c r="A55" s="761" t="s">
        <v>63</v>
      </c>
      <c r="C55" s="118">
        <f>VLOOKUP(A55,'305 Inputs'!$E$111:$I$120,5,FALSE)</f>
        <v>53026.42</v>
      </c>
      <c r="E55" s="118">
        <v>-2176.6799999999998</v>
      </c>
      <c r="F55" s="118"/>
      <c r="G55" s="118">
        <v>1376.4699999999998</v>
      </c>
      <c r="H55" s="118">
        <v>0</v>
      </c>
      <c r="I55" s="118"/>
      <c r="J55" s="118">
        <v>1119.7</v>
      </c>
      <c r="K55" s="118"/>
      <c r="L55" s="118">
        <v>-32.519999999999996</v>
      </c>
      <c r="M55" s="118"/>
      <c r="N55" s="118">
        <f t="shared" si="60"/>
        <v>53313.39</v>
      </c>
      <c r="O55" s="118"/>
      <c r="P55" s="118">
        <v>53248.070849999895</v>
      </c>
      <c r="Q55" s="118"/>
      <c r="R55" s="801">
        <f t="shared" si="61"/>
        <v>-0.12300000000000466</v>
      </c>
      <c r="S55" s="802">
        <f t="shared" si="62"/>
        <v>-65.319150000104855</v>
      </c>
      <c r="T55" s="797">
        <f t="shared" si="63"/>
        <v>0</v>
      </c>
      <c r="U55" s="118">
        <f>'Exhibit No.__(RMM-11) p1-8'!F1237</f>
        <v>53248</v>
      </c>
      <c r="V55" s="118">
        <v>53248.070849999895</v>
      </c>
      <c r="W55" s="118">
        <f t="shared" si="68"/>
        <v>-7.0849999894562643E-2</v>
      </c>
      <c r="X55" s="804">
        <f t="shared" si="64"/>
        <v>-0.12265211422496192</v>
      </c>
      <c r="Y55" s="802">
        <f t="shared" si="65"/>
        <v>0</v>
      </c>
      <c r="Z55" s="805"/>
      <c r="AA55" s="118">
        <v>62311</v>
      </c>
      <c r="AB55" s="805">
        <f t="shared" si="66"/>
        <v>17.020357572115387</v>
      </c>
      <c r="AC55" s="802">
        <f t="shared" si="67"/>
        <v>9063</v>
      </c>
      <c r="AD55" s="805"/>
      <c r="AE55" s="802">
        <f>L55+S55+Y55</f>
        <v>-97.839150000104851</v>
      </c>
      <c r="AH55" s="806"/>
    </row>
    <row r="56" spans="1:34">
      <c r="A56" s="761" t="s">
        <v>826</v>
      </c>
      <c r="C56" s="118">
        <f>VLOOKUP(A56,'305 Inputs'!$E$111:$I$120,5,FALSE)</f>
        <v>792436.5</v>
      </c>
      <c r="E56" s="118">
        <v>-10707.320000000012</v>
      </c>
      <c r="F56" s="118"/>
      <c r="G56" s="118">
        <v>6148.7600000000011</v>
      </c>
      <c r="H56" s="118">
        <v>0</v>
      </c>
      <c r="I56" s="118"/>
      <c r="J56" s="118">
        <v>4369.37</v>
      </c>
      <c r="K56" s="118"/>
      <c r="L56" s="118">
        <v>7264.2400000000025</v>
      </c>
      <c r="M56" s="118"/>
      <c r="N56" s="118">
        <f t="shared" ref="N56" si="69">C56+E56+G56+H56+J56+L56</f>
        <v>799511.54999999993</v>
      </c>
      <c r="O56" s="118"/>
      <c r="P56" s="118">
        <v>801855.02712444519</v>
      </c>
      <c r="Q56" s="118"/>
      <c r="R56" s="801">
        <f t="shared" si="61"/>
        <v>0.29300000000000637</v>
      </c>
      <c r="S56" s="802">
        <f t="shared" si="62"/>
        <v>2343.4771244452568</v>
      </c>
      <c r="T56" s="797">
        <f t="shared" si="63"/>
        <v>0</v>
      </c>
      <c r="U56" s="118">
        <f>'Exhibit No.__(RMM-11) p1-8'!F1162</f>
        <v>801854</v>
      </c>
      <c r="V56" s="118">
        <v>801855.02712444519</v>
      </c>
      <c r="W56" s="118">
        <f t="shared" si="68"/>
        <v>-1.0271244451869279</v>
      </c>
      <c r="X56" s="804">
        <f t="shared" si="64"/>
        <v>0.29298513573694718</v>
      </c>
      <c r="Y56" s="802">
        <f t="shared" si="65"/>
        <v>0</v>
      </c>
      <c r="Z56" s="805"/>
      <c r="AA56" s="118">
        <v>516157</v>
      </c>
      <c r="AB56" s="805">
        <f t="shared" si="66"/>
        <v>-35.629553509741172</v>
      </c>
      <c r="AC56" s="802">
        <f t="shared" si="67"/>
        <v>-285697</v>
      </c>
      <c r="AD56" s="805"/>
      <c r="AE56" s="802">
        <f>L56+S56+Y56</f>
        <v>9607.7171244452584</v>
      </c>
      <c r="AH56" s="806"/>
    </row>
    <row r="57" spans="1:34">
      <c r="A57" s="761" t="s">
        <v>65</v>
      </c>
      <c r="C57" s="118">
        <f>VLOOKUP(A57,'305 Inputs'!$E$111:$I$120,5,FALSE)</f>
        <v>190062.82</v>
      </c>
      <c r="E57" s="118">
        <v>-4351.58</v>
      </c>
      <c r="F57" s="118"/>
      <c r="G57" s="118">
        <v>3426.54</v>
      </c>
      <c r="H57" s="118">
        <v>0</v>
      </c>
      <c r="I57" s="118"/>
      <c r="J57" s="118">
        <v>2450.8299999999995</v>
      </c>
      <c r="K57" s="118"/>
      <c r="L57" s="118">
        <v>0</v>
      </c>
      <c r="M57" s="118"/>
      <c r="N57" s="118">
        <f t="shared" ref="N57" si="70">C57+E57+G57+H57+J57+L57</f>
        <v>191588.61000000002</v>
      </c>
      <c r="O57" s="118"/>
      <c r="P57" s="118">
        <v>191349.09616678953</v>
      </c>
      <c r="Q57" s="118"/>
      <c r="R57" s="801">
        <f t="shared" si="61"/>
        <v>-0.125</v>
      </c>
      <c r="S57" s="802">
        <f t="shared" si="62"/>
        <v>-239.51383321048343</v>
      </c>
      <c r="T57" s="797">
        <f t="shared" si="63"/>
        <v>0</v>
      </c>
      <c r="U57" s="118">
        <f>'Exhibit No.__(RMM-11) p1-8'!F1293</f>
        <v>191349</v>
      </c>
      <c r="V57" s="118">
        <v>191349.09616678953</v>
      </c>
      <c r="W57" s="118">
        <f t="shared" si="68"/>
        <v>-9.6166789531707764E-2</v>
      </c>
      <c r="X57" s="804">
        <f t="shared" si="64"/>
        <v>-0.12506484597388912</v>
      </c>
      <c r="Y57" s="802">
        <f t="shared" si="65"/>
        <v>0</v>
      </c>
      <c r="Z57" s="805"/>
      <c r="AA57" s="118">
        <v>233013</v>
      </c>
      <c r="AB57" s="805">
        <f t="shared" si="66"/>
        <v>21.773826881771004</v>
      </c>
      <c r="AC57" s="802">
        <f t="shared" si="67"/>
        <v>41664</v>
      </c>
      <c r="AD57" s="805"/>
      <c r="AE57" s="802">
        <f>L57+S57+Y57</f>
        <v>-239.51383321048343</v>
      </c>
      <c r="AH57" s="806"/>
    </row>
    <row r="58" spans="1:34">
      <c r="A58" s="761" t="s">
        <v>273</v>
      </c>
      <c r="C58" s="118">
        <f>SUM(C53:C57)</f>
        <v>1279593.98</v>
      </c>
      <c r="E58" s="118">
        <f>SUM(E53:E57)</f>
        <v>-26372.780000000013</v>
      </c>
      <c r="F58" s="118"/>
      <c r="G58" s="118">
        <f>SUM(G53:G57)</f>
        <v>16377.899999999998</v>
      </c>
      <c r="H58" s="118">
        <f>SUM(H53:H57)</f>
        <v>0</v>
      </c>
      <c r="I58" s="118"/>
      <c r="J58" s="118">
        <f>SUM(J53:J57)</f>
        <v>12534.300000000001</v>
      </c>
      <c r="K58" s="118"/>
      <c r="L58" s="118">
        <f>SUM(L53:L57)</f>
        <v>7153.8300000000027</v>
      </c>
      <c r="M58" s="118"/>
      <c r="N58" s="118">
        <f>SUM(N53:N57)</f>
        <v>1289287.23</v>
      </c>
      <c r="O58" s="118"/>
      <c r="P58" s="118">
        <f>SUM(P53:P57)</f>
        <v>1291971.9783407401</v>
      </c>
      <c r="Q58" s="118"/>
      <c r="R58" s="801">
        <f t="shared" si="61"/>
        <v>0.20799999999999841</v>
      </c>
      <c r="S58" s="802">
        <f>SUM(S53:S57)</f>
        <v>2684.7483407402397</v>
      </c>
      <c r="T58" s="797">
        <f t="shared" si="63"/>
        <v>0</v>
      </c>
      <c r="U58" s="118">
        <f>SUM(U53:U57)</f>
        <v>1291940.0362415174</v>
      </c>
      <c r="V58" s="118">
        <f t="shared" ref="V58:W58" si="71">SUM(V53:V57)</f>
        <v>1291971.9783407401</v>
      </c>
      <c r="W58" s="118">
        <f t="shared" si="71"/>
        <v>-31.94209922261507</v>
      </c>
      <c r="X58" s="804">
        <f t="shared" si="64"/>
        <v>0.20575758293343377</v>
      </c>
      <c r="Y58" s="802">
        <f t="shared" si="65"/>
        <v>-6.5483618527650833E-11</v>
      </c>
      <c r="Z58" s="805"/>
      <c r="AA58" s="118">
        <f>SUM(AA53:AA57)</f>
        <v>1084618.54</v>
      </c>
      <c r="AB58" s="805">
        <f t="shared" si="66"/>
        <v>-16.047300217172026</v>
      </c>
      <c r="AC58" s="802">
        <f t="shared" si="67"/>
        <v>-207321.49624151736</v>
      </c>
      <c r="AD58" s="805"/>
      <c r="AE58" s="802">
        <f>SUM(AE53:AE57)</f>
        <v>9838.5783407402414</v>
      </c>
    </row>
    <row r="59" spans="1:34">
      <c r="E59" s="118"/>
      <c r="F59" s="118"/>
      <c r="G59" s="118"/>
      <c r="H59" s="118"/>
      <c r="I59" s="118"/>
      <c r="J59" s="118"/>
      <c r="K59" s="118"/>
      <c r="L59" s="118"/>
      <c r="M59" s="118"/>
      <c r="N59" s="118"/>
      <c r="O59" s="118"/>
      <c r="P59" s="118"/>
      <c r="Q59" s="118"/>
      <c r="R59" s="801"/>
      <c r="X59" s="804"/>
    </row>
    <row r="60" spans="1:34">
      <c r="A60" s="761" t="s">
        <v>274</v>
      </c>
      <c r="C60" s="118">
        <f>C58+C49+C43+C30+C16</f>
        <v>345643150.33000004</v>
      </c>
      <c r="E60" s="118">
        <f>E58+E49+E43+E30+E16</f>
        <v>-12165429.769999504</v>
      </c>
      <c r="F60" s="118"/>
      <c r="G60" s="118">
        <f>G58+G49+G43+G30+G16</f>
        <v>11400267.220000295</v>
      </c>
      <c r="H60" s="118">
        <f>H58+H49+H43+H30+H16</f>
        <v>2911215.3700001165</v>
      </c>
      <c r="I60" s="118"/>
      <c r="J60" s="118">
        <f>J58+J49+J43+J30+J16</f>
        <v>3728229.8700000579</v>
      </c>
      <c r="K60" s="118"/>
      <c r="L60" s="118">
        <f>L58+L49+L43+L30+L16</f>
        <v>-88772.06999999992</v>
      </c>
      <c r="M60" s="118"/>
      <c r="N60" s="118">
        <f>N58+N49+N43+N30+N16</f>
        <v>352914259.32000089</v>
      </c>
      <c r="O60" s="118"/>
      <c r="P60" s="118">
        <f>P58+P49+P43+P30+P16</f>
        <v>352848077.66156209</v>
      </c>
      <c r="Q60" s="118"/>
      <c r="R60" s="801">
        <f>ROUND(P60/N60*100,3)-100</f>
        <v>-1.9000000000005457E-2</v>
      </c>
      <c r="S60" s="118">
        <f>S58+S49+S43+S30+S16</f>
        <v>-66181.658438810991</v>
      </c>
      <c r="T60" s="797">
        <f>IF(ABS(R60)&lt;=0.5,0,IF(N60&gt;P60,(N60*0.995)-P60,(N60*1.005)-P60))</f>
        <v>0</v>
      </c>
      <c r="U60" s="118">
        <f>U58+U49+U43+U30+U16</f>
        <v>352848061.43947464</v>
      </c>
      <c r="V60" s="118">
        <f t="shared" ref="V60:W60" si="72">V58+V49+V43+V30+V16</f>
        <v>352848077.66154718</v>
      </c>
      <c r="W60" s="118">
        <f t="shared" si="72"/>
        <v>-16.257589779589011</v>
      </c>
      <c r="X60" s="804">
        <f>((U60-N60)/N60)*100</f>
        <v>-1.8757496694464953E-2</v>
      </c>
      <c r="Y60" s="802">
        <f t="shared" ref="Y60" si="73">U60-P60-W60</f>
        <v>3.5502336714102967E-2</v>
      </c>
      <c r="Z60" s="805"/>
      <c r="AA60" s="118" t="e">
        <f>AA58+AA49+AA43+AA30+AA16</f>
        <v>#REF!</v>
      </c>
      <c r="AB60" s="805" t="e">
        <f>((AA60-U60)/U60)*100</f>
        <v>#REF!</v>
      </c>
      <c r="AC60" s="802" t="e">
        <f>AA60-U60</f>
        <v>#REF!</v>
      </c>
      <c r="AD60" s="805"/>
      <c r="AE60" s="118">
        <f>AE58+AE49+AE43+AE30+AE16</f>
        <v>-154951.45801915546</v>
      </c>
      <c r="AH60" s="806"/>
    </row>
    <row r="61" spans="1:34">
      <c r="E61" s="118"/>
      <c r="F61" s="118"/>
      <c r="G61" s="118"/>
      <c r="H61" s="118"/>
      <c r="I61" s="118"/>
      <c r="J61" s="118"/>
      <c r="K61" s="118"/>
      <c r="L61" s="118"/>
      <c r="M61" s="118"/>
      <c r="N61" s="118"/>
      <c r="O61" s="118"/>
      <c r="P61" s="118"/>
      <c r="Q61" s="118"/>
      <c r="S61" s="802" t="s">
        <v>31</v>
      </c>
      <c r="Y61" s="802" t="s">
        <v>31</v>
      </c>
    </row>
    <row r="62" spans="1:34">
      <c r="E62" s="118"/>
      <c r="F62" s="118"/>
      <c r="G62" s="118"/>
      <c r="H62" s="118"/>
      <c r="I62" s="118"/>
      <c r="J62" s="118"/>
      <c r="K62" s="118"/>
      <c r="L62" s="118"/>
      <c r="M62" s="118"/>
      <c r="N62" s="118"/>
      <c r="O62" s="118"/>
      <c r="P62" s="118"/>
      <c r="Q62" s="118"/>
      <c r="U62" s="811"/>
    </row>
    <row r="63" spans="1:34">
      <c r="E63" s="118"/>
      <c r="F63" s="118"/>
      <c r="G63" s="118"/>
      <c r="H63" s="118"/>
      <c r="I63" s="118"/>
      <c r="J63" s="118"/>
      <c r="K63" s="118"/>
      <c r="L63" s="118"/>
      <c r="M63" s="118"/>
      <c r="N63" s="118"/>
      <c r="O63" s="118"/>
      <c r="P63" s="118"/>
      <c r="Q63" s="118"/>
    </row>
    <row r="64" spans="1:34">
      <c r="A64" s="761" t="s">
        <v>275</v>
      </c>
      <c r="E64" s="118"/>
      <c r="F64" s="118"/>
      <c r="G64" s="118"/>
      <c r="H64" s="118"/>
      <c r="I64" s="118"/>
      <c r="J64" s="118"/>
      <c r="K64" s="118"/>
      <c r="L64" s="118"/>
      <c r="M64" s="118"/>
      <c r="N64" s="118"/>
      <c r="O64" s="118"/>
      <c r="P64" s="118"/>
      <c r="Q64" s="118"/>
    </row>
    <row r="65" spans="1:31">
      <c r="A65" s="761" t="s">
        <v>263</v>
      </c>
      <c r="C65" s="118">
        <f>SUMIF($A$6:$A$58,$A65,C$6:C$58)</f>
        <v>147946.59</v>
      </c>
      <c r="D65" s="118"/>
      <c r="E65" s="118">
        <f>SUMIF($A$6:$A$58,$A65,E$6:E$58)</f>
        <v>-2691.7899999999404</v>
      </c>
      <c r="F65" s="118"/>
      <c r="G65" s="118">
        <f>SUMIF($A$6:$A$58,$A65,G$6:G$58)</f>
        <v>1660.5300000000907</v>
      </c>
      <c r="H65" s="118">
        <f>SUMIF($A$6:$A$58,$A65,H$6:H$58)</f>
        <v>0</v>
      </c>
      <c r="I65" s="118"/>
      <c r="J65" s="118">
        <f>SUMIF($A$6:$A$58,$A65,J$6:J$58)</f>
        <v>1298.6500000000701</v>
      </c>
      <c r="K65" s="118"/>
      <c r="L65" s="118">
        <f>SUMIF($A$6:$A$58,$A65,L$6:L$58)</f>
        <v>60.620000000000005</v>
      </c>
      <c r="M65" s="118"/>
      <c r="N65" s="118">
        <f>SUMIF($A$6:$A$58,$A65,N$6:N$58)</f>
        <v>148274.60000000021</v>
      </c>
      <c r="O65" s="118"/>
      <c r="P65" s="118">
        <f>SUMIF($A$6:$A$58,$A65,P$6:P$58)</f>
        <v>148252.63468294652</v>
      </c>
      <c r="Q65" s="118"/>
      <c r="R65" s="801">
        <f>ROUND(P65/N65*100,3)-100</f>
        <v>-1.5000000000000568E-2</v>
      </c>
      <c r="S65" s="802">
        <f>P65-N65</f>
        <v>-21.965317053691251</v>
      </c>
      <c r="T65" s="797">
        <f>IF(ABS(R65)&lt;=0.5,0,IF(N65&gt;P65,(N65*0.995)-P65,(N65*1.005)-P65))</f>
        <v>0</v>
      </c>
      <c r="U65" s="118">
        <f t="shared" ref="U65:W66" si="74">SUMIF($A$6:$A$58,$A65,U$6:U$58)</f>
        <v>148252.63468292812</v>
      </c>
      <c r="V65" s="118">
        <f t="shared" si="74"/>
        <v>148252.63468294652</v>
      </c>
      <c r="W65" s="118">
        <f t="shared" si="74"/>
        <v>-1.8393620848655701E-8</v>
      </c>
      <c r="X65" s="805">
        <f>((U65-N65)/N65)*100</f>
        <v>-1.4813944581259933E-2</v>
      </c>
      <c r="Y65" s="802">
        <f t="shared" ref="Y65:Y67" si="75">U65-P65-W65</f>
        <v>0</v>
      </c>
      <c r="Z65" s="805"/>
      <c r="AA65" s="118" t="e">
        <f>SUMIF($A$6:$A$58,$A65,AA$6:AA$58)</f>
        <v>#REF!</v>
      </c>
      <c r="AB65" s="805" t="e">
        <f>((AA65-U65)/U65)*100</f>
        <v>#REF!</v>
      </c>
      <c r="AC65" s="802" t="e">
        <f>AA65-U65</f>
        <v>#REF!</v>
      </c>
      <c r="AD65" s="805"/>
      <c r="AE65" s="802">
        <f>L65+S65+Y65</f>
        <v>38.654682946308753</v>
      </c>
    </row>
    <row r="66" spans="1:31">
      <c r="A66" s="761" t="s">
        <v>55</v>
      </c>
      <c r="C66" s="118">
        <f>SUMIF($A$6:$A$58,$A66,C$6:C$58)</f>
        <v>308154.36000000004</v>
      </c>
      <c r="D66" s="118"/>
      <c r="E66" s="118">
        <f>SUMIF($A$6:$A$58,$A66,E$6:E$58)</f>
        <v>-5921.0300000001162</v>
      </c>
      <c r="F66" s="118"/>
      <c r="G66" s="118">
        <f>SUMIF($A$6:$A$58,$A66,G$6:G$58)</f>
        <v>3617.5000000000773</v>
      </c>
      <c r="H66" s="118">
        <f>SUMIF($A$6:$A$58,$A66,H$6:H$58)</f>
        <v>0</v>
      </c>
      <c r="I66" s="118"/>
      <c r="J66" s="118">
        <f>SUMIF($A$6:$A$58,$A66,J$6:J$58)</f>
        <v>2837.0900000000515</v>
      </c>
      <c r="K66" s="118"/>
      <c r="L66" s="118">
        <f>SUMIF($A$6:$A$58,$A66,L$6:L$58)</f>
        <v>365.06999999999994</v>
      </c>
      <c r="M66" s="118"/>
      <c r="N66" s="118">
        <f>SUMIF($A$6:$A$58,$A66,N$6:N$58)</f>
        <v>309052.99000000011</v>
      </c>
      <c r="O66" s="118"/>
      <c r="P66" s="118">
        <f>SUMIF($A$6:$A$58,$A66,P$6:P$58)</f>
        <v>309247.0143581953</v>
      </c>
      <c r="Q66" s="118"/>
      <c r="R66" s="801">
        <f>ROUND(P66/N66*100,3)-100</f>
        <v>6.3000000000002387E-2</v>
      </c>
      <c r="S66" s="802">
        <f>P66-N66</f>
        <v>194.02435819519451</v>
      </c>
      <c r="T66" s="797">
        <f>IF(ABS(R66)&lt;=0.5,0,IF(N66&gt;P66,(N66*0.995)-P66,(N66*1.005)-P66))</f>
        <v>0</v>
      </c>
      <c r="U66" s="118">
        <f t="shared" si="74"/>
        <v>309247.01435818238</v>
      </c>
      <c r="V66" s="118">
        <f t="shared" si="74"/>
        <v>309247.0143581953</v>
      </c>
      <c r="W66" s="118">
        <f t="shared" si="74"/>
        <v>-1.293301465921104E-8</v>
      </c>
      <c r="X66" s="805">
        <f>((U66-N66)/N66)*100</f>
        <v>6.2780288319576633E-2</v>
      </c>
      <c r="Y66" s="802">
        <f t="shared" si="75"/>
        <v>1.0913936421275139E-11</v>
      </c>
      <c r="Z66" s="805"/>
      <c r="AA66" s="118">
        <f>SUMIF($A$6:$A$58,$A66,AA$6:AA$58)</f>
        <v>315750</v>
      </c>
      <c r="AB66" s="805">
        <f>((AA66-U66)/U66)*100</f>
        <v>2.1028450849603355</v>
      </c>
      <c r="AC66" s="802">
        <f>AA66-U66</f>
        <v>6502.9856418176205</v>
      </c>
      <c r="AD66" s="805"/>
      <c r="AE66" s="802">
        <f>L66+S66+Y66</f>
        <v>559.09435819520536</v>
      </c>
    </row>
    <row r="67" spans="1:31">
      <c r="A67" s="761" t="s">
        <v>276</v>
      </c>
      <c r="C67" s="118">
        <f>SUM(C65:C66)</f>
        <v>456100.95000000007</v>
      </c>
      <c r="D67" s="118"/>
      <c r="E67" s="118">
        <f t="shared" ref="E67:G67" si="76">SUM(E65:E66)</f>
        <v>-8612.8200000000561</v>
      </c>
      <c r="F67" s="118"/>
      <c r="G67" s="118">
        <f t="shared" si="76"/>
        <v>5278.030000000168</v>
      </c>
      <c r="H67" s="118">
        <f t="shared" ref="H67" si="77">SUM(H65:H66)</f>
        <v>0</v>
      </c>
      <c r="I67" s="118"/>
      <c r="J67" s="118">
        <f t="shared" ref="J67" si="78">SUM(J65:J66)</f>
        <v>4135.7400000001217</v>
      </c>
      <c r="K67" s="118"/>
      <c r="L67" s="118">
        <f>SUM(L65:L66)</f>
        <v>425.68999999999994</v>
      </c>
      <c r="M67" s="118"/>
      <c r="N67" s="118">
        <f>SUM(N65:N66)</f>
        <v>457327.59000000032</v>
      </c>
      <c r="O67" s="118"/>
      <c r="P67" s="118">
        <f>SUM(P65:P66)</f>
        <v>457499.64904114185</v>
      </c>
      <c r="Q67" s="118"/>
      <c r="R67" s="801">
        <f>ROUND(P67/N67*100,3)-100</f>
        <v>3.7999999999996703E-2</v>
      </c>
      <c r="S67" s="802">
        <f>P67-N67</f>
        <v>172.05904114153236</v>
      </c>
      <c r="T67" s="797">
        <f>IF(ABS(R67)&lt;=0.5,0,IF(N67&gt;P67,(N67*0.995)-P67,(N67*1.005)-P67))</f>
        <v>0</v>
      </c>
      <c r="U67" s="118">
        <f>SUM(U65:U66)</f>
        <v>457499.64904111053</v>
      </c>
      <c r="V67" s="118">
        <f t="shared" ref="V67:W67" si="79">SUM(V65:V66)</f>
        <v>457499.64904114185</v>
      </c>
      <c r="W67" s="118">
        <f t="shared" si="79"/>
        <v>-3.132663550786674E-8</v>
      </c>
      <c r="X67" s="805">
        <f>((U67-N67)/N67)*100</f>
        <v>3.7622711787455576E-2</v>
      </c>
      <c r="Y67" s="802">
        <f t="shared" si="75"/>
        <v>1.0913936421275139E-11</v>
      </c>
      <c r="Z67" s="805"/>
      <c r="AA67" s="118" t="e">
        <f>SUM(AA65:AA66)</f>
        <v>#REF!</v>
      </c>
      <c r="AB67" s="805" t="e">
        <f>((AA67-U67)/U67)*100</f>
        <v>#REF!</v>
      </c>
      <c r="AC67" s="802" t="e">
        <f>AA67-U67</f>
        <v>#REF!</v>
      </c>
      <c r="AD67" s="805"/>
      <c r="AE67" s="802">
        <f>SUM(AE65:AE66)</f>
        <v>597.74904114151411</v>
      </c>
    </row>
    <row r="68" spans="1:31">
      <c r="D68" s="117"/>
      <c r="E68" s="117"/>
      <c r="F68" s="117"/>
      <c r="G68" s="117"/>
      <c r="H68" s="117"/>
      <c r="I68" s="117"/>
      <c r="J68" s="117"/>
      <c r="K68" s="117"/>
      <c r="L68" s="117"/>
      <c r="M68" s="117"/>
      <c r="N68" s="117"/>
      <c r="O68" s="117"/>
      <c r="P68" s="117"/>
      <c r="Q68" s="117"/>
      <c r="R68" s="801"/>
      <c r="S68" s="802"/>
      <c r="U68" s="117"/>
      <c r="V68" s="117"/>
      <c r="W68" s="117"/>
      <c r="X68" s="805"/>
      <c r="Y68" s="805"/>
      <c r="Z68" s="805"/>
      <c r="AA68" s="117"/>
      <c r="AB68" s="805"/>
      <c r="AC68" s="805"/>
      <c r="AD68" s="805"/>
      <c r="AE68" s="805"/>
    </row>
    <row r="69" spans="1:31">
      <c r="A69" s="761" t="s">
        <v>259</v>
      </c>
      <c r="C69" s="118">
        <f>SUMIF($A$6:$A$58,$A69,C$6:C$58)</f>
        <v>139946668.05000001</v>
      </c>
      <c r="D69" s="118"/>
      <c r="E69" s="118">
        <f>SUMIF($A$6:$A$58,$A69,E$6:E$58)</f>
        <v>-4983958.7499994701</v>
      </c>
      <c r="F69" s="118"/>
      <c r="G69" s="118">
        <f>SUMIF($A$6:$A$58,$A69,G$6:G$58)</f>
        <v>5087327.1900002798</v>
      </c>
      <c r="H69" s="118">
        <f>SUMIF($A$6:$A$58,$A69,H$6:H$58)</f>
        <v>2086102.2000001201</v>
      </c>
      <c r="I69" s="118"/>
      <c r="J69" s="118">
        <f>SUMIF($A$6:$A$58,$A69,J$6:J$58)</f>
        <v>1746655.91000006</v>
      </c>
      <c r="K69" s="118"/>
      <c r="L69" s="118">
        <f>SUMIF($A$6:$A$58,$A69,L$6:L$58)</f>
        <v>-4148.2400000000016</v>
      </c>
      <c r="M69" s="118"/>
      <c r="N69" s="118">
        <f>SUMIF($A$6:$A$58,$A69,N$6:N$58)</f>
        <v>143878646.36000097</v>
      </c>
      <c r="O69" s="118"/>
      <c r="P69" s="118">
        <f>SUMIF($A$6:$A$58,$A69,P$6:P$58)</f>
        <v>143937213.58632299</v>
      </c>
      <c r="Q69" s="118"/>
      <c r="R69" s="801">
        <f>ROUND(P69/N69*100,3)-100</f>
        <v>4.0999999999996817E-2</v>
      </c>
      <c r="S69" s="802">
        <f>P69-N69</f>
        <v>58567.226322025061</v>
      </c>
      <c r="T69" s="797">
        <f>IF(ABS(R69)&lt;=0.5,0,IF(N69&gt;P69,(N69*0.995)-P69,(N69*1.005)-P69))</f>
        <v>0</v>
      </c>
      <c r="U69" s="118">
        <f t="shared" ref="U69:W70" si="80">SUMIF($A$6:$A$58,$A69,U$6:U$58)</f>
        <v>143937214.00999999</v>
      </c>
      <c r="V69" s="118">
        <f t="shared" si="80"/>
        <v>143937213.586308</v>
      </c>
      <c r="W69" s="118">
        <f t="shared" si="80"/>
        <v>0.42029411438852549</v>
      </c>
      <c r="X69" s="805">
        <f>((U69-N69)/N69)*100</f>
        <v>4.0706283719461382E-2</v>
      </c>
      <c r="Y69" s="802">
        <f t="shared" ref="Y69:Y71" si="81">U69-P69-W69</f>
        <v>3.3828830346465111E-3</v>
      </c>
      <c r="Z69" s="805"/>
      <c r="AA69" s="118" t="e">
        <f>SUMIF($A$6:$A$58,$A69,AA$6:AA$58)</f>
        <v>#REF!</v>
      </c>
      <c r="AB69" s="805" t="e">
        <f>((AA69-U69)/U69)*100</f>
        <v>#REF!</v>
      </c>
      <c r="AC69" s="802" t="e">
        <f>AA69-U69</f>
        <v>#REF!</v>
      </c>
      <c r="AD69" s="805"/>
      <c r="AE69" s="802">
        <f t="shared" ref="AE69:AE70" si="82">L69+S69+Y69</f>
        <v>54418.98970490809</v>
      </c>
    </row>
    <row r="70" spans="1:31">
      <c r="A70" s="761" t="s">
        <v>260</v>
      </c>
      <c r="C70" s="118">
        <f>SUMIF($A$6:$A$58,$A70,C$6:C$58)</f>
        <v>7360010.5499999998</v>
      </c>
      <c r="D70" s="118"/>
      <c r="E70" s="118">
        <f>SUMIF($A$6:$A$58,$A70,E$6:E$58)</f>
        <v>-261718.01999999699</v>
      </c>
      <c r="F70" s="118"/>
      <c r="G70" s="118">
        <f>SUMIF($A$6:$A$58,$A70,G$6:G$58)</f>
        <v>293967.970000003</v>
      </c>
      <c r="H70" s="118">
        <f>SUMIF($A$6:$A$58,$A70,H$6:H$58)</f>
        <v>106022.3</v>
      </c>
      <c r="I70" s="118"/>
      <c r="J70" s="118">
        <f>SUMIF($A$6:$A$58,$A70,J$6:J$58)</f>
        <v>100915.83</v>
      </c>
      <c r="K70" s="118"/>
      <c r="L70" s="118">
        <f>SUMIF($A$6:$A$58,$A70,L$6:L$58)</f>
        <v>-509.84000000000003</v>
      </c>
      <c r="M70" s="118"/>
      <c r="N70" s="118">
        <f>SUMIF($A$6:$A$58,$A70,N$6:N$58)</f>
        <v>7598688.7900000056</v>
      </c>
      <c r="O70" s="118"/>
      <c r="P70" s="118">
        <f>SUMIF($A$6:$A$58,$A70,P$6:P$58)</f>
        <v>7597281.2581699798</v>
      </c>
      <c r="Q70" s="118"/>
      <c r="R70" s="801">
        <f>ROUND(P70/N70*100,3)-100</f>
        <v>-1.9000000000005457E-2</v>
      </c>
      <c r="S70" s="802">
        <f>P70-N70</f>
        <v>-1407.5318300258368</v>
      </c>
      <c r="T70" s="797">
        <f>IF(ABS(R70)&lt;=0.5,0,IF(N70&gt;P70,(N70*0.995)-P70,(N70*1.005)-P70))</f>
        <v>0</v>
      </c>
      <c r="U70" s="118">
        <f t="shared" si="80"/>
        <v>7597281.3600000003</v>
      </c>
      <c r="V70" s="118">
        <f t="shared" si="80"/>
        <v>7597281.2581700003</v>
      </c>
      <c r="W70" s="118">
        <f t="shared" si="80"/>
        <v>9.6887016901746392E-2</v>
      </c>
      <c r="X70" s="805">
        <f>((U70-N70)/N70)*100</f>
        <v>-1.8522011348293274E-2</v>
      </c>
      <c r="Y70" s="802">
        <f t="shared" si="81"/>
        <v>4.9430036451667547E-3</v>
      </c>
      <c r="Z70" s="805"/>
      <c r="AA70" s="118" t="e">
        <f>SUMIF($A$6:$A$58,$A70,AA$6:AA$58)</f>
        <v>#REF!</v>
      </c>
      <c r="AB70" s="805" t="e">
        <f>((AA70-U70)/U70)*100</f>
        <v>#REF!</v>
      </c>
      <c r="AC70" s="802" t="e">
        <f>AA70-U70</f>
        <v>#REF!</v>
      </c>
      <c r="AD70" s="805"/>
      <c r="AE70" s="802">
        <f t="shared" si="82"/>
        <v>-1917.3668870221918</v>
      </c>
    </row>
    <row r="71" spans="1:31">
      <c r="A71" s="761" t="s">
        <v>277</v>
      </c>
      <c r="C71" s="118">
        <f>SUM(C69:C70)</f>
        <v>147306678.60000002</v>
      </c>
      <c r="D71" s="118"/>
      <c r="E71" s="118">
        <f t="shared" ref="E71:G71" si="83">SUM(E69:E70)</f>
        <v>-5245676.7699994668</v>
      </c>
      <c r="F71" s="118"/>
      <c r="G71" s="118">
        <f t="shared" si="83"/>
        <v>5381295.1600002833</v>
      </c>
      <c r="H71" s="118">
        <f t="shared" ref="H71" si="84">SUM(H69:H70)</f>
        <v>2192124.5000001201</v>
      </c>
      <c r="I71" s="118"/>
      <c r="J71" s="118">
        <f t="shared" ref="J71" si="85">SUM(J69:J70)</f>
        <v>1847571.7400000601</v>
      </c>
      <c r="K71" s="118"/>
      <c r="L71" s="118">
        <f>SUM(L69:L70)</f>
        <v>-4658.0800000000017</v>
      </c>
      <c r="M71" s="118"/>
      <c r="N71" s="118">
        <f>SUM(N69:N70)</f>
        <v>151477335.15000096</v>
      </c>
      <c r="O71" s="118"/>
      <c r="P71" s="118">
        <f>SUM(P69:P70)</f>
        <v>151534494.84449297</v>
      </c>
      <c r="Q71" s="118"/>
      <c r="R71" s="801">
        <f>ROUND(P71/N71*100,3)-100</f>
        <v>3.7999999999996703E-2</v>
      </c>
      <c r="S71" s="802">
        <f>P71-N71</f>
        <v>57159.694492012262</v>
      </c>
      <c r="T71" s="797">
        <f>IF(ABS(R71)&lt;=0.5,0,IF(N71&gt;P71,(N71*0.995)-P71,(N71*1.005)-P71))</f>
        <v>0</v>
      </c>
      <c r="U71" s="118">
        <f>SUM(U69:U70)</f>
        <v>151534495.37</v>
      </c>
      <c r="V71" s="118">
        <f t="shared" ref="V71:W71" si="86">SUM(V69:V70)</f>
        <v>151534494.84447801</v>
      </c>
      <c r="W71" s="118">
        <f t="shared" si="86"/>
        <v>0.51718113129027188</v>
      </c>
      <c r="X71" s="805">
        <f>((U71-N71)/N71)*100</f>
        <v>3.7735163443720493E-2</v>
      </c>
      <c r="Y71" s="802">
        <f t="shared" si="81"/>
        <v>8.3259015809744596E-3</v>
      </c>
      <c r="Z71" s="805"/>
      <c r="AA71" s="118" t="e">
        <f>SUM(AA69:AA70)</f>
        <v>#REF!</v>
      </c>
      <c r="AB71" s="805" t="e">
        <f>((AA71-U71)/U71)*100</f>
        <v>#REF!</v>
      </c>
      <c r="AC71" s="802" t="e">
        <f>AA71-U71</f>
        <v>#REF!</v>
      </c>
      <c r="AD71" s="805"/>
      <c r="AE71" s="802">
        <f>SUM(AE69:AE70)</f>
        <v>52501.622817885902</v>
      </c>
    </row>
    <row r="72" spans="1:31">
      <c r="C72" s="118"/>
      <c r="D72" s="118"/>
      <c r="E72" s="118"/>
      <c r="F72" s="118"/>
      <c r="G72" s="118"/>
      <c r="H72" s="118"/>
      <c r="I72" s="118"/>
      <c r="J72" s="118"/>
      <c r="K72" s="118"/>
      <c r="L72" s="118"/>
      <c r="M72" s="118"/>
      <c r="N72" s="118"/>
      <c r="O72" s="118"/>
      <c r="P72" s="118"/>
      <c r="Q72" s="118"/>
      <c r="R72" s="801"/>
      <c r="S72" s="802"/>
      <c r="U72" s="118"/>
      <c r="V72" s="118"/>
      <c r="W72" s="118"/>
      <c r="X72" s="805"/>
      <c r="Y72" s="802"/>
      <c r="Z72" s="805"/>
      <c r="AA72" s="118"/>
      <c r="AB72" s="805"/>
      <c r="AC72" s="802"/>
      <c r="AD72" s="805"/>
      <c r="AE72" s="802"/>
    </row>
    <row r="73" spans="1:31">
      <c r="A73" s="761" t="s">
        <v>243</v>
      </c>
      <c r="C73" s="118">
        <f>SUMIF($A$6:$A$58,$A73,C$6:C$58)</f>
        <v>1217658.21</v>
      </c>
      <c r="D73" s="118"/>
      <c r="E73" s="118">
        <f t="shared" ref="E73:J73" si="87">SUMIF($A$6:$A$58,$A73,E$6:E$58)</f>
        <v>-40891.719999999899</v>
      </c>
      <c r="F73" s="118"/>
      <c r="G73" s="118">
        <f t="shared" si="87"/>
        <v>50095.83</v>
      </c>
      <c r="H73" s="118">
        <f t="shared" si="87"/>
        <v>16524.79</v>
      </c>
      <c r="I73" s="118"/>
      <c r="J73" s="118">
        <f t="shared" si="87"/>
        <v>17397.5</v>
      </c>
      <c r="K73" s="118"/>
      <c r="L73" s="118">
        <f>SUMIF($A$6:$A$58,$A73,L$6:L$58)</f>
        <v>546.62</v>
      </c>
      <c r="M73" s="118"/>
      <c r="N73" s="118">
        <f>SUMIF($A$6:$A$58,$A73,N$6:N$58)</f>
        <v>1261331.2300000002</v>
      </c>
      <c r="O73" s="118"/>
      <c r="P73" s="118">
        <f>SUMIF($A$6:$A$58,$A73,P$6:P$58)</f>
        <v>1262016.5221599999</v>
      </c>
      <c r="Q73" s="118"/>
      <c r="R73" s="801">
        <f>ROUND(P73/N73*100,3)-100</f>
        <v>5.4000000000002046E-2</v>
      </c>
      <c r="S73" s="802">
        <f>P73-N73</f>
        <v>685.29215999972075</v>
      </c>
      <c r="T73" s="797">
        <f>IF(ABS(R73)&lt;=0.5,0,IF(N73&gt;P73,(N73*0.995)-P73,(N73*1.005)-P73))</f>
        <v>0</v>
      </c>
      <c r="U73" s="118">
        <f>SUMIF($A$6:$A$58,$A73,U$6:U$58)</f>
        <v>1262017</v>
      </c>
      <c r="V73" s="118">
        <f t="shared" ref="V73:W73" si="88">SUMIF($A$6:$A$58,$A73,V$6:V$58)</f>
        <v>1262016.5221599999</v>
      </c>
      <c r="W73" s="118">
        <f t="shared" si="88"/>
        <v>0.47784000006504357</v>
      </c>
      <c r="X73" s="805">
        <f>((U73-N73)/N73)*100</f>
        <v>5.4368748167742238E-2</v>
      </c>
      <c r="Y73" s="802">
        <f t="shared" ref="Y73" si="89">U73-P73-W73</f>
        <v>0</v>
      </c>
      <c r="Z73" s="805"/>
      <c r="AA73" s="118" t="e">
        <f>SUMIF($A$6:$A$58,$A73,AA$6:AA$58)</f>
        <v>#REF!</v>
      </c>
      <c r="AB73" s="805" t="e">
        <f>((AA73-U73)/U73)*100</f>
        <v>#REF!</v>
      </c>
      <c r="AC73" s="802" t="e">
        <f>AA73-U73</f>
        <v>#REF!</v>
      </c>
      <c r="AD73" s="805"/>
      <c r="AE73" s="802">
        <f>L73+S73+Y73</f>
        <v>1231.9121599997206</v>
      </c>
    </row>
    <row r="74" spans="1:31">
      <c r="D74" s="117"/>
      <c r="E74" s="117"/>
      <c r="F74" s="117"/>
      <c r="G74" s="117"/>
      <c r="H74" s="117"/>
      <c r="I74" s="117"/>
      <c r="J74" s="117"/>
      <c r="K74" s="117"/>
      <c r="L74" s="117"/>
      <c r="M74" s="117"/>
      <c r="N74" s="117"/>
      <c r="O74" s="117"/>
      <c r="P74" s="117"/>
      <c r="Q74" s="117"/>
      <c r="R74" s="801"/>
      <c r="S74" s="802"/>
      <c r="U74" s="117"/>
      <c r="V74" s="117"/>
      <c r="W74" s="117"/>
      <c r="X74" s="805"/>
      <c r="Y74" s="805"/>
      <c r="Z74" s="805"/>
      <c r="AA74" s="117"/>
      <c r="AB74" s="805"/>
      <c r="AC74" s="805"/>
      <c r="AD74" s="805"/>
      <c r="AE74" s="805"/>
    </row>
    <row r="75" spans="1:31">
      <c r="A75" s="761" t="s">
        <v>261</v>
      </c>
      <c r="C75" s="118">
        <f>SUMIF($A$6:$A$58,$A75,C$6:C$58)</f>
        <v>216272.66</v>
      </c>
      <c r="D75" s="118"/>
      <c r="E75" s="118">
        <f>SUMIF($A$6:$A$58,$A75,E$6:E$58)</f>
        <v>-6973.50000000001</v>
      </c>
      <c r="F75" s="118"/>
      <c r="G75" s="118">
        <f>SUMIF($A$6:$A$58,$A75,G$6:G$58)</f>
        <v>6814.3600000000097</v>
      </c>
      <c r="H75" s="118">
        <f>SUMIF($A$6:$A$58,$A75,H$6:H$58)</f>
        <v>2943.37</v>
      </c>
      <c r="I75" s="118"/>
      <c r="J75" s="118">
        <f>SUMIF($A$6:$A$58,$A75,J$6:J$58)</f>
        <v>2394.15</v>
      </c>
      <c r="K75" s="118"/>
      <c r="L75" s="118">
        <f>SUMIF($A$6:$A$58,$A75,L$6:L$58)</f>
        <v>-378.4899999999999</v>
      </c>
      <c r="M75" s="118"/>
      <c r="N75" s="118">
        <f>SUMIF($A$6:$A$58,$A75,N$6:N$58)</f>
        <v>221072.55000000002</v>
      </c>
      <c r="O75" s="118"/>
      <c r="P75" s="118">
        <f>SUMIF($A$6:$A$58,$A75,P$6:P$58)</f>
        <v>220974.21950741901</v>
      </c>
      <c r="Q75" s="118"/>
      <c r="R75" s="801">
        <f>ROUND(P75/N75*100,3)-100</f>
        <v>-4.399999999999693E-2</v>
      </c>
      <c r="S75" s="802">
        <f>P75-N75</f>
        <v>-98.330492581008002</v>
      </c>
      <c r="T75" s="797">
        <f>IF(ABS(R75)&lt;=0.5,0,IF(N75&gt;P75,(N75*0.995)-P75,(N75*1.005)-P75))</f>
        <v>0</v>
      </c>
      <c r="U75" s="118">
        <f t="shared" ref="U75:W76" si="90">SUMIF($A$6:$A$58,$A75,U$6:U$58)</f>
        <v>220974.11000000002</v>
      </c>
      <c r="V75" s="118">
        <f t="shared" si="90"/>
        <v>220974.21950741901</v>
      </c>
      <c r="W75" s="118">
        <f t="shared" si="90"/>
        <v>-0.12542362502972537</v>
      </c>
      <c r="X75" s="805">
        <f>((U75-N75)/N75)*100</f>
        <v>-4.452836862830882E-2</v>
      </c>
      <c r="Y75" s="802">
        <f t="shared" ref="Y75:Y77" si="91">U75-P75-W75</f>
        <v>1.5916206035399227E-2</v>
      </c>
      <c r="Z75" s="805"/>
      <c r="AA75" s="118" t="e">
        <f>SUMIF($A$6:$A$58,$A75,AA$6:AA$58)</f>
        <v>#REF!</v>
      </c>
      <c r="AB75" s="805" t="e">
        <f>((AA75-U75)/U75)*100</f>
        <v>#REF!</v>
      </c>
      <c r="AC75" s="802" t="e">
        <f>AA75-U75</f>
        <v>#REF!</v>
      </c>
      <c r="AD75" s="805"/>
      <c r="AE75" s="802">
        <f t="shared" ref="AE75:AE76" si="92">L75+S75+Y75</f>
        <v>-476.8045763749725</v>
      </c>
    </row>
    <row r="76" spans="1:31">
      <c r="A76" s="761" t="s">
        <v>262</v>
      </c>
      <c r="C76" s="118">
        <f>SUMIF($A$6:$A$58,$A76,C$6:C$58)</f>
        <v>32360.04</v>
      </c>
      <c r="D76" s="118"/>
      <c r="E76" s="118">
        <f>SUMIF($A$6:$A$58,$A76,E$6:E$58)</f>
        <v>-1067.51</v>
      </c>
      <c r="F76" s="118"/>
      <c r="G76" s="118">
        <f>SUMIF($A$6:$A$58,$A76,G$6:G$58)</f>
        <v>955.45</v>
      </c>
      <c r="H76" s="118">
        <f>SUMIF($A$6:$A$58,$A76,H$6:H$58)</f>
        <v>466.26</v>
      </c>
      <c r="I76" s="118"/>
      <c r="J76" s="118">
        <f>SUMIF($A$6:$A$58,$A76,J$6:J$58)</f>
        <v>334.09</v>
      </c>
      <c r="K76" s="118"/>
      <c r="L76" s="118">
        <f>SUMIF($A$6:$A$58,$A76,L$6:L$58)</f>
        <v>0</v>
      </c>
      <c r="M76" s="118"/>
      <c r="N76" s="118">
        <f>SUMIF($A$6:$A$58,$A76,N$6:N$58)</f>
        <v>33048.33</v>
      </c>
      <c r="O76" s="118"/>
      <c r="P76" s="118">
        <f>SUMIF($A$6:$A$58,$A76,P$6:P$58)</f>
        <v>32992.723687096797</v>
      </c>
      <c r="Q76" s="118"/>
      <c r="R76" s="801">
        <f>ROUND(P76/N76*100,3)-100</f>
        <v>-0.16800000000000637</v>
      </c>
      <c r="S76" s="802">
        <f>P76-N76</f>
        <v>-55.606312903204525</v>
      </c>
      <c r="T76" s="797">
        <f>IF(ABS(R76)&lt;=0.5,0,IF(N76&gt;P76,(N76*0.995)-P76,(N76*1.005)-P76))</f>
        <v>0</v>
      </c>
      <c r="U76" s="118">
        <f t="shared" si="90"/>
        <v>32993</v>
      </c>
      <c r="V76" s="118">
        <f t="shared" si="90"/>
        <v>32992.723687096797</v>
      </c>
      <c r="W76" s="118">
        <f t="shared" si="90"/>
        <v>0.27631290320277913</v>
      </c>
      <c r="X76" s="805">
        <f>((U76-N76)/N76)*100</f>
        <v>-0.16742147031333124</v>
      </c>
      <c r="Y76" s="802">
        <f t="shared" si="91"/>
        <v>0</v>
      </c>
      <c r="Z76" s="805"/>
      <c r="AA76" s="118" t="e">
        <f>SUMIF($A$6:$A$58,$A76,AA$6:AA$58)</f>
        <v>#REF!</v>
      </c>
      <c r="AB76" s="805" t="e">
        <f>((AA76-U76)/U76)*100</f>
        <v>#REF!</v>
      </c>
      <c r="AC76" s="802" t="e">
        <f>AA76-U76</f>
        <v>#REF!</v>
      </c>
      <c r="AD76" s="805"/>
      <c r="AE76" s="802">
        <f t="shared" si="92"/>
        <v>-55.606312903204525</v>
      </c>
    </row>
    <row r="77" spans="1:31">
      <c r="A77" s="761" t="s">
        <v>278</v>
      </c>
      <c r="C77" s="118">
        <f>SUM(C75:C76)</f>
        <v>248632.7</v>
      </c>
      <c r="D77" s="118"/>
      <c r="E77" s="118">
        <f t="shared" ref="E77:G77" si="93">SUM(E75:E76)</f>
        <v>-8041.0100000000102</v>
      </c>
      <c r="F77" s="118"/>
      <c r="G77" s="118">
        <f t="shared" si="93"/>
        <v>7769.8100000000095</v>
      </c>
      <c r="H77" s="118">
        <f t="shared" ref="H77" si="94">SUM(H75:H76)</f>
        <v>3409.63</v>
      </c>
      <c r="I77" s="118"/>
      <c r="J77" s="118">
        <f t="shared" ref="J77" si="95">SUM(J75:J76)</f>
        <v>2728.2400000000002</v>
      </c>
      <c r="K77" s="118"/>
      <c r="L77" s="118">
        <f>SUM(L75:L76)</f>
        <v>-378.4899999999999</v>
      </c>
      <c r="M77" s="118"/>
      <c r="N77" s="118">
        <f>SUM(N75:N76)</f>
        <v>254120.88</v>
      </c>
      <c r="O77" s="118"/>
      <c r="P77" s="118">
        <f>SUM(P75:P76)</f>
        <v>253966.9431945158</v>
      </c>
      <c r="Q77" s="118"/>
      <c r="R77" s="801">
        <f>ROUND(P77/N77*100,3)-100</f>
        <v>-6.1000000000007049E-2</v>
      </c>
      <c r="S77" s="802">
        <f>P77-N77</f>
        <v>-153.93680548420525</v>
      </c>
      <c r="T77" s="797">
        <f>IF(ABS(R77)&lt;=0.5,0,IF(N77&gt;P77,(N77*0.995)-P77,(N77*1.005)-P77))</f>
        <v>0</v>
      </c>
      <c r="U77" s="118">
        <f>SUM(U75:U76)</f>
        <v>253967.11000000002</v>
      </c>
      <c r="V77" s="118">
        <f t="shared" ref="V77:W77" si="96">SUM(V75:V76)</f>
        <v>253966.9431945158</v>
      </c>
      <c r="W77" s="118">
        <f t="shared" si="96"/>
        <v>0.15088927817305375</v>
      </c>
      <c r="X77" s="805">
        <f>((U77-N77)/N77)*100</f>
        <v>-6.0510572763634973E-2</v>
      </c>
      <c r="Y77" s="802">
        <f t="shared" si="91"/>
        <v>1.5916206042675185E-2</v>
      </c>
      <c r="Z77" s="805"/>
      <c r="AA77" s="118" t="e">
        <f>SUM(AA75:AA76)</f>
        <v>#REF!</v>
      </c>
      <c r="AB77" s="805" t="e">
        <f>((AA77-U77)/U77)*100</f>
        <v>#REF!</v>
      </c>
      <c r="AC77" s="802" t="e">
        <f>AA77-U77</f>
        <v>#REF!</v>
      </c>
      <c r="AD77" s="805"/>
      <c r="AE77" s="802">
        <f>SUM(AE75:AE76)</f>
        <v>-532.41088927817702</v>
      </c>
    </row>
    <row r="78" spans="1:31">
      <c r="D78" s="117"/>
      <c r="E78" s="117"/>
      <c r="F78" s="117"/>
      <c r="G78" s="117"/>
      <c r="H78" s="117"/>
      <c r="I78" s="117"/>
      <c r="J78" s="117"/>
      <c r="K78" s="118"/>
      <c r="L78" s="118"/>
      <c r="M78" s="118"/>
      <c r="N78" s="118"/>
      <c r="O78" s="118"/>
      <c r="P78" s="118"/>
      <c r="Q78" s="118"/>
      <c r="R78" s="801"/>
      <c r="S78" s="802"/>
      <c r="U78" s="118"/>
      <c r="V78" s="118"/>
      <c r="W78" s="118"/>
      <c r="X78" s="805"/>
      <c r="Y78" s="805"/>
      <c r="Z78" s="805"/>
      <c r="AA78" s="118"/>
      <c r="AB78" s="805"/>
      <c r="AC78" s="805"/>
      <c r="AD78" s="805"/>
      <c r="AE78" s="805"/>
    </row>
    <row r="79" spans="1:31">
      <c r="A79" s="761" t="s">
        <v>51</v>
      </c>
      <c r="C79" s="118">
        <f t="shared" ref="C79:C84" si="97">SUMIF($A$6:$A$58,$A79,C$6:C$58)</f>
        <v>48578793.120000005</v>
      </c>
      <c r="D79" s="118"/>
      <c r="E79" s="118">
        <f t="shared" ref="E79:E84" si="98">SUMIF($A$6:$A$58,$A79,E$6:E$58)</f>
        <v>-1732571.1900000381</v>
      </c>
      <c r="F79" s="118"/>
      <c r="G79" s="118">
        <f t="shared" ref="G79:H84" si="99">SUMIF($A$6:$A$58,$A79,G$6:G$58)</f>
        <v>1464107.9600000121</v>
      </c>
      <c r="H79" s="118">
        <f t="shared" si="99"/>
        <v>357352.21999999607</v>
      </c>
      <c r="I79" s="118"/>
      <c r="J79" s="118">
        <f t="shared" ref="J79:J84" si="100">SUMIF($A$6:$A$58,$A79,J$6:J$58)</f>
        <v>475511.73999999708</v>
      </c>
      <c r="K79" s="118"/>
      <c r="L79" s="118">
        <f t="shared" ref="L79:L84" si="101">SUMIF($A$6:$A$58,$A79,L$6:L$58)</f>
        <v>65039.15</v>
      </c>
      <c r="M79" s="118"/>
      <c r="N79" s="118">
        <f t="shared" ref="N79:N84" si="102">SUMIF($A$6:$A$58,$A79,N$6:N$58)</f>
        <v>49555865.949999973</v>
      </c>
      <c r="O79" s="118"/>
      <c r="P79" s="118">
        <f t="shared" ref="P79:P84" si="103">SUMIF($A$6:$A$58,$A79,P$6:P$58)</f>
        <v>49525390.453787439</v>
      </c>
      <c r="Q79" s="118"/>
      <c r="R79" s="801">
        <f t="shared" ref="R79:R85" si="104">ROUND(P79/N79*100,3)-100</f>
        <v>-6.1000000000007049E-2</v>
      </c>
      <c r="S79" s="802">
        <f t="shared" ref="S79:S85" si="105">P79-N79</f>
        <v>-30475.496212534606</v>
      </c>
      <c r="T79" s="797">
        <f t="shared" ref="T79:T85" si="106">IF(ABS(R79)&lt;=0.5,0,IF(N79&gt;P79,(N79*0.995)-P79,(N79*1.005)-P79))</f>
        <v>0</v>
      </c>
      <c r="U79" s="118">
        <f t="shared" ref="U79:W84" si="107">SUMIF($A$6:$A$58,$A79,U$6:U$58)</f>
        <v>49525389.950000003</v>
      </c>
      <c r="V79" s="118">
        <f t="shared" si="107"/>
        <v>49525390.453787439</v>
      </c>
      <c r="W79" s="118">
        <f t="shared" si="107"/>
        <v>-0.51317017360997852</v>
      </c>
      <c r="X79" s="805">
        <f t="shared" ref="X79:X85" si="108">((U79-N79)/N79)*100</f>
        <v>-6.1498269510050232E-2</v>
      </c>
      <c r="Y79" s="802">
        <f t="shared" ref="Y79:Y85" si="109">U79-P79-W79</f>
        <v>9.3827380187576637E-3</v>
      </c>
      <c r="Z79" s="805"/>
      <c r="AA79" s="118">
        <f t="shared" ref="AA79:AA84" si="110">SUMIF($A$6:$A$58,$A79,AA$6:AA$58)</f>
        <v>33288086</v>
      </c>
      <c r="AB79" s="805">
        <f t="shared" ref="AB79:AB85" si="111">((AA79-U79)/U79)*100</f>
        <v>-32.78581746936856</v>
      </c>
      <c r="AC79" s="802">
        <f t="shared" ref="AC79:AC85" si="112">AA79-U79</f>
        <v>-16237303.950000003</v>
      </c>
      <c r="AD79" s="805"/>
      <c r="AE79" s="802">
        <f t="shared" ref="AE79:AE83" si="113">L79+S79+Y79</f>
        <v>34563.663170203414</v>
      </c>
    </row>
    <row r="80" spans="1:31">
      <c r="A80" s="761" t="s">
        <v>52</v>
      </c>
      <c r="C80" s="118">
        <f t="shared" si="97"/>
        <v>177739.34</v>
      </c>
      <c r="D80" s="118"/>
      <c r="E80" s="118">
        <f t="shared" si="98"/>
        <v>-4102.8900000000003</v>
      </c>
      <c r="F80" s="118"/>
      <c r="G80" s="118">
        <f t="shared" si="99"/>
        <v>3095.11</v>
      </c>
      <c r="H80" s="118">
        <f t="shared" si="99"/>
        <v>792.38</v>
      </c>
      <c r="I80" s="118"/>
      <c r="J80" s="118">
        <f t="shared" si="100"/>
        <v>1029.3200000000031</v>
      </c>
      <c r="K80" s="118"/>
      <c r="L80" s="118">
        <f t="shared" si="101"/>
        <v>92.47</v>
      </c>
      <c r="N80" s="118">
        <f t="shared" si="102"/>
        <v>178645.73000000004</v>
      </c>
      <c r="P80" s="118">
        <f t="shared" si="103"/>
        <v>179385.36615860221</v>
      </c>
      <c r="Q80" s="117"/>
      <c r="R80" s="801">
        <f t="shared" si="104"/>
        <v>0.41400000000000148</v>
      </c>
      <c r="S80" s="802">
        <f t="shared" si="105"/>
        <v>739.63615860216669</v>
      </c>
      <c r="T80" s="797">
        <f t="shared" si="106"/>
        <v>0</v>
      </c>
      <c r="U80" s="118">
        <f t="shared" si="107"/>
        <v>179386</v>
      </c>
      <c r="V80" s="118">
        <f t="shared" si="107"/>
        <v>179385.36615860221</v>
      </c>
      <c r="W80" s="118">
        <f t="shared" si="107"/>
        <v>0.63384139779918769</v>
      </c>
      <c r="X80" s="805">
        <f t="shared" si="108"/>
        <v>0.41437878196134903</v>
      </c>
      <c r="Y80" s="802">
        <f t="shared" si="109"/>
        <v>-5.4569682106375694E-12</v>
      </c>
      <c r="Z80" s="805"/>
      <c r="AA80" s="118">
        <f t="shared" si="110"/>
        <v>145918</v>
      </c>
      <c r="AB80" s="805">
        <f t="shared" si="111"/>
        <v>-18.656974345824089</v>
      </c>
      <c r="AC80" s="802">
        <f t="shared" si="112"/>
        <v>-33468</v>
      </c>
      <c r="AD80" s="805"/>
      <c r="AE80" s="802">
        <f t="shared" si="113"/>
        <v>832.10615860216126</v>
      </c>
    </row>
    <row r="81" spans="1:31">
      <c r="A81" s="761" t="s">
        <v>288</v>
      </c>
      <c r="C81" s="118">
        <f t="shared" si="97"/>
        <v>70896.739999999991</v>
      </c>
      <c r="D81" s="118"/>
      <c r="E81" s="118">
        <f t="shared" si="98"/>
        <v>-434.14</v>
      </c>
      <c r="F81" s="118"/>
      <c r="G81" s="118">
        <f t="shared" si="99"/>
        <v>329.83</v>
      </c>
      <c r="H81" s="118">
        <f t="shared" si="99"/>
        <v>102.53</v>
      </c>
      <c r="I81" s="118"/>
      <c r="J81" s="118">
        <f t="shared" si="100"/>
        <v>120.59</v>
      </c>
      <c r="K81" s="118"/>
      <c r="L81" s="118">
        <f t="shared" si="101"/>
        <v>-44.639999999999993</v>
      </c>
      <c r="N81" s="118">
        <f t="shared" si="102"/>
        <v>70970.91</v>
      </c>
      <c r="P81" s="118">
        <f t="shared" si="103"/>
        <v>70947.859170076001</v>
      </c>
      <c r="Q81" s="117"/>
      <c r="R81" s="801">
        <f t="shared" si="104"/>
        <v>-3.1999999999996476E-2</v>
      </c>
      <c r="S81" s="802">
        <f t="shared" si="105"/>
        <v>-23.050829924002755</v>
      </c>
      <c r="T81" s="797">
        <f t="shared" si="106"/>
        <v>0</v>
      </c>
      <c r="U81" s="118">
        <f t="shared" si="107"/>
        <v>70948</v>
      </c>
      <c r="V81" s="118">
        <f t="shared" si="107"/>
        <v>70947.859170076001</v>
      </c>
      <c r="W81" s="118">
        <f t="shared" si="107"/>
        <v>0.14082992399698924</v>
      </c>
      <c r="X81" s="805">
        <f t="shared" si="108"/>
        <v>-3.2280831681605171E-2</v>
      </c>
      <c r="Y81" s="802">
        <f t="shared" si="109"/>
        <v>2.2737367544323206E-12</v>
      </c>
      <c r="Z81" s="805"/>
      <c r="AA81" s="118">
        <f t="shared" si="110"/>
        <v>114589</v>
      </c>
      <c r="AB81" s="805">
        <f t="shared" si="111"/>
        <v>61.511247674353044</v>
      </c>
      <c r="AC81" s="802">
        <f t="shared" si="112"/>
        <v>43641</v>
      </c>
      <c r="AD81" s="805"/>
      <c r="AE81" s="802">
        <f t="shared" si="113"/>
        <v>-67.690829924000468</v>
      </c>
    </row>
    <row r="82" spans="1:31">
      <c r="A82" s="761" t="s">
        <v>664</v>
      </c>
      <c r="C82" s="118">
        <f t="shared" si="97"/>
        <v>2480834.42</v>
      </c>
      <c r="D82" s="118"/>
      <c r="E82" s="118">
        <f t="shared" si="98"/>
        <v>-68242.439999999697</v>
      </c>
      <c r="F82" s="118"/>
      <c r="G82" s="118">
        <f t="shared" si="99"/>
        <v>60262.509999999711</v>
      </c>
      <c r="H82" s="118">
        <f t="shared" si="99"/>
        <v>14497.090000000298</v>
      </c>
      <c r="I82" s="118"/>
      <c r="J82" s="118">
        <f t="shared" si="100"/>
        <v>19718.6500000003</v>
      </c>
      <c r="K82" s="118"/>
      <c r="L82" s="118">
        <f t="shared" si="101"/>
        <v>-14856.979999999998</v>
      </c>
      <c r="N82" s="118">
        <f t="shared" si="102"/>
        <v>2492213.2500000009</v>
      </c>
      <c r="P82" s="118">
        <f t="shared" si="103"/>
        <v>2489980.8355599921</v>
      </c>
      <c r="Q82" s="117"/>
      <c r="R82" s="801">
        <f t="shared" si="104"/>
        <v>-9.0000000000003411E-2</v>
      </c>
      <c r="S82" s="802">
        <f t="shared" si="105"/>
        <v>-2232.4144400088117</v>
      </c>
      <c r="T82" s="797">
        <f t="shared" si="106"/>
        <v>0</v>
      </c>
      <c r="U82" s="118">
        <f t="shared" si="107"/>
        <v>2513322.2400000002</v>
      </c>
      <c r="V82" s="118">
        <f t="shared" si="107"/>
        <v>2513321.1564399921</v>
      </c>
      <c r="W82" s="118">
        <f t="shared" si="107"/>
        <v>1.0890069935413749</v>
      </c>
      <c r="X82" s="805">
        <f t="shared" si="108"/>
        <v>0.84699774387281201</v>
      </c>
      <c r="Y82" s="802">
        <f t="shared" si="109"/>
        <v>23340.315433014563</v>
      </c>
      <c r="Z82" s="805"/>
      <c r="AA82" s="118">
        <f t="shared" si="110"/>
        <v>31869846</v>
      </c>
      <c r="AB82" s="805">
        <f t="shared" si="111"/>
        <v>1168.0366048087808</v>
      </c>
      <c r="AC82" s="802">
        <f t="shared" si="112"/>
        <v>29356523.759999998</v>
      </c>
      <c r="AD82" s="805"/>
      <c r="AE82" s="802">
        <f t="shared" si="113"/>
        <v>6250.920993005755</v>
      </c>
    </row>
    <row r="83" spans="1:31">
      <c r="A83" s="761" t="s">
        <v>211</v>
      </c>
      <c r="C83" s="118">
        <f t="shared" si="97"/>
        <v>340819.73000000004</v>
      </c>
      <c r="D83" s="118"/>
      <c r="E83" s="118">
        <f t="shared" si="98"/>
        <v>-11627.81</v>
      </c>
      <c r="F83" s="118"/>
      <c r="G83" s="118">
        <f t="shared" si="99"/>
        <v>11701.11</v>
      </c>
      <c r="H83" s="118">
        <f t="shared" si="99"/>
        <v>2882.44</v>
      </c>
      <c r="I83" s="118"/>
      <c r="J83" s="118">
        <f t="shared" si="100"/>
        <v>3884.01</v>
      </c>
      <c r="K83" s="118"/>
      <c r="L83" s="118">
        <f t="shared" si="101"/>
        <v>-26.530000000000086</v>
      </c>
      <c r="M83" s="118"/>
      <c r="N83" s="118">
        <f t="shared" si="102"/>
        <v>347632.95</v>
      </c>
      <c r="O83" s="118"/>
      <c r="P83" s="118">
        <f t="shared" si="103"/>
        <v>347927.45283333317</v>
      </c>
      <c r="Q83" s="118"/>
      <c r="R83" s="801">
        <f t="shared" si="104"/>
        <v>8.4999999999993747E-2</v>
      </c>
      <c r="S83" s="802">
        <f t="shared" si="105"/>
        <v>294.50283333315747</v>
      </c>
      <c r="T83" s="797">
        <f t="shared" si="106"/>
        <v>0</v>
      </c>
      <c r="U83" s="118">
        <f t="shared" si="107"/>
        <v>347927.45283333317</v>
      </c>
      <c r="V83" s="118">
        <f t="shared" si="107"/>
        <v>347927.45283333317</v>
      </c>
      <c r="W83" s="118">
        <f t="shared" si="107"/>
        <v>0</v>
      </c>
      <c r="X83" s="805">
        <f t="shared" si="108"/>
        <v>8.4716605066682396E-2</v>
      </c>
      <c r="Y83" s="802">
        <f t="shared" si="109"/>
        <v>0</v>
      </c>
      <c r="Z83" s="805"/>
      <c r="AA83" s="118">
        <f t="shared" si="110"/>
        <v>515</v>
      </c>
      <c r="AB83" s="805">
        <f t="shared" si="111"/>
        <v>-99.851980636823541</v>
      </c>
      <c r="AC83" s="802">
        <f t="shared" si="112"/>
        <v>-347412.45283333317</v>
      </c>
      <c r="AD83" s="805"/>
      <c r="AE83" s="802">
        <f t="shared" si="113"/>
        <v>267.97283333315738</v>
      </c>
    </row>
    <row r="84" spans="1:31">
      <c r="A84" s="761" t="s">
        <v>883</v>
      </c>
      <c r="C84" s="118">
        <f t="shared" si="97"/>
        <v>22666.080000000002</v>
      </c>
      <c r="D84" s="118"/>
      <c r="E84" s="118">
        <f t="shared" si="98"/>
        <v>-684.37</v>
      </c>
      <c r="F84" s="118"/>
      <c r="G84" s="118">
        <f t="shared" si="99"/>
        <v>866.82</v>
      </c>
      <c r="H84" s="118">
        <f t="shared" si="99"/>
        <v>209.20000000000002</v>
      </c>
      <c r="I84" s="118"/>
      <c r="J84" s="118">
        <f t="shared" si="100"/>
        <v>289.14999999999998</v>
      </c>
      <c r="K84" s="118"/>
      <c r="L84" s="118">
        <f t="shared" si="101"/>
        <v>4.4699999999999847</v>
      </c>
      <c r="M84" s="118"/>
      <c r="N84" s="118">
        <f t="shared" si="102"/>
        <v>23351.350000000006</v>
      </c>
      <c r="O84" s="118"/>
      <c r="P84" s="118">
        <f t="shared" si="103"/>
        <v>23340.320880000003</v>
      </c>
      <c r="Q84" s="118"/>
      <c r="R84" s="801">
        <f t="shared" ref="R84" si="114">ROUND(P84/N84*100,3)-100</f>
        <v>-4.6999999999997044E-2</v>
      </c>
      <c r="S84" s="802">
        <f t="shared" ref="S84" si="115">P84-N84</f>
        <v>-11.029120000002877</v>
      </c>
      <c r="T84" s="797">
        <f t="shared" ref="T84" si="116">IF(ABS(R84)&lt;=0.5,0,IF(N84&gt;P84,(N84*0.995)-P84,(N84*1.005)-P84))</f>
        <v>0</v>
      </c>
      <c r="U84" s="118">
        <f t="shared" si="107"/>
        <v>0</v>
      </c>
      <c r="V84" s="118">
        <f t="shared" si="107"/>
        <v>0</v>
      </c>
      <c r="W84" s="118">
        <f t="shared" si="107"/>
        <v>0</v>
      </c>
      <c r="X84" s="805">
        <f t="shared" ref="X84" si="117">((U84-N84)/N84)*100</f>
        <v>-100</v>
      </c>
      <c r="Y84" s="802">
        <f t="shared" si="109"/>
        <v>-23340.320880000003</v>
      </c>
      <c r="Z84" s="805"/>
      <c r="AA84" s="118">
        <f t="shared" si="110"/>
        <v>31869846</v>
      </c>
      <c r="AB84" s="805" t="e">
        <f t="shared" ref="AB84" si="118">((AA84-U84)/U84)*100</f>
        <v>#DIV/0!</v>
      </c>
      <c r="AC84" s="802">
        <f t="shared" ref="AC84" si="119">AA84-U84</f>
        <v>31869846</v>
      </c>
      <c r="AD84" s="805"/>
      <c r="AE84" s="802">
        <f t="shared" ref="AE84" si="120">L84+S84+Y84</f>
        <v>-23346.880000000005</v>
      </c>
    </row>
    <row r="85" spans="1:31">
      <c r="A85" s="761" t="s">
        <v>279</v>
      </c>
      <c r="C85" s="118">
        <f>SUM(C79:C84)</f>
        <v>51671749.430000007</v>
      </c>
      <c r="D85" s="118"/>
      <c r="E85" s="118">
        <f>SUM(E79:E84)</f>
        <v>-1817662.8400000378</v>
      </c>
      <c r="F85" s="118"/>
      <c r="G85" s="118">
        <f>SUM(G79:G84)</f>
        <v>1540363.3400000122</v>
      </c>
      <c r="H85" s="118">
        <f>SUM(H79:H84)</f>
        <v>375835.85999999644</v>
      </c>
      <c r="I85" s="118"/>
      <c r="J85" s="118">
        <f>SUM(J79:J84)</f>
        <v>500553.45999999746</v>
      </c>
      <c r="K85" s="118"/>
      <c r="L85" s="118">
        <f>SUM(L79:L84)</f>
        <v>50207.94000000001</v>
      </c>
      <c r="M85" s="118"/>
      <c r="N85" s="118">
        <f>SUM(N79:N84)</f>
        <v>52668680.139999971</v>
      </c>
      <c r="O85" s="118"/>
      <c r="P85" s="118">
        <f>SUM(P79:P84)</f>
        <v>52636972.288389452</v>
      </c>
      <c r="Q85" s="118"/>
      <c r="R85" s="801">
        <f t="shared" si="104"/>
        <v>-6.0000000000002274E-2</v>
      </c>
      <c r="S85" s="802">
        <f t="shared" si="105"/>
        <v>-31707.851610518992</v>
      </c>
      <c r="T85" s="797">
        <f t="shared" si="106"/>
        <v>0</v>
      </c>
      <c r="U85" s="118">
        <f>SUM(U79:U84)</f>
        <v>52636973.642833337</v>
      </c>
      <c r="V85" s="118">
        <f>SUM(V79:V84)</f>
        <v>52636972.288389444</v>
      </c>
      <c r="W85" s="118">
        <f>SUM(W79:W84)</f>
        <v>1.3505081417275733</v>
      </c>
      <c r="X85" s="805">
        <f t="shared" si="108"/>
        <v>-6.0199908337087146E-2</v>
      </c>
      <c r="Y85" s="802">
        <f t="shared" si="109"/>
        <v>3.9357436584168681E-3</v>
      </c>
      <c r="Z85" s="805"/>
      <c r="AA85" s="118">
        <f>SUM(AA79:AA81)</f>
        <v>33548593</v>
      </c>
      <c r="AB85" s="805">
        <f t="shared" si="111"/>
        <v>-36.264206168760751</v>
      </c>
      <c r="AC85" s="802">
        <f t="shared" si="112"/>
        <v>-19088380.642833337</v>
      </c>
      <c r="AD85" s="805"/>
      <c r="AE85" s="802">
        <f>SUM(AE79:AE84)</f>
        <v>18500.092325220481</v>
      </c>
    </row>
    <row r="86" spans="1:31">
      <c r="D86" s="117"/>
      <c r="E86" s="117"/>
      <c r="F86" s="117"/>
      <c r="G86" s="117"/>
      <c r="H86" s="117"/>
      <c r="I86" s="117"/>
      <c r="J86" s="117"/>
      <c r="P86" s="115"/>
      <c r="Q86" s="115"/>
      <c r="R86" s="801"/>
      <c r="S86" s="802"/>
      <c r="U86" s="115"/>
      <c r="V86" s="115"/>
      <c r="W86" s="115"/>
      <c r="X86" s="805"/>
      <c r="Y86" s="805"/>
      <c r="Z86" s="805"/>
      <c r="AA86" s="114"/>
      <c r="AB86" s="805"/>
      <c r="AC86" s="805"/>
      <c r="AD86" s="805"/>
      <c r="AE86" s="805"/>
    </row>
    <row r="87" spans="1:31">
      <c r="A87" s="761" t="s">
        <v>53</v>
      </c>
      <c r="C87" s="118">
        <f>SUMIF($A$6:$A$58,$A87,C$6:C$58)</f>
        <v>73669482.480000004</v>
      </c>
      <c r="D87" s="118"/>
      <c r="E87" s="118">
        <f>SUMIF($A$6:$A$58,$A87,E$6:E$58)</f>
        <v>-2619653.4100000029</v>
      </c>
      <c r="F87" s="118"/>
      <c r="G87" s="118">
        <f t="shared" ref="G87:H89" si="121">SUMIF($A$6:$A$58,$A87,G$6:G$58)</f>
        <v>2342224.2299999991</v>
      </c>
      <c r="H87" s="118">
        <f t="shared" si="121"/>
        <v>573248.11</v>
      </c>
      <c r="I87" s="118"/>
      <c r="J87" s="118">
        <f>SUMIF($A$6:$A$58,$A87,J$6:J$58)</f>
        <v>710863.47</v>
      </c>
      <c r="K87" s="118"/>
      <c r="L87" s="118">
        <f>SUMIF($A$6:$A$58,$A87,L$6:L$58)</f>
        <v>21702.040000000066</v>
      </c>
      <c r="M87" s="118"/>
      <c r="N87" s="118">
        <f>SUMIF($A$6:$A$58,$A87,N$6:N$58)</f>
        <v>75835832.339999989</v>
      </c>
      <c r="O87" s="118"/>
      <c r="P87" s="118">
        <f>SUMIF($A$6:$A$58,$A87,P$6:P$58)</f>
        <v>75755191.055156499</v>
      </c>
      <c r="Q87" s="118"/>
      <c r="R87" s="801">
        <f>ROUND(P87/N87*100,3)-100</f>
        <v>-0.10599999999999454</v>
      </c>
      <c r="S87" s="802">
        <f>P87-N87</f>
        <v>-80641.284843489528</v>
      </c>
      <c r="T87" s="797">
        <f>IF(ABS(R87)&lt;=0.5,0,IF(N87&gt;P87,(N87*0.995)-P87,(N87*1.005)-P87))</f>
        <v>0</v>
      </c>
      <c r="U87" s="118">
        <f t="shared" ref="U87:W89" si="122">SUMIF($A$6:$A$58,$A87,U$6:U$58)</f>
        <v>75755204.129999995</v>
      </c>
      <c r="V87" s="118">
        <f t="shared" si="122"/>
        <v>75755191.055156499</v>
      </c>
      <c r="W87" s="118">
        <f t="shared" si="122"/>
        <v>13.072569382813526</v>
      </c>
      <c r="X87" s="805">
        <f>((U87-N87)/N87)*100</f>
        <v>-0.1063194106428574</v>
      </c>
      <c r="Y87" s="802">
        <f t="shared" ref="Y87:Y90" si="123">U87-P87-W87</f>
        <v>2.2741132706869394E-3</v>
      </c>
      <c r="Z87" s="805"/>
      <c r="AA87" s="118" t="e">
        <f>SUMIF($A$6:$A$58,$A87,AA$6:AA$58)</f>
        <v>#REF!</v>
      </c>
      <c r="AB87" s="805" t="e">
        <f>((AA87-U87)/U87)*100</f>
        <v>#REF!</v>
      </c>
      <c r="AC87" s="802" t="e">
        <f>AA87-U87</f>
        <v>#REF!</v>
      </c>
      <c r="AD87" s="805"/>
      <c r="AE87" s="802">
        <f t="shared" ref="AE87:AE88" si="124">L87+S87+Y87</f>
        <v>-58939.242569376191</v>
      </c>
    </row>
    <row r="88" spans="1:31">
      <c r="A88" s="761" t="s">
        <v>629</v>
      </c>
      <c r="C88" s="118">
        <f>SUMIF($A$6:$A$58,$A88,C$6:C$58)</f>
        <v>997488.24</v>
      </c>
      <c r="D88" s="118"/>
      <c r="E88" s="118">
        <f>SUMIF($A$6:$A$58,$A88,E$6:E$58)</f>
        <v>-33537.879999999997</v>
      </c>
      <c r="F88" s="118"/>
      <c r="G88" s="118">
        <f t="shared" si="121"/>
        <v>33627.4</v>
      </c>
      <c r="H88" s="118">
        <f t="shared" si="121"/>
        <v>8184.25</v>
      </c>
      <c r="I88" s="118"/>
      <c r="J88" s="118">
        <f>SUMIF($A$6:$A$58,$A88,J$6:J$58)</f>
        <v>10332.61</v>
      </c>
      <c r="K88" s="118"/>
      <c r="L88" s="118">
        <f>SUMIF($A$6:$A$58,$A88,L$6:L$58)</f>
        <v>0</v>
      </c>
      <c r="M88" s="118"/>
      <c r="N88" s="118">
        <f>SUMIF($A$6:$A$58,$A88,N$6:N$58)</f>
        <v>1016094.62</v>
      </c>
      <c r="O88" s="118"/>
      <c r="P88" s="118">
        <f>SUMIF($A$6:$A$58,$A88,P$6:P$58)</f>
        <v>1013413.400558667</v>
      </c>
      <c r="Q88" s="118"/>
      <c r="R88" s="801">
        <f>ROUND(P88/N88*100,3)-100</f>
        <v>-0.26399999999999579</v>
      </c>
      <c r="S88" s="802">
        <f>P88-N88</f>
        <v>-2681.2194413329707</v>
      </c>
      <c r="T88" s="797">
        <f>IF(ABS(R88)&lt;=0.5,0,IF(N88&gt;P88,(N88*0.995)-P88,(N88*1.005)-P88))</f>
        <v>0</v>
      </c>
      <c r="U88" s="118">
        <f t="shared" si="122"/>
        <v>1013413.400558667</v>
      </c>
      <c r="V88" s="118">
        <f t="shared" si="122"/>
        <v>1013413.400558667</v>
      </c>
      <c r="W88" s="118">
        <f t="shared" si="122"/>
        <v>0</v>
      </c>
      <c r="X88" s="805">
        <f>((U88-N88)/N88)*100</f>
        <v>-0.26387497665650184</v>
      </c>
      <c r="Y88" s="802">
        <f t="shared" si="123"/>
        <v>0</v>
      </c>
      <c r="Z88" s="805"/>
      <c r="AA88" s="118">
        <f>SUMIF($A$6:$A$58,$A88,AA$6:AA$58)</f>
        <v>515</v>
      </c>
      <c r="AB88" s="805">
        <f>((AA88-U88)/U88)*100</f>
        <v>-99.949181646925524</v>
      </c>
      <c r="AC88" s="802">
        <f>AA88-U88</f>
        <v>-1012898.400558667</v>
      </c>
      <c r="AD88" s="805"/>
      <c r="AE88" s="802">
        <f t="shared" si="124"/>
        <v>-2681.2194413329707</v>
      </c>
    </row>
    <row r="89" spans="1:31">
      <c r="A89" s="761" t="s">
        <v>877</v>
      </c>
      <c r="C89" s="118">
        <f>SUMIF($A$6:$A$58,$A89,C$6:C$58)</f>
        <v>119191.29</v>
      </c>
      <c r="D89" s="118"/>
      <c r="E89" s="118">
        <f>SUMIF($A$6:$A$58,$A89,E$6:E$58)</f>
        <v>-4429.93</v>
      </c>
      <c r="F89" s="118"/>
      <c r="G89" s="118">
        <f t="shared" si="121"/>
        <v>4616.6000000000004</v>
      </c>
      <c r="H89" s="118">
        <f t="shared" si="121"/>
        <v>1080.46</v>
      </c>
      <c r="I89" s="118"/>
      <c r="J89" s="118">
        <f>SUMIF($A$6:$A$58,$A89,J$6:J$58)</f>
        <v>1412.38</v>
      </c>
      <c r="K89" s="118"/>
      <c r="L89" s="118">
        <f>SUMIF($A$6:$A$58,$A89,L$6:L$58)</f>
        <v>0</v>
      </c>
      <c r="M89" s="118"/>
      <c r="N89" s="118">
        <f>SUMIF($A$6:$A$58,$A89,N$6:N$58)</f>
        <v>121870.8</v>
      </c>
      <c r="O89" s="118"/>
      <c r="P89" s="118">
        <f>SUMIF($A$6:$A$58,$A89,P$6:P$58)</f>
        <v>121922.9608</v>
      </c>
      <c r="Q89" s="118"/>
      <c r="R89" s="801">
        <f>ROUND(P89/N89*100,3)-100</f>
        <v>4.3000000000006366E-2</v>
      </c>
      <c r="S89" s="802">
        <f>P89-N89</f>
        <v>52.160799999997835</v>
      </c>
      <c r="T89" s="797">
        <f>IF(ABS(R89)&lt;=0.5,0,IF(N89&gt;P89,(N89*0.995)-P89,(N89*1.005)-P89))</f>
        <v>0</v>
      </c>
      <c r="U89" s="118">
        <f t="shared" si="122"/>
        <v>121922.9608</v>
      </c>
      <c r="V89" s="118">
        <f t="shared" si="122"/>
        <v>121922.9608</v>
      </c>
      <c r="W89" s="118">
        <f t="shared" si="122"/>
        <v>0</v>
      </c>
      <c r="X89" s="805">
        <f>((U89-N89)/N89)*100</f>
        <v>4.2800080084809351E-2</v>
      </c>
      <c r="Y89" s="802">
        <f t="shared" si="123"/>
        <v>0</v>
      </c>
      <c r="Z89" s="805"/>
      <c r="AA89" s="118">
        <f>SUMIF($A$6:$A$58,$A89,AA$6:AA$58)</f>
        <v>31869846</v>
      </c>
      <c r="AB89" s="805">
        <f>((AA89-U89)/U89)*100</f>
        <v>26039.330763365127</v>
      </c>
      <c r="AC89" s="802">
        <f>AA89-U89</f>
        <v>31747923.0392</v>
      </c>
      <c r="AD89" s="805"/>
      <c r="AE89" s="802">
        <f t="shared" ref="AE89" si="125">L89+S89+Y89</f>
        <v>52.160799999997835</v>
      </c>
    </row>
    <row r="90" spans="1:31">
      <c r="A90" s="761" t="s">
        <v>280</v>
      </c>
      <c r="C90" s="118">
        <f>SUM(C87:C89)</f>
        <v>74786162.010000005</v>
      </c>
      <c r="D90" s="118"/>
      <c r="E90" s="118">
        <f>SUM(E87:E89)</f>
        <v>-2657621.220000003</v>
      </c>
      <c r="F90" s="118"/>
      <c r="G90" s="118">
        <f>SUM(G87:G89)</f>
        <v>2380468.2299999991</v>
      </c>
      <c r="H90" s="118">
        <f>SUM(H87:H89)</f>
        <v>582512.81999999995</v>
      </c>
      <c r="I90" s="118"/>
      <c r="J90" s="118">
        <f>SUM(J87:J89)</f>
        <v>722608.46</v>
      </c>
      <c r="K90" s="118"/>
      <c r="L90" s="118">
        <f>SUM(L87:L89)</f>
        <v>21702.040000000066</v>
      </c>
      <c r="M90" s="118"/>
      <c r="N90" s="118">
        <f>SUM(N87:N89)</f>
        <v>76973797.75999999</v>
      </c>
      <c r="O90" s="118"/>
      <c r="P90" s="118">
        <f>SUM(P87:P89)</f>
        <v>76890527.416515172</v>
      </c>
      <c r="Q90" s="118"/>
      <c r="R90" s="801">
        <f>ROUND(P90/N90*100,3)-100</f>
        <v>-0.10800000000000409</v>
      </c>
      <c r="S90" s="802">
        <f>P90-N90</f>
        <v>-83270.343484818935</v>
      </c>
      <c r="T90" s="797">
        <f>IF(ABS(R90)&lt;=0.5,0,IF(N90&gt;P90,(N90*0.995)-P90,(N90*1.005)-P90))</f>
        <v>0</v>
      </c>
      <c r="U90" s="118">
        <f>SUM(U87:U89)</f>
        <v>76890540.491358668</v>
      </c>
      <c r="V90" s="118">
        <f>SUM(V87:V89)</f>
        <v>76890527.416515172</v>
      </c>
      <c r="W90" s="118">
        <f>SUM(W87:W89)</f>
        <v>13.072569382813526</v>
      </c>
      <c r="X90" s="805">
        <f>((U90-N90)/N90)*100</f>
        <v>-0.10816312961576142</v>
      </c>
      <c r="Y90" s="802">
        <f t="shared" si="123"/>
        <v>2.2741132706869394E-3</v>
      </c>
      <c r="Z90" s="805"/>
      <c r="AA90" s="118" t="e">
        <f>SUM(AA87:AA87)</f>
        <v>#REF!</v>
      </c>
      <c r="AB90" s="805" t="e">
        <f>((AA90-U90)/U90)*100</f>
        <v>#REF!</v>
      </c>
      <c r="AC90" s="802" t="e">
        <f>AA90-U90</f>
        <v>#REF!</v>
      </c>
      <c r="AD90" s="805"/>
      <c r="AE90" s="802">
        <f>SUM(AE87:AE89)</f>
        <v>-61568.301210709164</v>
      </c>
    </row>
    <row r="91" spans="1:31">
      <c r="C91" s="118"/>
      <c r="D91" s="118"/>
      <c r="E91" s="118"/>
      <c r="F91" s="118"/>
      <c r="G91" s="118"/>
      <c r="H91" s="118"/>
      <c r="I91" s="118"/>
      <c r="J91" s="118"/>
      <c r="K91" s="118"/>
      <c r="L91" s="118"/>
      <c r="M91" s="118"/>
      <c r="N91" s="118"/>
      <c r="O91" s="118"/>
      <c r="P91" s="118"/>
      <c r="Q91" s="118"/>
      <c r="R91" s="801"/>
      <c r="S91" s="802"/>
      <c r="U91" s="118"/>
      <c r="V91" s="118"/>
      <c r="W91" s="118"/>
      <c r="X91" s="805"/>
      <c r="Y91" s="805"/>
      <c r="Z91" s="805"/>
      <c r="AA91" s="118"/>
      <c r="AB91" s="805"/>
      <c r="AC91" s="805"/>
      <c r="AD91" s="805"/>
      <c r="AE91" s="805"/>
    </row>
    <row r="92" spans="1:31">
      <c r="D92" s="117"/>
      <c r="E92" s="117"/>
      <c r="F92" s="117"/>
      <c r="G92" s="117"/>
      <c r="H92" s="117"/>
      <c r="I92" s="117"/>
      <c r="J92" s="117"/>
      <c r="K92" s="117"/>
      <c r="L92" s="117"/>
      <c r="M92" s="117"/>
      <c r="N92" s="117"/>
      <c r="O92" s="117"/>
      <c r="P92" s="117"/>
      <c r="Q92" s="117"/>
      <c r="R92" s="801"/>
      <c r="S92" s="802"/>
      <c r="U92" s="117"/>
      <c r="V92" s="117"/>
      <c r="W92" s="117"/>
      <c r="X92" s="805"/>
      <c r="Y92" s="805"/>
      <c r="Z92" s="805"/>
      <c r="AA92" s="117"/>
      <c r="AB92" s="805"/>
      <c r="AC92" s="805"/>
      <c r="AD92" s="805"/>
      <c r="AE92" s="805"/>
    </row>
    <row r="93" spans="1:31">
      <c r="A93" s="761" t="s">
        <v>58</v>
      </c>
      <c r="C93" s="118">
        <f>SUMIF($A$6:$A$58,$A93,C$6:C$58)</f>
        <v>9254537.9600000009</v>
      </c>
      <c r="D93" s="118"/>
      <c r="E93" s="118">
        <f>SUMIF($A$6:$A$58,$A93,E$6:E$58)</f>
        <v>-308252.72999999905</v>
      </c>
      <c r="F93" s="118"/>
      <c r="G93" s="118">
        <f>SUMIF($A$6:$A$58,$A93,G$6:G$58)</f>
        <v>110744.87999999982</v>
      </c>
      <c r="H93" s="118">
        <f>SUMIF($A$6:$A$58,$A93,H$6:H$58)</f>
        <v>-168542.57000000012</v>
      </c>
      <c r="I93" s="118"/>
      <c r="J93" s="118">
        <f>SUMIF($A$6:$A$58,$A93,J$6:J$58)</f>
        <v>50122.27</v>
      </c>
      <c r="K93" s="118"/>
      <c r="L93" s="118">
        <f>SUMIF($A$6:$A$58,$A93,L$6:L$58)</f>
        <v>-146826.68</v>
      </c>
      <c r="M93" s="118"/>
      <c r="N93" s="118">
        <f>SUMIF($A$6:$A$58,$A93,N$6:N$58)</f>
        <v>8791783.1300000008</v>
      </c>
      <c r="O93" s="118"/>
      <c r="P93" s="118">
        <f>SUMIF($A$6:$A$58,$A93,P$6:P$58)</f>
        <v>8784743.0643946081</v>
      </c>
      <c r="Q93" s="118"/>
      <c r="R93" s="801">
        <f>ROUND(P93/N93*100,3)-100</f>
        <v>-7.9999999999998295E-2</v>
      </c>
      <c r="S93" s="802">
        <f>P93-N93</f>
        <v>-7040.0656053926796</v>
      </c>
      <c r="T93" s="797">
        <f>IF(ABS(R93)&lt;=0.5,0,IF(N93&gt;P93,(N93*0.995)-P93,(N93*1.005)-P93))</f>
        <v>0</v>
      </c>
      <c r="U93" s="118">
        <f t="shared" ref="U93:W94" si="126">SUMIF($A$6:$A$58,$A93,U$6:U$58)</f>
        <v>8784744.4299999997</v>
      </c>
      <c r="V93" s="118">
        <f t="shared" si="126"/>
        <v>8784743.0643946081</v>
      </c>
      <c r="W93" s="118">
        <f t="shared" si="126"/>
        <v>1.3605657856096514</v>
      </c>
      <c r="X93" s="805">
        <f>((U93-N93)/N93)*100</f>
        <v>-8.0059982098319993E-2</v>
      </c>
      <c r="Y93" s="802">
        <f t="shared" ref="Y93:Y95" si="127">U93-P93-W93</f>
        <v>5.0396059523336589E-3</v>
      </c>
      <c r="Z93" s="805"/>
      <c r="AA93" s="118">
        <f>SUMIF($A$6:$A$58,$A93,AA$6:AA$58)</f>
        <v>8839304</v>
      </c>
      <c r="AB93" s="805">
        <f>((AA93-U93)/U93)*100</f>
        <v>0.62107179593840844</v>
      </c>
      <c r="AC93" s="802">
        <f>AA93-U93</f>
        <v>54559.570000000298</v>
      </c>
      <c r="AD93" s="805"/>
      <c r="AE93" s="802">
        <f t="shared" ref="AE93:AE94" si="128">L93+S93+Y93</f>
        <v>-153866.74056578672</v>
      </c>
    </row>
    <row r="94" spans="1:31">
      <c r="A94" s="761" t="s">
        <v>59</v>
      </c>
      <c r="C94" s="118">
        <f>SUMIF($A$6:$A$58,$A94,C$6:C$58)</f>
        <v>5499999.0899999999</v>
      </c>
      <c r="D94" s="118"/>
      <c r="E94" s="118">
        <f>SUMIF($A$6:$A$58,$A94,E$6:E$58)</f>
        <v>-188311.20999999926</v>
      </c>
      <c r="F94" s="118"/>
      <c r="G94" s="118">
        <f>SUMIF($A$6:$A$58,$A94,G$6:G$58)</f>
        <v>73169.290000000008</v>
      </c>
      <c r="H94" s="118">
        <f>SUMIF($A$6:$A$58,$A94,H$6:H$58)</f>
        <v>-90649.660000000105</v>
      </c>
      <c r="I94" s="118"/>
      <c r="J94" s="118">
        <f>SUMIF($A$6:$A$58,$A94,J$6:J$58)</f>
        <v>34959.090000000091</v>
      </c>
      <c r="K94" s="118"/>
      <c r="L94" s="118">
        <f>SUMIF($A$6:$A$58,$A94,L$6:L$58)</f>
        <v>54683.87999999999</v>
      </c>
      <c r="M94" s="118"/>
      <c r="N94" s="118">
        <f>SUMIF($A$6:$A$58,$A94,N$6:N$58)</f>
        <v>5383850.4800000004</v>
      </c>
      <c r="O94" s="118"/>
      <c r="P94" s="118">
        <f>SUMIF($A$6:$A$58,$A94,P$6:P$58)</f>
        <v>5377897.1659901058</v>
      </c>
      <c r="Q94" s="118"/>
      <c r="R94" s="801">
        <f>ROUND(P94/N94*100,3)-100</f>
        <v>-0.11100000000000421</v>
      </c>
      <c r="S94" s="802">
        <f>P94-N94</f>
        <v>-5953.3140098946169</v>
      </c>
      <c r="T94" s="797">
        <f>IF(ABS(R94)&lt;=0.5,0,IF(N94&gt;P94,(N94*0.995)-P94,(N94*1.005)-P94))</f>
        <v>0</v>
      </c>
      <c r="U94" s="118">
        <f t="shared" si="126"/>
        <v>5377896</v>
      </c>
      <c r="V94" s="118">
        <f t="shared" si="126"/>
        <v>5377897.1659901058</v>
      </c>
      <c r="W94" s="118">
        <f t="shared" si="126"/>
        <v>-1.165990105830133</v>
      </c>
      <c r="X94" s="805">
        <f>((U94-N94)/N94)*100</f>
        <v>-0.11059891098610983</v>
      </c>
      <c r="Y94" s="802">
        <f t="shared" si="127"/>
        <v>0</v>
      </c>
      <c r="Z94" s="805"/>
      <c r="AA94" s="118">
        <f>SUMIF($A$6:$A$58,$A94,AA$6:AA$58)</f>
        <v>1173033</v>
      </c>
      <c r="AB94" s="805">
        <f>((AA94-U94)/U94)*100</f>
        <v>-78.187882398618342</v>
      </c>
      <c r="AC94" s="802">
        <f>AA94-U94</f>
        <v>-4204863</v>
      </c>
      <c r="AD94" s="805"/>
      <c r="AE94" s="802">
        <f t="shared" si="128"/>
        <v>48730.565990105373</v>
      </c>
    </row>
    <row r="95" spans="1:31">
      <c r="A95" s="761" t="s">
        <v>281</v>
      </c>
      <c r="C95" s="118">
        <f>SUM(C93:C94)</f>
        <v>14754537.050000001</v>
      </c>
      <c r="D95" s="118"/>
      <c r="E95" s="118">
        <f t="shared" ref="E95:G95" si="129">SUM(E93:E94)</f>
        <v>-496563.93999999831</v>
      </c>
      <c r="F95" s="118"/>
      <c r="G95" s="118">
        <f t="shared" si="129"/>
        <v>183914.16999999981</v>
      </c>
      <c r="H95" s="118">
        <f t="shared" ref="H95" si="130">SUM(H93:H94)</f>
        <v>-259192.23000000021</v>
      </c>
      <c r="I95" s="118"/>
      <c r="J95" s="118">
        <f t="shared" ref="J95" si="131">SUM(J93:J94)</f>
        <v>85081.360000000088</v>
      </c>
      <c r="K95" s="118"/>
      <c r="L95" s="118">
        <f>SUM(L93:L94)</f>
        <v>-92142.8</v>
      </c>
      <c r="M95" s="118"/>
      <c r="N95" s="118">
        <f>SUM(N93:N94)</f>
        <v>14175633.610000001</v>
      </c>
      <c r="O95" s="118"/>
      <c r="P95" s="118">
        <f>SUM(P93:P94)</f>
        <v>14162640.230384715</v>
      </c>
      <c r="Q95" s="118"/>
      <c r="R95" s="801">
        <f>ROUND(P95/N95*100,3)-100</f>
        <v>-9.1999999999998749E-2</v>
      </c>
      <c r="S95" s="802">
        <f>P95-N95</f>
        <v>-12993.379615286365</v>
      </c>
      <c r="T95" s="797">
        <f>IF(ABS(R95)&lt;=0.5,0,IF(N95&gt;P95,(N95*0.995)-P95,(N95*1.005)-P95))</f>
        <v>0</v>
      </c>
      <c r="U95" s="118">
        <f>SUM(U93:U94)</f>
        <v>14162640.43</v>
      </c>
      <c r="V95" s="118">
        <f t="shared" ref="V95:W95" si="132">SUM(V93:V94)</f>
        <v>14162640.230384715</v>
      </c>
      <c r="W95" s="118">
        <f t="shared" si="132"/>
        <v>0.1945756797795184</v>
      </c>
      <c r="X95" s="805">
        <f>((U95-N95)/N95)*100</f>
        <v>-9.1658548446368615E-2</v>
      </c>
      <c r="Y95" s="802">
        <f t="shared" si="127"/>
        <v>5.0396050210110843E-3</v>
      </c>
      <c r="Z95" s="805"/>
      <c r="AA95" s="118">
        <f>SUM(AA93:AA94)</f>
        <v>10012337</v>
      </c>
      <c r="AB95" s="805">
        <f>((AA95-U95)/U95)*100</f>
        <v>-29.30458801459524</v>
      </c>
      <c r="AC95" s="802">
        <f>AA95-U95</f>
        <v>-4150303.4299999997</v>
      </c>
      <c r="AD95" s="805"/>
      <c r="AE95" s="802">
        <f>SUM(AE93:AE94)</f>
        <v>-105136.17457568135</v>
      </c>
    </row>
    <row r="96" spans="1:31">
      <c r="D96" s="117"/>
      <c r="E96" s="117"/>
      <c r="F96" s="117"/>
      <c r="G96" s="117"/>
      <c r="H96" s="117"/>
      <c r="I96" s="117"/>
      <c r="J96" s="117"/>
      <c r="K96" s="117"/>
      <c r="L96" s="117"/>
      <c r="M96" s="117"/>
      <c r="N96" s="117"/>
      <c r="O96" s="117"/>
      <c r="P96" s="117"/>
      <c r="Q96" s="117"/>
      <c r="R96" s="801"/>
      <c r="S96" s="802"/>
      <c r="U96" s="117"/>
      <c r="V96" s="117"/>
      <c r="W96" s="117"/>
      <c r="X96" s="805"/>
      <c r="Y96" s="805"/>
      <c r="Z96" s="805"/>
      <c r="AA96" s="117"/>
      <c r="AB96" s="805"/>
      <c r="AC96" s="805"/>
      <c r="AD96" s="805"/>
      <c r="AE96" s="805"/>
    </row>
    <row r="97" spans="1:31">
      <c r="A97" s="761" t="s">
        <v>158</v>
      </c>
      <c r="C97" s="118">
        <f>SUMIF($A$6:$A$58,$A97,C$6:C$58)</f>
        <v>380222.11</v>
      </c>
      <c r="D97" s="118"/>
      <c r="E97" s="118">
        <f t="shared" ref="E97:J97" si="133">SUMIF($A$6:$A$58,$A97,E$6:E$58)</f>
        <v>-6088.2</v>
      </c>
      <c r="F97" s="118"/>
      <c r="G97" s="118">
        <f t="shared" si="133"/>
        <v>6770.9199999999992</v>
      </c>
      <c r="H97" s="118">
        <f t="shared" si="133"/>
        <v>0</v>
      </c>
      <c r="I97" s="118"/>
      <c r="J97" s="118">
        <f t="shared" si="133"/>
        <v>1771.56</v>
      </c>
      <c r="K97" s="118"/>
      <c r="L97" s="118">
        <f>SUMIF($A$6:$A$58,$A97,L$6:L$58)</f>
        <v>0</v>
      </c>
      <c r="M97" s="118"/>
      <c r="N97" s="118">
        <f>SUMIF($A$6:$A$58,$A97,N$6:N$58)</f>
        <v>382676.38999999996</v>
      </c>
      <c r="O97" s="118"/>
      <c r="P97" s="118">
        <f>SUMIF($A$6:$A$58,$A97,P$6:P$58)</f>
        <v>382689.55</v>
      </c>
      <c r="Q97" s="118"/>
      <c r="R97" s="801">
        <f>ROUND(P97/N97*100,3)-100</f>
        <v>3.0000000000001137E-3</v>
      </c>
      <c r="S97" s="802">
        <f>P97-N97</f>
        <v>13.160000000032596</v>
      </c>
      <c r="T97" s="797">
        <f>IF(ABS(R97)&lt;=0.5,0,IF(N97&gt;P97,(N97*0.995)-P97,(N97*1.005)-P97))</f>
        <v>0</v>
      </c>
      <c r="U97" s="118">
        <f>SUMIF($A$6:$A$58,$A97,U$6:U$58)</f>
        <v>382689</v>
      </c>
      <c r="V97" s="118">
        <f t="shared" ref="V97:W97" si="134">SUMIF($A$6:$A$58,$A97,V$6:V$58)</f>
        <v>382689.55</v>
      </c>
      <c r="W97" s="118">
        <f t="shared" si="134"/>
        <v>-0.54999999998835847</v>
      </c>
      <c r="X97" s="805">
        <f>((U97-N97)/N97)*100</f>
        <v>3.2952124378627695E-3</v>
      </c>
      <c r="Y97" s="802">
        <f t="shared" ref="Y97" si="135">U97-P97-W97</f>
        <v>0</v>
      </c>
      <c r="Z97" s="805"/>
      <c r="AA97" s="118">
        <f>SUMIF($A$6:$A$58,$A97,AA$6:AA$58)</f>
        <v>858176</v>
      </c>
      <c r="AB97" s="805">
        <f>((AA97-U97)/U97)*100</f>
        <v>124.24893320685987</v>
      </c>
      <c r="AC97" s="802">
        <f>AA97-U97</f>
        <v>475487</v>
      </c>
      <c r="AD97" s="805"/>
      <c r="AE97" s="802">
        <f>L97+S97+Y97</f>
        <v>13.160000000032596</v>
      </c>
    </row>
    <row r="98" spans="1:31">
      <c r="D98" s="117"/>
      <c r="E98" s="117"/>
      <c r="F98" s="117"/>
      <c r="G98" s="117"/>
      <c r="H98" s="117"/>
      <c r="I98" s="117"/>
      <c r="J98" s="117"/>
      <c r="K98" s="117"/>
      <c r="L98" s="117"/>
      <c r="M98" s="117"/>
      <c r="N98" s="117"/>
      <c r="O98" s="117"/>
      <c r="P98" s="117"/>
      <c r="Q98" s="117"/>
      <c r="R98" s="801"/>
      <c r="S98" s="802"/>
      <c r="U98" s="117"/>
      <c r="V98" s="117"/>
      <c r="W98" s="117"/>
      <c r="X98" s="805"/>
      <c r="Y98" s="805"/>
      <c r="Z98" s="805"/>
      <c r="AA98" s="117"/>
      <c r="AB98" s="805"/>
      <c r="AC98" s="805"/>
      <c r="AD98" s="805"/>
      <c r="AE98" s="805"/>
    </row>
    <row r="99" spans="1:31">
      <c r="A99" s="761" t="s">
        <v>54</v>
      </c>
      <c r="C99" s="118">
        <f>SUMIF($A$6:$A$58,$A99,C$6:C$58)</f>
        <v>28811798.859999999</v>
      </c>
      <c r="D99" s="118"/>
      <c r="E99" s="118">
        <f>SUMIF($A$6:$A$58,$A99,E$6:E$58)</f>
        <v>-912885.38000000012</v>
      </c>
      <c r="F99" s="118"/>
      <c r="G99" s="118">
        <f t="shared" ref="G99:H101" si="136">SUMIF($A$6:$A$58,$A99,G$6:G$58)</f>
        <v>882465.65999999992</v>
      </c>
      <c r="H99" s="118">
        <f t="shared" si="136"/>
        <v>0</v>
      </c>
      <c r="I99" s="118"/>
      <c r="J99" s="118">
        <f>SUMIF($A$6:$A$58,$A99,J$6:J$58)</f>
        <v>247546.56</v>
      </c>
      <c r="K99" s="118"/>
      <c r="L99" s="118">
        <f>SUMIF($A$6:$A$58,$A99,L$6:L$58)</f>
        <v>-71701.959999999992</v>
      </c>
      <c r="M99" s="118"/>
      <c r="N99" s="118">
        <f>SUMIF($A$6:$A$58,$A99,N$6:N$58)</f>
        <v>28957223.740000002</v>
      </c>
      <c r="O99" s="118"/>
      <c r="P99" s="118">
        <f>SUMIF($A$6:$A$58,$A99,P$6:P$58)</f>
        <v>28970067.755203433</v>
      </c>
      <c r="Q99" s="118"/>
      <c r="R99" s="801">
        <f>ROUND(P99/N99*100,3)-100</f>
        <v>4.399999999999693E-2</v>
      </c>
      <c r="S99" s="802">
        <f>P99-N99</f>
        <v>12844.015203431249</v>
      </c>
      <c r="T99" s="797">
        <f>IF(ABS(R99)&lt;=0.5,0,IF(N99&gt;P99,(N99*0.995)-P99,(N99*1.005)-P99))</f>
        <v>0</v>
      </c>
      <c r="U99" s="118">
        <f t="shared" ref="U99:W101" si="137">SUMIF($A$6:$A$58,$A99,U$6:U$58)</f>
        <v>28970068.710000001</v>
      </c>
      <c r="V99" s="118">
        <f t="shared" si="137"/>
        <v>28970067.755203433</v>
      </c>
      <c r="W99" s="118">
        <f t="shared" si="137"/>
        <v>0.95478585959790507</v>
      </c>
      <c r="X99" s="805">
        <f>((U99-N99)/N99)*100</f>
        <v>4.4358430612446577E-2</v>
      </c>
      <c r="Y99" s="802">
        <f t="shared" ref="Y99:Y102" si="138">U99-P99-W99</f>
        <v>1.070796133717522E-5</v>
      </c>
      <c r="Z99" s="805"/>
      <c r="AA99" s="118">
        <f>SUMIF($A$6:$A$58,$A99,AA$6:AA$58)</f>
        <v>7472169</v>
      </c>
      <c r="AB99" s="805">
        <f>((AA99-U99)/U99)*100</f>
        <v>-74.207278985773598</v>
      </c>
      <c r="AC99" s="802">
        <f>AA99-U99</f>
        <v>-21497899.710000001</v>
      </c>
      <c r="AD99" s="805"/>
      <c r="AE99" s="802">
        <f t="shared" ref="AE99:AE101" si="139">L99+S99+Y99</f>
        <v>-58857.944785860782</v>
      </c>
    </row>
    <row r="100" spans="1:31">
      <c r="A100" s="761" t="s">
        <v>60</v>
      </c>
      <c r="C100" s="118">
        <f>SUMIF($A$6:$A$58,$A100,C$6:C$58)</f>
        <v>0</v>
      </c>
      <c r="D100" s="118"/>
      <c r="E100" s="118">
        <f>SUMIF($A$6:$A$58,$A100,E$6:E$58)</f>
        <v>0</v>
      </c>
      <c r="F100" s="118"/>
      <c r="G100" s="118">
        <f t="shared" si="136"/>
        <v>0</v>
      </c>
      <c r="H100" s="118">
        <f t="shared" si="136"/>
        <v>0</v>
      </c>
      <c r="I100" s="118"/>
      <c r="J100" s="118">
        <f>SUMIF($A$6:$A$58,$A100,J$6:J$58)</f>
        <v>0</v>
      </c>
      <c r="K100" s="118"/>
      <c r="L100" s="118">
        <f>SUMIF($A$6:$A$58,$A100,L$6:L$58)</f>
        <v>0</v>
      </c>
      <c r="M100" s="118"/>
      <c r="N100" s="118">
        <f>SUMIF($A$6:$A$58,$A100,N$6:N$58)</f>
        <v>0</v>
      </c>
      <c r="O100" s="118"/>
      <c r="P100" s="118">
        <f>SUMIF($A$6:$A$58,$A100,P$6:P$58)</f>
        <v>0</v>
      </c>
      <c r="Q100" s="118"/>
      <c r="R100" s="801" t="e">
        <f>ROUND(P100/N100*100,3)-100</f>
        <v>#DIV/0!</v>
      </c>
      <c r="S100" s="802">
        <f>P100-N100</f>
        <v>0</v>
      </c>
      <c r="T100" s="797" t="e">
        <f>IF(ABS(R100)&lt;=0.5,0,IF(N100&gt;P100,(N100*0.995)-P100,(N100*1.005)-P100))</f>
        <v>#DIV/0!</v>
      </c>
      <c r="U100" s="118">
        <f t="shared" si="137"/>
        <v>0</v>
      </c>
      <c r="V100" s="118">
        <f t="shared" si="137"/>
        <v>0</v>
      </c>
      <c r="W100" s="118">
        <f t="shared" si="137"/>
        <v>0</v>
      </c>
      <c r="X100" s="805" t="e">
        <f>((U100-N100)/N100)*100</f>
        <v>#DIV/0!</v>
      </c>
      <c r="Y100" s="802">
        <f t="shared" si="138"/>
        <v>0</v>
      </c>
      <c r="Z100" s="805"/>
      <c r="AA100" s="118">
        <f>SUMIF($A$6:$A$58,$A100,AA$6:AA$58)</f>
        <v>2372611</v>
      </c>
      <c r="AB100" s="805" t="e">
        <f>((AA100-U100)/U100)*100</f>
        <v>#DIV/0!</v>
      </c>
      <c r="AC100" s="802">
        <f>AA100-U100</f>
        <v>2372611</v>
      </c>
      <c r="AD100" s="805"/>
      <c r="AE100" s="802">
        <f t="shared" si="139"/>
        <v>0</v>
      </c>
    </row>
    <row r="101" spans="1:31">
      <c r="A101" s="761" t="s">
        <v>569</v>
      </c>
      <c r="C101" s="118">
        <f>SUMIF($A$6:$A$58,$A101,C$6:C$58)</f>
        <v>24703958.579999998</v>
      </c>
      <c r="D101" s="118"/>
      <c r="E101" s="118">
        <f>SUMIF($A$6:$A$58,$A101,E$6:E$58)</f>
        <v>-944101.62</v>
      </c>
      <c r="F101" s="118"/>
      <c r="G101" s="118">
        <f t="shared" si="136"/>
        <v>944950.5</v>
      </c>
      <c r="H101" s="118">
        <f t="shared" si="136"/>
        <v>0</v>
      </c>
      <c r="I101" s="118"/>
      <c r="J101" s="118">
        <f>SUMIF($A$6:$A$58,$A101,J$6:J$58)</f>
        <v>285927.12</v>
      </c>
      <c r="K101" s="118"/>
      <c r="L101" s="118">
        <f>SUMIF($A$6:$A$58,$A101,L$6:L$58)</f>
        <v>0</v>
      </c>
      <c r="M101" s="118"/>
      <c r="N101" s="118">
        <f>SUMIF($A$6:$A$58,$A101,N$6:N$58)</f>
        <v>24990734.579999998</v>
      </c>
      <c r="O101" s="118"/>
      <c r="P101" s="118">
        <f>SUMIF($A$6:$A$58,$A101,P$6:P$58)</f>
        <v>24979146.539999999</v>
      </c>
      <c r="Q101" s="118"/>
      <c r="R101" s="801">
        <f>ROUND(P101/N101*100,3)-100</f>
        <v>-4.600000000000648E-2</v>
      </c>
      <c r="S101" s="802">
        <f>P101-N101</f>
        <v>-11588.039999999106</v>
      </c>
      <c r="T101" s="797">
        <f>IF(ABS(R101)&lt;=0.5,0,IF(N101&gt;P101,(N101*0.995)-P101,(N101*1.005)-P101))</f>
        <v>0</v>
      </c>
      <c r="U101" s="118">
        <f t="shared" si="137"/>
        <v>24979146</v>
      </c>
      <c r="V101" s="118">
        <f t="shared" si="137"/>
        <v>24979146.539999999</v>
      </c>
      <c r="W101" s="118">
        <f t="shared" si="137"/>
        <v>-0.53999999910593033</v>
      </c>
      <c r="X101" s="805">
        <f>((U101-N101)/N101)*100</f>
        <v>-4.6371506059179682E-2</v>
      </c>
      <c r="Y101" s="802">
        <f t="shared" si="138"/>
        <v>0</v>
      </c>
      <c r="Z101" s="805"/>
      <c r="AA101" s="118">
        <f>SUMIF($A$6:$A$58,$A101,AA$6:AA$58)</f>
        <v>29509698</v>
      </c>
      <c r="AB101" s="805">
        <f>((AA101-U101)/U101)*100</f>
        <v>18.137337441400117</v>
      </c>
      <c r="AC101" s="802">
        <f>AA101-U101</f>
        <v>4530552</v>
      </c>
      <c r="AD101" s="805"/>
      <c r="AE101" s="802">
        <f t="shared" si="139"/>
        <v>-11588.039999999106</v>
      </c>
    </row>
    <row r="102" spans="1:31">
      <c r="A102" s="761" t="s">
        <v>282</v>
      </c>
      <c r="C102" s="118">
        <f>SUM(C99:C101)</f>
        <v>53515757.439999998</v>
      </c>
      <c r="D102" s="118"/>
      <c r="E102" s="118">
        <f t="shared" ref="E102:G102" si="140">SUM(E99:E101)</f>
        <v>-1856987</v>
      </c>
      <c r="F102" s="118"/>
      <c r="G102" s="118">
        <f t="shared" si="140"/>
        <v>1827416.16</v>
      </c>
      <c r="H102" s="118">
        <f t="shared" ref="H102" si="141">SUM(H99:H101)</f>
        <v>0</v>
      </c>
      <c r="I102" s="118"/>
      <c r="J102" s="118">
        <f t="shared" ref="J102" si="142">SUM(J99:J101)</f>
        <v>533473.67999999993</v>
      </c>
      <c r="K102" s="118"/>
      <c r="L102" s="118">
        <f>SUM(L99:L101)</f>
        <v>-71701.959999999992</v>
      </c>
      <c r="M102" s="118"/>
      <c r="N102" s="118">
        <f>SUM(N99:N101)</f>
        <v>53947958.32</v>
      </c>
      <c r="O102" s="118"/>
      <c r="P102" s="118">
        <f>SUM(P99:P101)</f>
        <v>53949214.295203432</v>
      </c>
      <c r="Q102" s="118"/>
      <c r="R102" s="801">
        <f>ROUND(P102/N102*100,3)-100</f>
        <v>1.9999999999953388E-3</v>
      </c>
      <c r="S102" s="802">
        <f>P102-N102</f>
        <v>1255.9752034321427</v>
      </c>
      <c r="T102" s="797">
        <f>IF(ABS(R102)&lt;=0.5,0,IF(N102&gt;P102,(N102*0.995)-P102,(N102*1.005)-P102))</f>
        <v>0</v>
      </c>
      <c r="U102" s="118">
        <f>SUM(U99:U101)</f>
        <v>53949214.710000001</v>
      </c>
      <c r="V102" s="118">
        <f t="shared" ref="V102:W102" si="143">SUM(V99:V101)</f>
        <v>53949214.295203432</v>
      </c>
      <c r="W102" s="118">
        <f t="shared" si="143"/>
        <v>0.41478586049197474</v>
      </c>
      <c r="X102" s="805">
        <f>((U102-N102)/N102)*100</f>
        <v>2.3288925830114641E-3</v>
      </c>
      <c r="Y102" s="802">
        <f t="shared" si="138"/>
        <v>1.070796133717522E-5</v>
      </c>
      <c r="Z102" s="805"/>
      <c r="AA102" s="118">
        <f>SUM(AA99:AA101)</f>
        <v>39354478</v>
      </c>
      <c r="AB102" s="805">
        <f>((AA102-U102)/U102)*100</f>
        <v>-27.052732441895451</v>
      </c>
      <c r="AC102" s="802">
        <f>AA102-U102</f>
        <v>-14594736.710000001</v>
      </c>
      <c r="AD102" s="805"/>
      <c r="AE102" s="802">
        <f>SUM(AE99:AE101)</f>
        <v>-70445.984785859881</v>
      </c>
    </row>
    <row r="103" spans="1:31">
      <c r="D103" s="117"/>
      <c r="E103" s="117"/>
      <c r="F103" s="117"/>
      <c r="G103" s="117"/>
      <c r="H103" s="117"/>
      <c r="I103" s="117"/>
      <c r="J103" s="117"/>
      <c r="K103" s="117"/>
      <c r="L103" s="117"/>
      <c r="M103" s="117"/>
      <c r="N103" s="117"/>
      <c r="O103" s="117"/>
      <c r="P103" s="117"/>
      <c r="Q103" s="117"/>
      <c r="R103" s="801"/>
      <c r="S103" s="802"/>
      <c r="U103" s="117"/>
      <c r="V103" s="117"/>
      <c r="W103" s="117"/>
      <c r="X103" s="805"/>
      <c r="Y103" s="805"/>
      <c r="Z103" s="805"/>
      <c r="AA103" s="117"/>
      <c r="AB103" s="805"/>
      <c r="AC103" s="805"/>
      <c r="AD103" s="805"/>
      <c r="AE103" s="805"/>
    </row>
    <row r="104" spans="1:31">
      <c r="A104" s="761" t="s">
        <v>826</v>
      </c>
      <c r="C104" s="118">
        <f>SUMIF($A$6:$A$58,$A104,C$6:C$58)</f>
        <v>792436.5</v>
      </c>
      <c r="D104" s="118"/>
      <c r="E104" s="118">
        <f t="shared" ref="E104:J104" si="144">SUMIF($A$6:$A$58,$A104,E$6:E$58)</f>
        <v>-10707.320000000012</v>
      </c>
      <c r="F104" s="118"/>
      <c r="G104" s="118">
        <f t="shared" si="144"/>
        <v>6148.7600000000011</v>
      </c>
      <c r="H104" s="118">
        <f t="shared" si="144"/>
        <v>0</v>
      </c>
      <c r="I104" s="118"/>
      <c r="J104" s="118">
        <f t="shared" si="144"/>
        <v>4369.37</v>
      </c>
      <c r="K104" s="118"/>
      <c r="L104" s="118">
        <f>SUMIF($A$6:$A$58,$A104,L$6:L$58)</f>
        <v>7264.2400000000025</v>
      </c>
      <c r="M104" s="118"/>
      <c r="N104" s="118">
        <f>SUMIF($A$6:$A$58,$A104,N$6:N$58)</f>
        <v>799511.54999999993</v>
      </c>
      <c r="O104" s="118"/>
      <c r="P104" s="118">
        <f>SUMIF($A$6:$A$58,$A104,P$6:P$58)</f>
        <v>801855.02712444519</v>
      </c>
      <c r="Q104" s="118"/>
      <c r="R104" s="801">
        <f>ROUND(P104/N104*100,3)-100</f>
        <v>0.29300000000000637</v>
      </c>
      <c r="S104" s="802">
        <f>P104-N104</f>
        <v>2343.4771244452568</v>
      </c>
      <c r="T104" s="797">
        <f>IF(ABS(R104)&lt;=0.5,0,IF(N104&gt;P104,(N104*0.995)-P104,(N104*1.005)-P104))</f>
        <v>0</v>
      </c>
      <c r="U104" s="118">
        <f>SUMIF($A$6:$A$58,$A104,U$6:U$58)</f>
        <v>801854</v>
      </c>
      <c r="V104" s="118">
        <f t="shared" ref="V104:W104" si="145">SUMIF($A$6:$A$58,$A104,V$6:V$58)</f>
        <v>801855.02712444519</v>
      </c>
      <c r="W104" s="118">
        <f t="shared" si="145"/>
        <v>-1.0271244451869279</v>
      </c>
      <c r="X104" s="805">
        <f>((U104-N104)/N104)*100</f>
        <v>0.29298513573694718</v>
      </c>
      <c r="Y104" s="802">
        <f t="shared" ref="Y104" si="146">U104-P104-W104</f>
        <v>0</v>
      </c>
      <c r="Z104" s="805"/>
      <c r="AA104" s="118">
        <f>SUMIF($A$6:$A$58,$A104,AA$6:AA$58)</f>
        <v>516157</v>
      </c>
      <c r="AB104" s="805">
        <f>((AA104-U104)/U104)*100</f>
        <v>-35.629553509741172</v>
      </c>
      <c r="AC104" s="802">
        <f>AA104-U104</f>
        <v>-285697</v>
      </c>
      <c r="AD104" s="805"/>
      <c r="AE104" s="802">
        <f>L104+S104+Y104</f>
        <v>9607.7171244452584</v>
      </c>
    </row>
    <row r="105" spans="1:31">
      <c r="D105" s="117"/>
      <c r="E105" s="117"/>
      <c r="F105" s="117"/>
      <c r="G105" s="117"/>
      <c r="H105" s="117"/>
      <c r="I105" s="117"/>
      <c r="J105" s="117"/>
      <c r="K105" s="117"/>
      <c r="L105" s="117"/>
      <c r="M105" s="117"/>
      <c r="N105" s="117"/>
      <c r="O105" s="117"/>
      <c r="P105" s="117"/>
      <c r="Q105" s="117"/>
      <c r="R105" s="801"/>
      <c r="S105" s="802"/>
      <c r="U105" s="117"/>
      <c r="V105" s="117"/>
      <c r="W105" s="117"/>
      <c r="X105" s="805"/>
      <c r="Y105" s="805"/>
      <c r="Z105" s="805"/>
      <c r="AA105" s="117"/>
      <c r="AB105" s="805"/>
      <c r="AC105" s="805"/>
      <c r="AD105" s="805"/>
      <c r="AE105" s="805"/>
    </row>
    <row r="106" spans="1:31">
      <c r="A106" s="761" t="s">
        <v>61</v>
      </c>
      <c r="C106" s="118">
        <f>SUMIF($A$6:$A$58,$A106,C$6:C$58)</f>
        <v>30476.03</v>
      </c>
      <c r="D106" s="118"/>
      <c r="E106" s="118">
        <f t="shared" ref="E106:J106" si="147">SUMIF($A$6:$A$58,$A106,E$6:E$58)</f>
        <v>-415.51</v>
      </c>
      <c r="F106" s="118"/>
      <c r="G106" s="118">
        <f t="shared" si="147"/>
        <v>277.94</v>
      </c>
      <c r="H106" s="118">
        <f t="shared" si="147"/>
        <v>0</v>
      </c>
      <c r="I106" s="118"/>
      <c r="J106" s="118">
        <f t="shared" si="147"/>
        <v>190.77</v>
      </c>
      <c r="K106" s="118"/>
      <c r="L106" s="118">
        <f>SUMIF($A$6:$A$58,$A106,L$6:L$58)</f>
        <v>-90.85</v>
      </c>
      <c r="M106" s="118"/>
      <c r="N106" s="118">
        <f>SUMIF($A$6:$A$58,$A106,N$6:N$58)</f>
        <v>30438.38</v>
      </c>
      <c r="O106" s="118"/>
      <c r="P106" s="118">
        <f>SUMIF($A$6:$A$58,$A106,P$6:P$58)</f>
        <v>30415.1394805204</v>
      </c>
      <c r="Q106" s="118"/>
      <c r="R106" s="801">
        <f>ROUND(P106/N106*100,3)-100</f>
        <v>-7.5999999999993406E-2</v>
      </c>
      <c r="S106" s="802">
        <f>P106-N106</f>
        <v>-23.240519479601062</v>
      </c>
      <c r="T106" s="797">
        <f>IF(ABS(R106)&lt;=0.5,0,IF(N106&gt;P106,(N106*0.995)-P106,(N106*1.005)-P106))</f>
        <v>0</v>
      </c>
      <c r="U106" s="118">
        <f>SUMIF($A$6:$A$58,$A106,U$6:U$58)</f>
        <v>30415.063065675098</v>
      </c>
      <c r="V106" s="118">
        <f t="shared" ref="V106:W106" si="148">SUMIF($A$6:$A$58,$A106,V$6:V$58)</f>
        <v>30415.1394805204</v>
      </c>
      <c r="W106" s="118">
        <f t="shared" si="148"/>
        <v>-7.6414845301769674E-2</v>
      </c>
      <c r="X106" s="805">
        <f>((U106-N106)/N106)*100</f>
        <v>-7.6603729649550437E-2</v>
      </c>
      <c r="Y106" s="802">
        <f t="shared" ref="Y106" si="149">U106-P106-W106</f>
        <v>0</v>
      </c>
      <c r="Z106" s="805"/>
      <c r="AA106" s="118">
        <f>SUMIF($A$6:$A$58,$A106,AA$6:AA$58)</f>
        <v>59948.32</v>
      </c>
      <c r="AB106" s="805">
        <f>((AA106-U106)/U106)*100</f>
        <v>97.100758497701889</v>
      </c>
      <c r="AC106" s="802">
        <f>AA106-U106</f>
        <v>29533.256934324902</v>
      </c>
      <c r="AD106" s="805"/>
      <c r="AE106" s="802">
        <f>L106+S106+Y106</f>
        <v>-114.09051947960106</v>
      </c>
    </row>
    <row r="107" spans="1:31">
      <c r="D107" s="117"/>
      <c r="E107" s="117"/>
      <c r="F107" s="117"/>
      <c r="G107" s="117"/>
      <c r="H107" s="117"/>
      <c r="I107" s="117"/>
      <c r="J107" s="117"/>
      <c r="K107" s="117"/>
      <c r="L107" s="117"/>
      <c r="M107" s="117"/>
      <c r="N107" s="117"/>
      <c r="O107" s="117"/>
      <c r="P107" s="117"/>
      <c r="Q107" s="117"/>
      <c r="R107" s="801"/>
      <c r="S107" s="802"/>
      <c r="U107" s="117"/>
      <c r="V107" s="117"/>
      <c r="W107" s="117"/>
      <c r="X107" s="805"/>
      <c r="Y107" s="805"/>
      <c r="Z107" s="805"/>
      <c r="AA107" s="117"/>
      <c r="AB107" s="805"/>
      <c r="AC107" s="805"/>
      <c r="AD107" s="805"/>
      <c r="AE107" s="805"/>
    </row>
    <row r="108" spans="1:31">
      <c r="A108" s="761" t="s">
        <v>62</v>
      </c>
      <c r="C108" s="118">
        <f>SUMIF($A$6:$A$58,$A108,C$6:C$58)</f>
        <v>213592.21</v>
      </c>
      <c r="D108" s="118"/>
      <c r="E108" s="118">
        <f>SUMIF($A$6:$A$58,$A108,E$6:E$58)</f>
        <v>-8721.6899999999987</v>
      </c>
      <c r="F108" s="118"/>
      <c r="G108" s="118">
        <f>SUMIF($A$6:$A$58,$A108,G$6:G$58)</f>
        <v>5148.1899999999978</v>
      </c>
      <c r="H108" s="118">
        <f>SUMIF($A$6:$A$58,$A108,H$6:H$58)</f>
        <v>0</v>
      </c>
      <c r="I108" s="118"/>
      <c r="J108" s="118">
        <f>SUMIF($A$6:$A$58,$A108,J$6:J$58)</f>
        <v>4403.63</v>
      </c>
      <c r="K108" s="118"/>
      <c r="L108" s="118">
        <f>SUMIF($A$6:$A$58,$A108,L$6:L$58)</f>
        <v>12.960000000000036</v>
      </c>
      <c r="M108" s="118"/>
      <c r="N108" s="118">
        <f>SUMIF($A$6:$A$58,$A108,N$6:N$58)</f>
        <v>214435.3</v>
      </c>
      <c r="O108" s="118"/>
      <c r="P108" s="118">
        <f>SUMIF($A$6:$A$58,$A108,P$6:P$58)</f>
        <v>215104.64471898516</v>
      </c>
      <c r="Q108" s="118"/>
      <c r="R108" s="801">
        <f>ROUND(P108/N108*100,3)-100</f>
        <v>0.31199999999999761</v>
      </c>
      <c r="S108" s="802">
        <f>P108-N108</f>
        <v>669.34471898517222</v>
      </c>
      <c r="T108" s="797">
        <f>IF(ABS(R108)&lt;=0.5,0,IF(N108&gt;P108,(N108*0.995)-P108,(N108*1.005)-P108))</f>
        <v>0</v>
      </c>
      <c r="U108" s="118">
        <f t="shared" ref="U108:W109" si="150">SUMIF($A$6:$A$58,$A108,U$6:U$58)</f>
        <v>215073.97317584246</v>
      </c>
      <c r="V108" s="118">
        <f t="shared" si="150"/>
        <v>215104.64471898516</v>
      </c>
      <c r="W108" s="118">
        <f t="shared" si="150"/>
        <v>-30.671543142700102</v>
      </c>
      <c r="X108" s="805">
        <f>((U108-N108)/N108)*100</f>
        <v>0.2978395701838607</v>
      </c>
      <c r="Y108" s="802">
        <f t="shared" ref="Y108:Y110" si="151">U108-P108-W108</f>
        <v>0</v>
      </c>
      <c r="Z108" s="805"/>
      <c r="AA108" s="118">
        <f>SUMIF($A$6:$A$58,$A108,AA$6:AA$58)</f>
        <v>213189.22</v>
      </c>
      <c r="AB108" s="805">
        <f>((AA108-U108)/U108)*100</f>
        <v>-0.87632787362025566</v>
      </c>
      <c r="AC108" s="802">
        <f>AA108-U108</f>
        <v>-1884.7531758424593</v>
      </c>
      <c r="AD108" s="805"/>
      <c r="AE108" s="802">
        <f t="shared" ref="AE108:AE109" si="152">L108+S108+Y108</f>
        <v>682.30471898517226</v>
      </c>
    </row>
    <row r="109" spans="1:31">
      <c r="A109" s="761" t="s">
        <v>63</v>
      </c>
      <c r="C109" s="118">
        <f>SUMIF($A$6:$A$58,$A109,C$6:C$58)</f>
        <v>53026.42</v>
      </c>
      <c r="D109" s="118"/>
      <c r="E109" s="118">
        <f>SUMIF($A$6:$A$58,$A109,E$6:E$58)</f>
        <v>-2176.6799999999998</v>
      </c>
      <c r="F109" s="118"/>
      <c r="G109" s="118">
        <f>SUMIF($A$6:$A$58,$A109,G$6:G$58)</f>
        <v>1376.4699999999998</v>
      </c>
      <c r="H109" s="118">
        <f>SUMIF($A$6:$A$58,$A109,H$6:H$58)</f>
        <v>0</v>
      </c>
      <c r="I109" s="118"/>
      <c r="J109" s="118">
        <f>SUMIF($A$6:$A$58,$A109,J$6:J$58)</f>
        <v>1119.7</v>
      </c>
      <c r="K109" s="118"/>
      <c r="L109" s="118">
        <f>SUMIF($A$6:$A$58,$A109,L$6:L$58)</f>
        <v>-32.519999999999996</v>
      </c>
      <c r="M109" s="118"/>
      <c r="N109" s="118">
        <f>SUMIF($A$6:$A$58,$A109,N$6:N$58)</f>
        <v>53313.39</v>
      </c>
      <c r="O109" s="118"/>
      <c r="P109" s="118">
        <f>SUMIF($A$6:$A$58,$A109,P$6:P$58)</f>
        <v>53248.070849999895</v>
      </c>
      <c r="Q109" s="118"/>
      <c r="R109" s="801">
        <f>ROUND(P109/N109*100,3)-100</f>
        <v>-0.12300000000000466</v>
      </c>
      <c r="S109" s="802">
        <f>P109-N109</f>
        <v>-65.319150000104855</v>
      </c>
      <c r="T109" s="797">
        <f>IF(ABS(R109)&lt;=0.5,0,IF(N109&gt;P109,(N109*0.995)-P109,(N109*1.005)-P109))</f>
        <v>0</v>
      </c>
      <c r="U109" s="118">
        <f t="shared" si="150"/>
        <v>53248</v>
      </c>
      <c r="V109" s="118">
        <f t="shared" si="150"/>
        <v>53248.070849999895</v>
      </c>
      <c r="W109" s="118">
        <f t="shared" si="150"/>
        <v>-7.0849999894562643E-2</v>
      </c>
      <c r="X109" s="805">
        <f>((U109-N109)/N109)*100</f>
        <v>-0.12265211422496192</v>
      </c>
      <c r="Y109" s="802">
        <f t="shared" si="151"/>
        <v>0</v>
      </c>
      <c r="Z109" s="805"/>
      <c r="AA109" s="118">
        <f>SUMIF($A$6:$A$58,$A109,AA$6:AA$58)</f>
        <v>62311</v>
      </c>
      <c r="AB109" s="805">
        <f>((AA109-U109)/U109)*100</f>
        <v>17.020357572115387</v>
      </c>
      <c r="AC109" s="802">
        <f>AA109-U109</f>
        <v>9063</v>
      </c>
      <c r="AD109" s="805"/>
      <c r="AE109" s="802">
        <f t="shared" si="152"/>
        <v>-97.839150000104851</v>
      </c>
    </row>
    <row r="110" spans="1:31">
      <c r="A110" s="761" t="s">
        <v>283</v>
      </c>
      <c r="C110" s="118">
        <f>SUM(C108:C109)</f>
        <v>266618.63</v>
      </c>
      <c r="D110" s="118"/>
      <c r="E110" s="118">
        <f t="shared" ref="E110:G110" si="153">SUM(E108:E109)</f>
        <v>-10898.369999999999</v>
      </c>
      <c r="F110" s="118"/>
      <c r="G110" s="118">
        <f t="shared" si="153"/>
        <v>6524.659999999998</v>
      </c>
      <c r="H110" s="118">
        <f t="shared" ref="H110" si="154">SUM(H108:H109)</f>
        <v>0</v>
      </c>
      <c r="I110" s="118"/>
      <c r="J110" s="118">
        <f t="shared" ref="J110" si="155">SUM(J108:J109)</f>
        <v>5523.33</v>
      </c>
      <c r="K110" s="118"/>
      <c r="L110" s="118">
        <f>SUM(L108:L109)</f>
        <v>-19.55999999999996</v>
      </c>
      <c r="M110" s="118"/>
      <c r="N110" s="118">
        <f>SUM(N108:N109)</f>
        <v>267748.69</v>
      </c>
      <c r="O110" s="118"/>
      <c r="P110" s="118">
        <f>SUM(P108:P109)</f>
        <v>268352.71556898503</v>
      </c>
      <c r="Q110" s="118"/>
      <c r="R110" s="801">
        <f>ROUND(P110/N110*100,3)-100</f>
        <v>0.22599999999999909</v>
      </c>
      <c r="S110" s="802">
        <f>P110-N110</f>
        <v>604.02556898503099</v>
      </c>
      <c r="T110" s="797">
        <f>IF(ABS(R110)&lt;=0.5,0,IF(N110&gt;P110,(N110*0.995)-P110,(N110*1.005)-P110))</f>
        <v>0</v>
      </c>
      <c r="U110" s="118">
        <f>SUM(U108:U109)</f>
        <v>268321.97317584243</v>
      </c>
      <c r="V110" s="118">
        <f t="shared" ref="V110:W110" si="156">SUM(V108:V109)</f>
        <v>268352.71556898503</v>
      </c>
      <c r="W110" s="118">
        <f t="shared" si="156"/>
        <v>-30.742393142594665</v>
      </c>
      <c r="X110" s="805">
        <f>((U110-N110)/N110)*100</f>
        <v>0.2141124110980446</v>
      </c>
      <c r="Y110" s="802">
        <f t="shared" si="151"/>
        <v>-7.2759576141834259E-12</v>
      </c>
      <c r="Z110" s="805"/>
      <c r="AA110" s="118">
        <f>SUM(AA108:AA109)</f>
        <v>275500.21999999997</v>
      </c>
      <c r="AB110" s="805">
        <f>((AA110-U110)/U110)*100</f>
        <v>2.675236298837643</v>
      </c>
      <c r="AC110" s="802">
        <f>AA110-U110</f>
        <v>7178.2468241575407</v>
      </c>
      <c r="AD110" s="805"/>
      <c r="AE110" s="802">
        <f>SUM(AE108:AE109)</f>
        <v>584.46556898506742</v>
      </c>
    </row>
    <row r="111" spans="1:31">
      <c r="D111" s="117"/>
      <c r="E111" s="117"/>
      <c r="F111" s="117"/>
      <c r="G111" s="117"/>
      <c r="H111" s="117"/>
      <c r="I111" s="117"/>
      <c r="J111" s="117"/>
      <c r="K111" s="117"/>
      <c r="L111" s="117"/>
      <c r="M111" s="117"/>
      <c r="N111" s="117"/>
      <c r="O111" s="117"/>
      <c r="P111" s="117"/>
      <c r="Q111" s="117"/>
      <c r="R111" s="801"/>
      <c r="S111" s="802"/>
      <c r="U111" s="117"/>
      <c r="V111" s="117"/>
      <c r="W111" s="117"/>
      <c r="X111" s="805"/>
      <c r="Y111" s="805"/>
      <c r="Z111" s="805"/>
      <c r="AA111" s="117"/>
      <c r="AB111" s="805"/>
      <c r="AC111" s="805"/>
      <c r="AD111" s="805"/>
      <c r="AE111" s="805"/>
    </row>
    <row r="112" spans="1:31">
      <c r="A112" s="761" t="s">
        <v>56</v>
      </c>
      <c r="C112" s="118">
        <f>SUMIF($A$6:$A$58,$A112,C$6:C$58)</f>
        <v>26057.85</v>
      </c>
      <c r="D112" s="118"/>
      <c r="E112" s="118">
        <f t="shared" ref="E112:J112" si="157">SUMIF($A$6:$A$58,$A112,E$6:E$58)</f>
        <v>-911.47</v>
      </c>
      <c r="F112" s="118"/>
      <c r="G112" s="118">
        <f t="shared" si="157"/>
        <v>517.66999999999996</v>
      </c>
      <c r="H112" s="118">
        <f t="shared" si="157"/>
        <v>0</v>
      </c>
      <c r="I112" s="118"/>
      <c r="J112" s="118">
        <f t="shared" si="157"/>
        <v>373.83</v>
      </c>
      <c r="K112" s="118"/>
      <c r="L112" s="118">
        <f>SUMIF($A$6:$A$58,$A112,L$6:L$58)</f>
        <v>73.14</v>
      </c>
      <c r="M112" s="118"/>
      <c r="N112" s="118">
        <f>SUMIF($A$6:$A$58,$A112,N$6:N$58)</f>
        <v>26111.019999999997</v>
      </c>
      <c r="O112" s="118"/>
      <c r="P112" s="118">
        <f>SUMIF($A$6:$A$58,$A112,P$6:P$58)</f>
        <v>26083.94384</v>
      </c>
      <c r="Q112" s="118"/>
      <c r="R112" s="801">
        <f>ROUND(P112/N112*100,3)-100</f>
        <v>-0.1039999999999992</v>
      </c>
      <c r="S112" s="802">
        <f>P112-N112</f>
        <v>-27.076159999996889</v>
      </c>
      <c r="T112" s="797">
        <f>IF(ABS(R112)&lt;=0.5,0,IF(N112&gt;P112,(N112*0.995)-P112,(N112*1.005)-P112))</f>
        <v>0</v>
      </c>
      <c r="U112" s="118">
        <f>SUMIF($A$6:$A$58,$A112,U$6:U$58)</f>
        <v>26084</v>
      </c>
      <c r="V112" s="118">
        <f t="shared" ref="V112:W112" si="158">SUMIF($A$6:$A$58,$A112,V$6:V$58)</f>
        <v>26083.94384</v>
      </c>
      <c r="W112" s="118">
        <f t="shared" si="158"/>
        <v>5.6160000000090804E-2</v>
      </c>
      <c r="X112" s="805">
        <f>((U112-N112)/N112)*100</f>
        <v>-0.10348121214719609</v>
      </c>
      <c r="Y112" s="802">
        <f t="shared" ref="Y112" si="159">U112-P112-W112</f>
        <v>0</v>
      </c>
      <c r="Z112" s="805"/>
      <c r="AA112" s="118">
        <f>SUMIF($A$6:$A$58,$A112,AA$6:AA$58)</f>
        <v>18590</v>
      </c>
      <c r="AB112" s="805">
        <f>((AA112-U112)/U112)*100</f>
        <v>-28.730256095690841</v>
      </c>
      <c r="AC112" s="802">
        <f>AA112-U112</f>
        <v>-7494</v>
      </c>
      <c r="AD112" s="805"/>
      <c r="AE112" s="802">
        <f>L112+S112+Y112</f>
        <v>46.063840000003111</v>
      </c>
    </row>
    <row r="113" spans="1:31">
      <c r="D113" s="117"/>
      <c r="E113" s="117"/>
      <c r="F113" s="117"/>
      <c r="G113" s="117"/>
      <c r="H113" s="117"/>
      <c r="I113" s="117"/>
      <c r="J113" s="117"/>
      <c r="K113" s="117"/>
      <c r="L113" s="117"/>
      <c r="M113" s="117"/>
      <c r="N113" s="117"/>
      <c r="O113" s="117"/>
      <c r="P113" s="117"/>
      <c r="Q113" s="117"/>
      <c r="R113" s="801"/>
      <c r="S113" s="802"/>
      <c r="U113" s="117"/>
      <c r="V113" s="117"/>
      <c r="W113" s="117"/>
      <c r="X113" s="805"/>
      <c r="Y113" s="805"/>
      <c r="Z113" s="805"/>
      <c r="AA113" s="117"/>
      <c r="AB113" s="805"/>
      <c r="AC113" s="805"/>
      <c r="AD113" s="805"/>
      <c r="AE113" s="805"/>
    </row>
    <row r="114" spans="1:31">
      <c r="A114" s="761" t="s">
        <v>65</v>
      </c>
      <c r="C114" s="118">
        <f>SUMIF($A$6:$A$58,$A114,C$6:C$58)</f>
        <v>190062.82</v>
      </c>
      <c r="D114" s="118"/>
      <c r="E114" s="118">
        <f t="shared" ref="E114:J114" si="160">SUMIF($A$6:$A$58,$A114,E$6:E$58)</f>
        <v>-4351.58</v>
      </c>
      <c r="F114" s="118"/>
      <c r="G114" s="118">
        <f t="shared" si="160"/>
        <v>3426.54</v>
      </c>
      <c r="H114" s="118">
        <f t="shared" si="160"/>
        <v>0</v>
      </c>
      <c r="I114" s="118"/>
      <c r="J114" s="118">
        <f t="shared" si="160"/>
        <v>2450.8299999999995</v>
      </c>
      <c r="K114" s="118"/>
      <c r="L114" s="118">
        <f>SUMIF($A$6:$A$58,$A114,L$6:L$58)</f>
        <v>0</v>
      </c>
      <c r="M114" s="118"/>
      <c r="N114" s="118">
        <f>SUMIF($A$6:$A$58,$A114,N$6:N$58)</f>
        <v>191588.61000000002</v>
      </c>
      <c r="O114" s="118"/>
      <c r="P114" s="118">
        <f>SUMIF($A$6:$A$58,$A114,P$6:P$58)</f>
        <v>191349.09616678953</v>
      </c>
      <c r="Q114" s="118"/>
      <c r="R114" s="801">
        <f>ROUND(P114/N114*100,3)-100</f>
        <v>-0.125</v>
      </c>
      <c r="S114" s="802">
        <f>P114-N114</f>
        <v>-239.51383321048343</v>
      </c>
      <c r="T114" s="797">
        <f>IF(ABS(R114)&lt;=0.5,0,IF(N114&gt;P114,(N114*0.995)-P114,(N114*1.005)-P114))</f>
        <v>0</v>
      </c>
      <c r="U114" s="118">
        <f>SUMIF($A$6:$A$58,$A114,U$6:U$58)</f>
        <v>191349</v>
      </c>
      <c r="V114" s="118">
        <f t="shared" ref="V114:W114" si="161">SUMIF($A$6:$A$58,$A114,V$6:V$58)</f>
        <v>191349.09616678953</v>
      </c>
      <c r="W114" s="118">
        <f t="shared" si="161"/>
        <v>-9.6166789531707764E-2</v>
      </c>
      <c r="X114" s="805">
        <f>((U114-N114)/N114)*100</f>
        <v>-0.12506484597388912</v>
      </c>
      <c r="Y114" s="802">
        <f t="shared" ref="Y114" si="162">U114-P114-W114</f>
        <v>0</v>
      </c>
      <c r="Z114" s="805"/>
      <c r="AA114" s="118">
        <f>SUMIF($A$6:$A$58,$A114,AA$6:AA$58)</f>
        <v>233013</v>
      </c>
      <c r="AB114" s="805">
        <f>((AA114-U114)/U114)*100</f>
        <v>21.773826881771004</v>
      </c>
      <c r="AC114" s="802">
        <f>AA114-U114</f>
        <v>41664</v>
      </c>
      <c r="AD114" s="805"/>
      <c r="AE114" s="802">
        <f>L114+S114+Y114</f>
        <v>-239.51383321048343</v>
      </c>
    </row>
    <row r="115" spans="1:31">
      <c r="D115" s="117"/>
      <c r="E115" s="117"/>
      <c r="F115" s="117"/>
      <c r="G115" s="117"/>
      <c r="H115" s="117"/>
      <c r="I115" s="117"/>
      <c r="J115" s="117"/>
      <c r="R115" s="801"/>
      <c r="S115" s="802"/>
      <c r="U115" s="114"/>
      <c r="V115" s="114"/>
      <c r="W115" s="114"/>
      <c r="X115" s="805"/>
      <c r="Y115" s="805"/>
      <c r="Z115" s="805"/>
      <c r="AA115" s="114"/>
      <c r="AB115" s="805"/>
      <c r="AC115" s="805"/>
      <c r="AD115" s="805"/>
      <c r="AE115" s="805"/>
    </row>
    <row r="116" spans="1:31">
      <c r="A116" s="761" t="s">
        <v>274</v>
      </c>
      <c r="C116" s="118">
        <f>C114+C112+C110+C106+C104+C102+C97+C95+C90+C85+C77+C73+C71+C67</f>
        <v>345643150.32999998</v>
      </c>
      <c r="D116" s="118"/>
      <c r="E116" s="118">
        <f t="shared" ref="E116:G116" si="163">E114+E112+E110+E106+E104+E102+E97+E95+E90+E85+E77+E73+E71+E67</f>
        <v>-12165429.769999506</v>
      </c>
      <c r="F116" s="118"/>
      <c r="G116" s="118">
        <f t="shared" si="163"/>
        <v>11400267.220000293</v>
      </c>
      <c r="H116" s="118">
        <f t="shared" ref="H116:J116" si="164">H114+H112+H110+H106+H104+H102+H97+H95+H90+H85+H77+H73+H71+H67</f>
        <v>2911215.3700001165</v>
      </c>
      <c r="I116" s="118"/>
      <c r="J116" s="118">
        <f t="shared" si="164"/>
        <v>3728229.8700000579</v>
      </c>
      <c r="K116" s="118"/>
      <c r="L116" s="118">
        <f>L114+L112+L110+L106+L104+L102+L97+L95+L90+L85+L77+L73+L71+L67</f>
        <v>-88772.06999999992</v>
      </c>
      <c r="M116" s="118"/>
      <c r="N116" s="118">
        <f>N114+N112+N110+N106+N104+N102+N97+N95+N90+N85+N77+N73+N71+N67</f>
        <v>352914259.32000089</v>
      </c>
      <c r="O116" s="118"/>
      <c r="P116" s="118">
        <f>P114+P112+P110+P106+P104+P102+P97+P95+P90+P85+P77+P73+P71+P67</f>
        <v>352848077.66156209</v>
      </c>
      <c r="Q116" s="118"/>
      <c r="R116" s="801">
        <f>ROUND(P116/N116*100,3)-100</f>
        <v>-1.9000000000005457E-2</v>
      </c>
      <c r="S116" s="118">
        <f>S114+S112+S110+S106+S104+S102+S97+S95+S90+S85+S77+S73+S71+S67</f>
        <v>-66181.658438782601</v>
      </c>
      <c r="T116" s="797">
        <f>IF(ABS(R116)&lt;=0.5,0,IF(N116&gt;P116,(N116*0.995)-P116,(N116*1.005)-P116))</f>
        <v>0</v>
      </c>
      <c r="U116" s="118">
        <f>U114+U112+U110+U106+U104+U102+U97+U95+U90+U85+U77+U73+U71+U67</f>
        <v>352848061.43947464</v>
      </c>
      <c r="V116" s="118">
        <f t="shared" ref="V116:W116" si="165">V114+V112+V110+V106+V104+V102+V97+V95+V90+V85+V77+V73+V71+V67</f>
        <v>352848077.66154712</v>
      </c>
      <c r="W116" s="118">
        <f t="shared" si="165"/>
        <v>-16.257589779589011</v>
      </c>
      <c r="X116" s="805">
        <f>((U116-N116)/N116)*100</f>
        <v>-1.8757496694464953E-2</v>
      </c>
      <c r="Y116" s="802">
        <f t="shared" ref="Y116" si="166">U116-P116-W116</f>
        <v>3.5502336714102967E-2</v>
      </c>
      <c r="Z116" s="805"/>
      <c r="AA116" s="118" t="e">
        <f>AA114+AA112+AA110+AA106+AA104+AA102+AA97+AA95+AA90+AA88+AA85+AA77+AA71+AA67</f>
        <v>#REF!</v>
      </c>
      <c r="AB116" s="805" t="e">
        <f>((AA116-U116)/U116)*100</f>
        <v>#REF!</v>
      </c>
      <c r="AC116" s="118" t="e">
        <f>AC114+AC112+AC110+AC106+AC104+AC102+AC97+AC95+AC90+AC88+AC85+AC77+AC71+AC67</f>
        <v>#REF!</v>
      </c>
      <c r="AD116" s="805"/>
      <c r="AE116" s="118">
        <f>AE114+AE112+AE110+AE106+AE104+AE102+AE97+AE95+AE90+AE85+AE77+AE73+AE71+AE67</f>
        <v>-154953.69293654073</v>
      </c>
    </row>
    <row r="117" spans="1:31">
      <c r="C117" s="118">
        <f>C116-C60</f>
        <v>0</v>
      </c>
      <c r="D117" s="118" t="s">
        <v>31</v>
      </c>
      <c r="E117" s="118">
        <f>E116-E60</f>
        <v>0</v>
      </c>
      <c r="F117" s="118" t="s">
        <v>31</v>
      </c>
      <c r="G117" s="118">
        <f>G116-G60</f>
        <v>0</v>
      </c>
      <c r="H117" s="118">
        <f>H116-H60</f>
        <v>0</v>
      </c>
      <c r="I117" s="118" t="s">
        <v>31</v>
      </c>
      <c r="J117" s="118">
        <f>J116-J60</f>
        <v>0</v>
      </c>
      <c r="K117" s="118" t="s">
        <v>31</v>
      </c>
      <c r="L117" s="118">
        <f>L116-L60</f>
        <v>0</v>
      </c>
      <c r="M117" s="118" t="s">
        <v>31</v>
      </c>
      <c r="N117" s="118">
        <f>N116-N60</f>
        <v>0</v>
      </c>
      <c r="O117" s="118" t="s">
        <v>31</v>
      </c>
      <c r="P117" s="118">
        <f>P116-P60</f>
        <v>0</v>
      </c>
      <c r="Q117" s="118" t="s">
        <v>31</v>
      </c>
      <c r="R117" s="118">
        <f>R116-R60</f>
        <v>0</v>
      </c>
      <c r="S117" s="118">
        <f>S116-S60</f>
        <v>2.8390786610543728E-8</v>
      </c>
      <c r="T117" s="118">
        <f>T116-T60</f>
        <v>0</v>
      </c>
      <c r="U117" s="118">
        <f>U116-U60</f>
        <v>0</v>
      </c>
      <c r="V117" s="118">
        <f t="shared" ref="V117:W117" si="167">V116-V60</f>
        <v>0</v>
      </c>
      <c r="W117" s="118">
        <f t="shared" si="167"/>
        <v>0</v>
      </c>
      <c r="X117" s="118">
        <f t="shared" ref="X117:AE117" si="168">X116-X60</f>
        <v>0</v>
      </c>
      <c r="Y117" s="118">
        <f t="shared" si="168"/>
        <v>0</v>
      </c>
      <c r="Z117" s="118">
        <f t="shared" si="168"/>
        <v>0</v>
      </c>
      <c r="AA117" s="118" t="e">
        <f t="shared" si="168"/>
        <v>#REF!</v>
      </c>
      <c r="AB117" s="118" t="e">
        <f t="shared" si="168"/>
        <v>#REF!</v>
      </c>
      <c r="AC117" s="118" t="e">
        <f t="shared" si="168"/>
        <v>#REF!</v>
      </c>
      <c r="AD117" s="118">
        <f t="shared" si="168"/>
        <v>0</v>
      </c>
      <c r="AE117" s="118">
        <f t="shared" si="168"/>
        <v>-2.2349173852708191</v>
      </c>
    </row>
    <row r="118" spans="1:31">
      <c r="C118" s="118"/>
    </row>
    <row r="119" spans="1:31">
      <c r="N119" s="118" t="s">
        <v>31</v>
      </c>
    </row>
    <row r="121" spans="1:31">
      <c r="X121" s="580" t="s">
        <v>31</v>
      </c>
    </row>
  </sheetData>
  <phoneticPr fontId="32" type="noConversion"/>
  <pageMargins left="0.25" right="0.25" top="1" bottom="1" header="0.5" footer="0.5"/>
  <pageSetup scale="45" fitToHeight="2" orientation="landscape" r:id="rId1"/>
  <headerFooter alignWithMargins="0"/>
  <rowBreaks count="1" manualBreakCount="1">
    <brk id="63"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34"/>
  <sheetViews>
    <sheetView workbookViewId="0">
      <selection activeCell="B8" sqref="B8"/>
    </sheetView>
  </sheetViews>
  <sheetFormatPr defaultColWidth="8" defaultRowHeight="12.75"/>
  <cols>
    <col min="1" max="1" width="13.125" style="580" customWidth="1"/>
    <col min="2" max="2" width="1.625" style="580" customWidth="1"/>
    <col min="3" max="3" width="13.125" style="114" customWidth="1"/>
    <col min="4" max="4" width="1.625" style="114" customWidth="1"/>
    <col min="5" max="5" width="13.125" style="114" customWidth="1"/>
    <col min="6" max="6" width="1.625" style="114" customWidth="1"/>
    <col min="7" max="7" width="13.125" style="114" customWidth="1"/>
    <col min="8" max="8" width="1.625" style="114" customWidth="1"/>
    <col min="9" max="9" width="13.125" style="115" customWidth="1"/>
    <col min="10" max="11" width="13.125" style="580" customWidth="1"/>
    <col min="12" max="12" width="15.875" style="580" bestFit="1" customWidth="1"/>
    <col min="13" max="13" width="16.375" style="580" customWidth="1"/>
    <col min="14" max="14" width="1.625" style="114" customWidth="1"/>
    <col min="15" max="15" width="13.5" style="580" customWidth="1"/>
    <col min="16" max="16" width="14.25" style="580" bestFit="1" customWidth="1"/>
    <col min="17" max="17" width="14.125" style="580" bestFit="1" customWidth="1"/>
    <col min="18" max="16384" width="8" style="580"/>
  </cols>
  <sheetData>
    <row r="1" spans="1:17" ht="15.75">
      <c r="A1" s="812" t="s">
        <v>247</v>
      </c>
      <c r="B1" s="792"/>
      <c r="C1" s="793"/>
      <c r="D1" s="793"/>
      <c r="E1" s="793"/>
      <c r="F1" s="793"/>
      <c r="G1" s="793"/>
      <c r="H1" s="793"/>
    </row>
    <row r="3" spans="1:17">
      <c r="C3" s="793" t="s">
        <v>25</v>
      </c>
      <c r="D3" s="793"/>
      <c r="L3" s="761" t="s">
        <v>248</v>
      </c>
    </row>
    <row r="4" spans="1:17">
      <c r="E4" s="114" t="s">
        <v>252</v>
      </c>
      <c r="J4" s="761" t="s">
        <v>249</v>
      </c>
      <c r="L4" s="761" t="s">
        <v>250</v>
      </c>
    </row>
    <row r="5" spans="1:17">
      <c r="A5" s="580" t="s">
        <v>251</v>
      </c>
      <c r="C5" s="813">
        <v>305</v>
      </c>
      <c r="D5" s="813"/>
      <c r="E5" s="114" t="s">
        <v>284</v>
      </c>
      <c r="G5" s="114" t="s">
        <v>253</v>
      </c>
      <c r="I5" s="115" t="s">
        <v>254</v>
      </c>
      <c r="J5" s="761" t="s">
        <v>255</v>
      </c>
      <c r="K5" s="761" t="s">
        <v>256</v>
      </c>
      <c r="L5" s="761" t="s">
        <v>257</v>
      </c>
    </row>
    <row r="6" spans="1:17">
      <c r="A6" s="580" t="s">
        <v>258</v>
      </c>
      <c r="J6" s="814"/>
      <c r="K6" s="761"/>
      <c r="L6" s="761"/>
    </row>
    <row r="7" spans="1:17">
      <c r="A7" s="580" t="s">
        <v>259</v>
      </c>
      <c r="C7" s="115">
        <f>VLOOKUP(A7,'305 Inputs'!$E$125:$H$154,4,FALSE)</f>
        <v>1510928203</v>
      </c>
      <c r="D7" s="115"/>
      <c r="E7" s="815">
        <v>-43618</v>
      </c>
      <c r="G7" s="115">
        <f t="shared" ref="G7:G14" si="0">C7+E7</f>
        <v>1510884585</v>
      </c>
      <c r="H7" s="115"/>
      <c r="I7" s="115">
        <v>1510883771</v>
      </c>
      <c r="J7" s="580">
        <f t="shared" ref="J7:J11" si="1">ROUND(I7/G7*100,3)-100</f>
        <v>0</v>
      </c>
      <c r="K7" s="417">
        <f t="shared" ref="K7:K14" si="2">I7-G7</f>
        <v>-814</v>
      </c>
      <c r="L7" s="417">
        <f t="shared" ref="L7:L14" si="3">IF(ABS(J7)&lt;=0.5,0,IF(G7&gt;I7,(G7*0.995)-I7,(G7*1.005)-I7))</f>
        <v>0</v>
      </c>
    </row>
    <row r="8" spans="1:17">
      <c r="A8" s="580" t="s">
        <v>260</v>
      </c>
      <c r="C8" s="115">
        <f>VLOOKUP(A8,'305 Inputs'!$E$125:$H$154,4,FALSE)</f>
        <v>79640499</v>
      </c>
      <c r="D8" s="115"/>
      <c r="E8" s="815">
        <v>-6286</v>
      </c>
      <c r="G8" s="115">
        <f t="shared" si="0"/>
        <v>79634213</v>
      </c>
      <c r="H8" s="115"/>
      <c r="I8" s="115">
        <v>79634213</v>
      </c>
      <c r="J8" s="580">
        <f t="shared" si="1"/>
        <v>0</v>
      </c>
      <c r="K8" s="417">
        <f t="shared" si="2"/>
        <v>0</v>
      </c>
      <c r="L8" s="417">
        <f t="shared" si="3"/>
        <v>0</v>
      </c>
    </row>
    <row r="9" spans="1:17">
      <c r="A9" s="580" t="s">
        <v>261</v>
      </c>
      <c r="C9" s="115">
        <f>VLOOKUP(A9,'305 Inputs'!$E$125:$H$154,4,FALSE)</f>
        <v>2117570</v>
      </c>
      <c r="D9" s="115"/>
      <c r="E9" s="815">
        <v>-3399</v>
      </c>
      <c r="G9" s="115">
        <f t="shared" si="0"/>
        <v>2114171</v>
      </c>
      <c r="H9" s="115"/>
      <c r="I9" s="115">
        <v>2114171</v>
      </c>
      <c r="J9" s="580">
        <f t="shared" si="1"/>
        <v>0</v>
      </c>
      <c r="K9" s="417">
        <f t="shared" si="2"/>
        <v>0</v>
      </c>
      <c r="L9" s="417">
        <f t="shared" si="3"/>
        <v>0</v>
      </c>
    </row>
    <row r="10" spans="1:17">
      <c r="A10" s="580" t="s">
        <v>262</v>
      </c>
      <c r="C10" s="115">
        <f>VLOOKUP(A10,'305 Inputs'!$E$125:$H$154,4,FALSE)</f>
        <v>321154</v>
      </c>
      <c r="D10" s="115"/>
      <c r="E10" s="815"/>
      <c r="G10" s="115">
        <f t="shared" si="0"/>
        <v>321154</v>
      </c>
      <c r="H10" s="115"/>
      <c r="I10" s="115">
        <v>321154</v>
      </c>
      <c r="J10" s="580">
        <f t="shared" si="1"/>
        <v>0</v>
      </c>
      <c r="K10" s="417">
        <f t="shared" si="2"/>
        <v>0</v>
      </c>
      <c r="L10" s="417">
        <f>IF(ABS(J10)&lt;=0.5,0,IF(G10&gt;I10,(G10*0.995)-I10,(G10*1.005)-I10))</f>
        <v>0</v>
      </c>
      <c r="M10" s="805"/>
      <c r="P10" s="805"/>
    </row>
    <row r="11" spans="1:17">
      <c r="A11" s="580" t="s">
        <v>243</v>
      </c>
      <c r="C11" s="115">
        <f>VLOOKUP(A11,'305 Inputs'!$E$125:$H$154,4,FALSE)</f>
        <v>12389265</v>
      </c>
      <c r="D11" s="115"/>
      <c r="E11" s="815">
        <v>4370</v>
      </c>
      <c r="G11" s="115">
        <f t="shared" si="0"/>
        <v>12393635</v>
      </c>
      <c r="H11" s="115"/>
      <c r="I11" s="115">
        <v>12393640</v>
      </c>
      <c r="J11" s="580">
        <f t="shared" si="1"/>
        <v>0</v>
      </c>
      <c r="K11" s="417">
        <f t="shared" si="2"/>
        <v>5</v>
      </c>
      <c r="L11" s="417">
        <f t="shared" si="3"/>
        <v>0</v>
      </c>
      <c r="M11" s="805"/>
      <c r="P11" s="805"/>
    </row>
    <row r="12" spans="1:17">
      <c r="A12" s="580" t="s">
        <v>263</v>
      </c>
      <c r="C12" s="115">
        <f>VLOOKUP(A12,'305 Inputs'!$E$125:$H$154,4,FALSE)</f>
        <v>945378</v>
      </c>
      <c r="D12" s="115"/>
      <c r="E12" s="815">
        <v>96</v>
      </c>
      <c r="G12" s="115">
        <f t="shared" si="0"/>
        <v>945474</v>
      </c>
      <c r="H12" s="115"/>
      <c r="I12" s="115">
        <v>949541</v>
      </c>
      <c r="J12" s="580">
        <f>ROUND(I12/G12*100,3)-100</f>
        <v>0.43000000000000682</v>
      </c>
      <c r="K12" s="417">
        <f t="shared" si="2"/>
        <v>4067</v>
      </c>
      <c r="L12" s="417">
        <f>IF(ABS(J12)&lt;=0.5,0,IF(G12&gt;I12,(G12*0.995)-I12,(G12*1.005)-I12))</f>
        <v>0</v>
      </c>
    </row>
    <row r="13" spans="1:17">
      <c r="A13" s="580" t="s">
        <v>664</v>
      </c>
      <c r="C13" s="115">
        <f>VLOOKUP(A13,'305 Inputs'!$E$125:$H$154,4,FALSE)</f>
        <v>20979867</v>
      </c>
      <c r="D13" s="115"/>
      <c r="E13" s="815">
        <v>-155746</v>
      </c>
      <c r="G13" s="115">
        <f t="shared" ref="G13" si="4">C13+E13</f>
        <v>20824121</v>
      </c>
      <c r="H13" s="115"/>
      <c r="I13" s="115">
        <v>20824106</v>
      </c>
      <c r="J13" s="580">
        <f>ROUND(I13/G13*100,3)-100</f>
        <v>0</v>
      </c>
      <c r="K13" s="417">
        <f t="shared" ref="K13" si="5">I13-G13</f>
        <v>-15</v>
      </c>
      <c r="L13" s="417">
        <f t="shared" ref="L13" si="6">IF(ABS(J13)&lt;=0.5,0,IF(G13&gt;I13,(G13*0.995)-I13,(G13*1.005)-I13))</f>
        <v>0</v>
      </c>
      <c r="M13" s="805" t="s">
        <v>31</v>
      </c>
      <c r="O13" s="805"/>
      <c r="P13" s="805"/>
      <c r="Q13" s="805"/>
    </row>
    <row r="14" spans="1:17">
      <c r="A14" s="580" t="s">
        <v>883</v>
      </c>
      <c r="C14" s="115">
        <f>VLOOKUP(A14,'305 Inputs'!$E$125:$H$154,4,FALSE)</f>
        <v>211636</v>
      </c>
      <c r="D14" s="115"/>
      <c r="E14" s="815">
        <v>744</v>
      </c>
      <c r="G14" s="115">
        <f t="shared" si="0"/>
        <v>212380</v>
      </c>
      <c r="H14" s="115"/>
      <c r="I14" s="115">
        <v>212380</v>
      </c>
      <c r="J14" s="580">
        <f>ROUND(I14/G14*100,3)-100</f>
        <v>0</v>
      </c>
      <c r="K14" s="417">
        <f t="shared" si="2"/>
        <v>0</v>
      </c>
      <c r="L14" s="417">
        <f t="shared" si="3"/>
        <v>0</v>
      </c>
      <c r="M14" s="805" t="s">
        <v>31</v>
      </c>
      <c r="O14" s="805"/>
      <c r="P14" s="805"/>
      <c r="Q14" s="805"/>
    </row>
    <row r="15" spans="1:17">
      <c r="A15" s="580" t="s">
        <v>877</v>
      </c>
      <c r="C15" s="115">
        <f>VLOOKUP(A15,'305 Inputs'!$E$125:$H$154,4,FALSE)</f>
        <v>1581480</v>
      </c>
      <c r="D15" s="115"/>
      <c r="E15" s="815">
        <v>0</v>
      </c>
      <c r="G15" s="115">
        <f t="shared" ref="G15" si="7">C15+E15</f>
        <v>1581480</v>
      </c>
      <c r="H15" s="115"/>
      <c r="I15" s="115">
        <v>1581480</v>
      </c>
      <c r="J15" s="580">
        <f>ROUND(I15/G15*100,3)-100</f>
        <v>0</v>
      </c>
      <c r="K15" s="417">
        <f t="shared" ref="K15" si="8">I15-G15</f>
        <v>0</v>
      </c>
      <c r="L15" s="417">
        <f t="shared" ref="L15" si="9">IF(ABS(J15)&lt;=0.5,0,IF(G15&gt;I15,(G15*0.995)-I15,(G15*1.005)-I15))</f>
        <v>0</v>
      </c>
      <c r="M15" s="805" t="s">
        <v>31</v>
      </c>
      <c r="O15" s="805"/>
      <c r="P15" s="805"/>
      <c r="Q15" s="805"/>
    </row>
    <row r="16" spans="1:17">
      <c r="A16" s="580" t="s">
        <v>264</v>
      </c>
      <c r="C16" s="115">
        <f>SUM(C7:C15)</f>
        <v>1629115052</v>
      </c>
      <c r="D16" s="115"/>
      <c r="E16" s="115">
        <f>SUM(E7:E15)</f>
        <v>-203839</v>
      </c>
      <c r="G16" s="115">
        <f>SUM(G7:G15)</f>
        <v>1628911213</v>
      </c>
      <c r="H16" s="115"/>
      <c r="I16" s="115">
        <f>SUM(I7:I15)</f>
        <v>1628914456</v>
      </c>
      <c r="K16" s="417">
        <f>SUM(K7:K15)</f>
        <v>3243</v>
      </c>
      <c r="L16" s="417"/>
      <c r="M16" s="805"/>
      <c r="N16" s="115"/>
      <c r="P16" s="805"/>
    </row>
    <row r="17" spans="1:17">
      <c r="C17" s="115"/>
      <c r="D17" s="115"/>
      <c r="K17" s="417"/>
      <c r="L17" s="417"/>
      <c r="M17" s="805"/>
      <c r="O17" s="580" t="s">
        <v>31</v>
      </c>
      <c r="P17" s="805"/>
    </row>
    <row r="18" spans="1:17">
      <c r="C18" s="115"/>
      <c r="D18" s="115"/>
      <c r="K18" s="417"/>
      <c r="L18" s="417"/>
      <c r="M18" s="805"/>
      <c r="P18" s="805"/>
    </row>
    <row r="19" spans="1:17">
      <c r="A19" s="580" t="s">
        <v>265</v>
      </c>
      <c r="C19" s="115"/>
      <c r="D19" s="115"/>
      <c r="K19" s="417"/>
      <c r="L19" s="417"/>
      <c r="M19" s="805"/>
      <c r="P19" s="805"/>
    </row>
    <row r="20" spans="1:17">
      <c r="A20" s="580" t="s">
        <v>51</v>
      </c>
      <c r="C20" s="115">
        <f>VLOOKUP(A20,'305 Inputs'!$E$7:$H$46,4,FALSE)+'305 Inputs'!H30</f>
        <v>512504626</v>
      </c>
      <c r="D20" s="115"/>
      <c r="E20" s="815">
        <v>730624</v>
      </c>
      <c r="G20" s="115">
        <f t="shared" ref="G20:G29" si="10">C20+E20</f>
        <v>513235250</v>
      </c>
      <c r="H20" s="115"/>
      <c r="I20" s="115">
        <v>513235267</v>
      </c>
      <c r="J20" s="580">
        <f>ROUND(I20/G20*100,3)-100</f>
        <v>0</v>
      </c>
      <c r="K20" s="417">
        <f t="shared" ref="K20:K29" si="11">I20-G20</f>
        <v>17</v>
      </c>
      <c r="L20" s="417">
        <f t="shared" ref="L20:L30" si="12">IF(ABS(J20)&lt;=0.5,0,IF(G20&gt;I20,(G20*0.995)-I20,(G20*1.005)-I20))</f>
        <v>0</v>
      </c>
      <c r="M20" s="805" t="s">
        <v>31</v>
      </c>
      <c r="O20" s="805"/>
      <c r="P20" s="805"/>
      <c r="Q20" s="805"/>
    </row>
    <row r="21" spans="1:17">
      <c r="A21" s="580" t="s">
        <v>52</v>
      </c>
      <c r="C21" s="115">
        <f>VLOOKUP(A21,'305 Inputs'!$E$7:$H$46,4,FALSE)+'305 Inputs'!H38</f>
        <v>1223885</v>
      </c>
      <c r="D21" s="115"/>
      <c r="E21" s="815">
        <v>755</v>
      </c>
      <c r="G21" s="115">
        <f t="shared" si="10"/>
        <v>1224640</v>
      </c>
      <c r="H21" s="115"/>
      <c r="I21" s="115">
        <v>1226119.1537199491</v>
      </c>
      <c r="J21" s="580">
        <f>ROUND(I21/G21*100,3)-100</f>
        <v>0.12099999999999511</v>
      </c>
      <c r="K21" s="417">
        <f t="shared" si="11"/>
        <v>1479.1537199490704</v>
      </c>
      <c r="L21" s="417">
        <f t="shared" si="12"/>
        <v>0</v>
      </c>
      <c r="M21" s="580" t="s">
        <v>31</v>
      </c>
    </row>
    <row r="22" spans="1:17">
      <c r="A22" s="580" t="s">
        <v>288</v>
      </c>
      <c r="C22" s="115">
        <f>VLOOKUP(A22,'305 Inputs'!$E$7:$H$46,4,FALSE)</f>
        <v>130258</v>
      </c>
      <c r="D22" s="115"/>
      <c r="E22" s="815">
        <v>-387</v>
      </c>
      <c r="G22" s="115">
        <f t="shared" si="10"/>
        <v>129871</v>
      </c>
      <c r="H22" s="115"/>
      <c r="I22" s="115">
        <v>129871</v>
      </c>
      <c r="J22" s="580">
        <f>ROUND(I22/G22*100,3)-100</f>
        <v>0</v>
      </c>
      <c r="K22" s="417">
        <f t="shared" si="11"/>
        <v>0</v>
      </c>
      <c r="L22" s="417">
        <f t="shared" si="12"/>
        <v>0</v>
      </c>
    </row>
    <row r="23" spans="1:17">
      <c r="A23" s="580" t="s">
        <v>266</v>
      </c>
      <c r="C23" s="115">
        <v>0</v>
      </c>
      <c r="D23" s="115"/>
      <c r="E23" s="815">
        <v>0</v>
      </c>
      <c r="G23" s="115">
        <f t="shared" si="10"/>
        <v>0</v>
      </c>
      <c r="H23" s="115"/>
      <c r="I23" s="115">
        <v>0</v>
      </c>
      <c r="J23" s="580">
        <v>0</v>
      </c>
      <c r="K23" s="417">
        <f t="shared" si="11"/>
        <v>0</v>
      </c>
      <c r="L23" s="417">
        <f t="shared" si="12"/>
        <v>0</v>
      </c>
    </row>
    <row r="24" spans="1:17">
      <c r="A24" s="580" t="s">
        <v>53</v>
      </c>
      <c r="C24" s="115">
        <f>VLOOKUP(A24,'305 Inputs'!$E$7:$H$46,4,FALSE)+'305 Inputs'!H34</f>
        <v>833069378</v>
      </c>
      <c r="D24" s="115"/>
      <c r="E24" s="815">
        <v>-32214</v>
      </c>
      <c r="G24" s="115">
        <f t="shared" si="10"/>
        <v>833037164</v>
      </c>
      <c r="H24" s="115"/>
      <c r="I24" s="115">
        <v>833037164</v>
      </c>
      <c r="J24" s="580">
        <f t="shared" ref="J24:J29" si="13">ROUND(I24/G24*100,3)-100</f>
        <v>0</v>
      </c>
      <c r="K24" s="417">
        <f t="shared" si="11"/>
        <v>0</v>
      </c>
      <c r="L24" s="417">
        <f t="shared" si="12"/>
        <v>0</v>
      </c>
    </row>
    <row r="25" spans="1:17">
      <c r="A25" s="580" t="s">
        <v>54</v>
      </c>
      <c r="C25" s="115">
        <f>VLOOKUP(A25,'305 Inputs'!$E$7:$H$46,4,FALSE)+'305 Inputs'!H45</f>
        <v>194294801</v>
      </c>
      <c r="D25" s="115"/>
      <c r="E25" s="815">
        <v>126900</v>
      </c>
      <c r="G25" s="115">
        <f t="shared" si="10"/>
        <v>194421701</v>
      </c>
      <c r="H25" s="115"/>
      <c r="I25" s="115">
        <v>194421701</v>
      </c>
      <c r="J25" s="580">
        <f t="shared" si="13"/>
        <v>0</v>
      </c>
      <c r="K25" s="417">
        <f t="shared" si="11"/>
        <v>0</v>
      </c>
      <c r="L25" s="417">
        <f t="shared" si="12"/>
        <v>0</v>
      </c>
    </row>
    <row r="26" spans="1:17">
      <c r="A26" s="580" t="s">
        <v>55</v>
      </c>
      <c r="C26" s="115">
        <f>VLOOKUP(A26,'305 Inputs'!$E$7:$H$46,4,FALSE)+'305 Inputs'!H36</f>
        <v>1950213</v>
      </c>
      <c r="D26" s="115"/>
      <c r="E26" s="815">
        <v>961</v>
      </c>
      <c r="G26" s="115">
        <f t="shared" si="10"/>
        <v>1951174</v>
      </c>
      <c r="H26" s="115"/>
      <c r="I26" s="115">
        <v>1957121.5</v>
      </c>
      <c r="J26" s="580">
        <f t="shared" si="13"/>
        <v>0.30500000000000682</v>
      </c>
      <c r="K26" s="417">
        <f t="shared" si="11"/>
        <v>5947.5</v>
      </c>
      <c r="L26" s="417">
        <f t="shared" si="12"/>
        <v>0</v>
      </c>
    </row>
    <row r="27" spans="1:17">
      <c r="A27" s="580" t="s">
        <v>56</v>
      </c>
      <c r="C27" s="115">
        <f>VLOOKUP(A27,'305 Inputs'!$E$7:$H$46,4,FALSE)</f>
        <v>281912</v>
      </c>
      <c r="D27" s="115"/>
      <c r="E27" s="815">
        <v>800</v>
      </c>
      <c r="G27" s="115">
        <f t="shared" si="10"/>
        <v>282712</v>
      </c>
      <c r="H27" s="115"/>
      <c r="I27" s="115">
        <v>282712</v>
      </c>
      <c r="J27" s="580">
        <f t="shared" si="13"/>
        <v>0</v>
      </c>
      <c r="K27" s="417">
        <f t="shared" si="11"/>
        <v>0</v>
      </c>
      <c r="L27" s="417">
        <f t="shared" si="12"/>
        <v>0</v>
      </c>
    </row>
    <row r="28" spans="1:17">
      <c r="A28" s="580" t="s">
        <v>211</v>
      </c>
      <c r="C28" s="115">
        <f>VLOOKUP(A28,'305 Inputs'!$E$7:$H$46,4,FALSE)+'305 Inputs'!H46</f>
        <v>3579148</v>
      </c>
      <c r="D28" s="115"/>
      <c r="E28" s="815">
        <v>-2049</v>
      </c>
      <c r="G28" s="115">
        <f t="shared" ref="G28" si="14">C28+E28</f>
        <v>3577099</v>
      </c>
      <c r="H28" s="115"/>
      <c r="I28" s="115">
        <v>3577099</v>
      </c>
      <c r="J28" s="580">
        <f t="shared" si="13"/>
        <v>0</v>
      </c>
      <c r="K28" s="417">
        <f t="shared" ref="K28" si="15">I28-G28</f>
        <v>0</v>
      </c>
      <c r="L28" s="417">
        <f t="shared" ref="L28" si="16">IF(ABS(J28)&lt;=0.5,0,IF(G28&gt;I28,(G28*0.995)-I28,(G28*1.005)-I28))</f>
        <v>0</v>
      </c>
    </row>
    <row r="29" spans="1:17">
      <c r="A29" s="580" t="s">
        <v>629</v>
      </c>
      <c r="C29" s="115">
        <f>VLOOKUP(A29,'305 Inputs'!$E$7:$H$46,4,FALSE)</f>
        <v>12022753</v>
      </c>
      <c r="D29" s="115"/>
      <c r="E29" s="815">
        <v>0</v>
      </c>
      <c r="G29" s="115">
        <f t="shared" si="10"/>
        <v>12022753</v>
      </c>
      <c r="H29" s="115"/>
      <c r="I29" s="115">
        <v>12022753</v>
      </c>
      <c r="J29" s="580">
        <f t="shared" si="13"/>
        <v>0</v>
      </c>
      <c r="K29" s="417">
        <f t="shared" si="11"/>
        <v>0</v>
      </c>
      <c r="L29" s="417">
        <f t="shared" si="12"/>
        <v>0</v>
      </c>
    </row>
    <row r="30" spans="1:17">
      <c r="A30" s="580" t="s">
        <v>267</v>
      </c>
      <c r="C30" s="115">
        <f>SUM(C20:C29)</f>
        <v>1559056974</v>
      </c>
      <c r="D30" s="115"/>
      <c r="E30" s="115">
        <f>SUM(E20:E29)</f>
        <v>825390</v>
      </c>
      <c r="G30" s="115">
        <f>SUM(G20:G29)</f>
        <v>1559882364</v>
      </c>
      <c r="H30" s="115"/>
      <c r="I30" s="115">
        <f>SUM(I20:I29)</f>
        <v>1559889807.6537199</v>
      </c>
      <c r="K30" s="417">
        <f>SUM(K20:K29)</f>
        <v>7443.6537199490704</v>
      </c>
      <c r="L30" s="417">
        <f t="shared" si="12"/>
        <v>0</v>
      </c>
    </row>
    <row r="31" spans="1:17">
      <c r="C31" s="115"/>
      <c r="D31" s="115"/>
      <c r="E31" s="115"/>
      <c r="K31" s="417"/>
      <c r="L31" s="417"/>
    </row>
    <row r="32" spans="1:17">
      <c r="C32" s="116"/>
      <c r="D32" s="116"/>
      <c r="E32" s="115"/>
      <c r="K32" s="417"/>
      <c r="L32" s="814"/>
    </row>
    <row r="33" spans="1:15">
      <c r="A33" s="580" t="s">
        <v>268</v>
      </c>
      <c r="C33" s="115"/>
      <c r="D33" s="115"/>
      <c r="E33" s="115"/>
      <c r="K33" s="814"/>
      <c r="L33" s="814"/>
    </row>
    <row r="34" spans="1:15">
      <c r="A34" s="580" t="s">
        <v>51</v>
      </c>
      <c r="C34" s="115">
        <f>VLOOKUP(A34,'305 Inputs'!$E$53:$H$77,4,FALSE)+'305 Inputs'!H70+'305 Inputs'!H69</f>
        <v>16054268</v>
      </c>
      <c r="D34" s="115"/>
      <c r="E34" s="815">
        <v>51256</v>
      </c>
      <c r="G34" s="115">
        <f t="shared" ref="G34:G42" si="17">C34+E34</f>
        <v>16105524</v>
      </c>
      <c r="H34" s="115"/>
      <c r="I34" s="115">
        <v>16105524</v>
      </c>
      <c r="J34" s="580">
        <f t="shared" ref="J34:J42" si="18">ROUND(I34/G34*100,3)-100</f>
        <v>0</v>
      </c>
      <c r="K34" s="417">
        <f t="shared" ref="K34:K42" si="19">I34-G34</f>
        <v>0</v>
      </c>
      <c r="L34" s="417">
        <f t="shared" ref="L34:L42" si="20">IF(ABS(J34)&lt;=0.5,0,IF(G34&gt;I34,(G34*0.995)-I34,(G34*1.005)-I34))</f>
        <v>0</v>
      </c>
      <c r="M34" s="417"/>
      <c r="N34" s="115"/>
      <c r="O34" s="417"/>
    </row>
    <row r="35" spans="1:15">
      <c r="A35" s="580" t="s">
        <v>52</v>
      </c>
      <c r="C35" s="115">
        <f>VLOOKUP(A35,'305 Inputs'!$E$53:$H$77,4,FALSE)</f>
        <v>33312</v>
      </c>
      <c r="D35" s="115"/>
      <c r="E35" s="815">
        <v>0</v>
      </c>
      <c r="G35" s="115">
        <f t="shared" si="17"/>
        <v>33312</v>
      </c>
      <c r="H35" s="115"/>
      <c r="I35" s="115">
        <v>33312</v>
      </c>
      <c r="J35" s="580">
        <f t="shared" si="18"/>
        <v>0</v>
      </c>
      <c r="K35" s="417">
        <f t="shared" si="19"/>
        <v>0</v>
      </c>
      <c r="L35" s="417">
        <f t="shared" si="20"/>
        <v>0</v>
      </c>
      <c r="N35" s="115"/>
    </row>
    <row r="36" spans="1:15">
      <c r="A36" s="580" t="s">
        <v>288</v>
      </c>
      <c r="C36" s="115">
        <f>VLOOKUP(A36,'305 Inputs'!$E$53:$H$77,4,FALSE)</f>
        <v>4397</v>
      </c>
      <c r="D36" s="115"/>
      <c r="E36" s="815">
        <f>0</f>
        <v>0</v>
      </c>
      <c r="G36" s="115">
        <f t="shared" si="17"/>
        <v>4397</v>
      </c>
      <c r="H36" s="115"/>
      <c r="I36" s="115">
        <v>4397</v>
      </c>
      <c r="J36" s="580">
        <f t="shared" si="18"/>
        <v>0</v>
      </c>
      <c r="K36" s="417">
        <f t="shared" si="19"/>
        <v>0</v>
      </c>
      <c r="L36" s="417">
        <f t="shared" si="20"/>
        <v>0</v>
      </c>
      <c r="N36" s="115"/>
    </row>
    <row r="37" spans="1:15">
      <c r="A37" s="580" t="s">
        <v>53</v>
      </c>
      <c r="C37" s="115">
        <f>VLOOKUP(A37,'305 Inputs'!$E$53:$H$77,4,FALSE)+'305 Inputs'!H74</f>
        <v>101387310</v>
      </c>
      <c r="D37" s="115"/>
      <c r="E37" s="815">
        <v>769480</v>
      </c>
      <c r="G37" s="115">
        <f t="shared" si="17"/>
        <v>102156790</v>
      </c>
      <c r="H37" s="115"/>
      <c r="I37" s="115">
        <v>102156790</v>
      </c>
      <c r="J37" s="580">
        <f t="shared" si="18"/>
        <v>0</v>
      </c>
      <c r="K37" s="417">
        <f t="shared" si="19"/>
        <v>0</v>
      </c>
      <c r="L37" s="417">
        <f t="shared" si="20"/>
        <v>0</v>
      </c>
      <c r="N37" s="115"/>
    </row>
    <row r="38" spans="1:15">
      <c r="A38" s="580" t="s">
        <v>158</v>
      </c>
      <c r="C38" s="115">
        <f>VLOOKUP(A38,'305 Inputs'!$E$53:$H$77,4,FALSE)</f>
        <v>2624625</v>
      </c>
      <c r="D38" s="115"/>
      <c r="E38" s="815">
        <v>0</v>
      </c>
      <c r="G38" s="115">
        <f t="shared" si="17"/>
        <v>2624625</v>
      </c>
      <c r="H38" s="115"/>
      <c r="I38" s="115">
        <v>2630000</v>
      </c>
      <c r="J38" s="580">
        <f t="shared" si="18"/>
        <v>0.20499999999999829</v>
      </c>
      <c r="K38" s="417">
        <f t="shared" si="19"/>
        <v>5375</v>
      </c>
      <c r="L38" s="417">
        <f t="shared" si="20"/>
        <v>0</v>
      </c>
      <c r="N38" s="115"/>
    </row>
    <row r="39" spans="1:15">
      <c r="A39" s="580" t="s">
        <v>54</v>
      </c>
      <c r="C39" s="115">
        <f>VLOOKUP(A39,'305 Inputs'!$E$53:$H$77,4,FALSE)-C40</f>
        <v>202575950</v>
      </c>
      <c r="D39" s="115"/>
      <c r="E39" s="815">
        <v>-690100</v>
      </c>
      <c r="G39" s="115">
        <f t="shared" si="17"/>
        <v>201885850</v>
      </c>
      <c r="H39" s="115"/>
      <c r="I39" s="115">
        <v>201885850</v>
      </c>
      <c r="J39" s="580">
        <f t="shared" si="18"/>
        <v>0</v>
      </c>
      <c r="K39" s="417">
        <f t="shared" si="19"/>
        <v>0</v>
      </c>
      <c r="L39" s="417">
        <f t="shared" si="20"/>
        <v>0</v>
      </c>
      <c r="N39" s="115"/>
    </row>
    <row r="40" spans="1:15">
      <c r="A40" s="580" t="s">
        <v>569</v>
      </c>
      <c r="C40" s="115">
        <v>413046000</v>
      </c>
      <c r="D40" s="115"/>
      <c r="E40" s="815">
        <v>0</v>
      </c>
      <c r="G40" s="115">
        <f t="shared" ref="G40" si="21">C40+E40</f>
        <v>413046000</v>
      </c>
      <c r="H40" s="115"/>
      <c r="I40" s="115">
        <v>413046000</v>
      </c>
      <c r="J40" s="580">
        <f t="shared" ref="J40" si="22">ROUND(I40/G40*100,3)-100</f>
        <v>0</v>
      </c>
      <c r="K40" s="417">
        <f t="shared" ref="K40" si="23">I40-G40</f>
        <v>0</v>
      </c>
      <c r="L40" s="417">
        <f t="shared" ref="L40" si="24">IF(ABS(J40)&lt;=0.5,0,IF(G40&gt;I40,(G40*0.995)-I40,(G40*1.005)-I40))</f>
        <v>0</v>
      </c>
      <c r="N40" s="115"/>
    </row>
    <row r="41" spans="1:15">
      <c r="A41" s="580" t="s">
        <v>60</v>
      </c>
      <c r="C41" s="115">
        <v>0</v>
      </c>
      <c r="D41" s="115"/>
      <c r="E41" s="815">
        <v>0</v>
      </c>
      <c r="G41" s="115">
        <f t="shared" si="17"/>
        <v>0</v>
      </c>
      <c r="H41" s="115"/>
      <c r="I41" s="115">
        <v>0</v>
      </c>
      <c r="J41" s="580">
        <v>0</v>
      </c>
      <c r="K41" s="417">
        <f t="shared" si="19"/>
        <v>0</v>
      </c>
      <c r="L41" s="417">
        <f t="shared" si="20"/>
        <v>0</v>
      </c>
      <c r="N41" s="115"/>
    </row>
    <row r="42" spans="1:15">
      <c r="A42" s="580" t="s">
        <v>55</v>
      </c>
      <c r="C42" s="115">
        <f>VLOOKUP(A42,'305 Inputs'!$E$53:$H$77,4,FALSE)+'305 Inputs'!H76</f>
        <v>122864</v>
      </c>
      <c r="D42" s="115"/>
      <c r="E42" s="815">
        <v>96</v>
      </c>
      <c r="G42" s="115">
        <f t="shared" si="17"/>
        <v>122960</v>
      </c>
      <c r="H42" s="115"/>
      <c r="I42" s="115">
        <v>123108</v>
      </c>
      <c r="J42" s="580">
        <f t="shared" si="18"/>
        <v>0.12000000000000455</v>
      </c>
      <c r="K42" s="417">
        <f t="shared" si="19"/>
        <v>148</v>
      </c>
      <c r="L42" s="417">
        <f t="shared" si="20"/>
        <v>0</v>
      </c>
      <c r="N42" s="115"/>
    </row>
    <row r="43" spans="1:15">
      <c r="A43" s="580" t="s">
        <v>269</v>
      </c>
      <c r="C43" s="115">
        <f>SUM(C34:C42)</f>
        <v>735848726</v>
      </c>
      <c r="D43" s="115"/>
      <c r="E43" s="115">
        <f>SUM(E34:E42)</f>
        <v>130732</v>
      </c>
      <c r="G43" s="115">
        <f>SUM(G34:G42)</f>
        <v>735979458</v>
      </c>
      <c r="H43" s="115"/>
      <c r="I43" s="115">
        <f>SUM(I34:I42)</f>
        <v>735984981</v>
      </c>
      <c r="K43" s="115">
        <f>SUM(K34:K42)</f>
        <v>5523</v>
      </c>
      <c r="L43" s="417"/>
      <c r="N43" s="115"/>
    </row>
    <row r="44" spans="1:15">
      <c r="C44" s="115"/>
      <c r="D44" s="115"/>
      <c r="G44" s="115"/>
      <c r="H44" s="115"/>
      <c r="K44" s="115"/>
      <c r="L44" s="417"/>
      <c r="N44" s="115"/>
    </row>
    <row r="45" spans="1:15">
      <c r="C45" s="115"/>
      <c r="D45" s="115"/>
      <c r="G45" s="115"/>
      <c r="H45" s="115"/>
      <c r="K45" s="115"/>
      <c r="L45" s="417"/>
      <c r="N45" s="115"/>
    </row>
    <row r="46" spans="1:15">
      <c r="A46" s="580" t="s">
        <v>270</v>
      </c>
      <c r="C46" s="115"/>
      <c r="D46" s="115"/>
      <c r="G46" s="115"/>
      <c r="H46" s="115"/>
      <c r="K46" s="115"/>
      <c r="L46" s="417"/>
      <c r="N46" s="115"/>
    </row>
    <row r="47" spans="1:15">
      <c r="A47" s="580" t="s">
        <v>58</v>
      </c>
      <c r="C47" s="115">
        <f>VLOOKUP(A47,'305 Inputs'!$E$83:$H$105,4,FALSE)+'305 Inputs'!H103</f>
        <v>99183957</v>
      </c>
      <c r="D47" s="115"/>
      <c r="E47" s="815">
        <v>-1117007</v>
      </c>
      <c r="G47" s="115">
        <f>C47+E47</f>
        <v>98066950</v>
      </c>
      <c r="H47" s="115"/>
      <c r="I47" s="115">
        <v>98066951</v>
      </c>
      <c r="J47" s="580">
        <f>ROUND(I47/G47*100,3)-100</f>
        <v>0</v>
      </c>
      <c r="K47" s="417">
        <f t="shared" ref="K47:K57" si="25">I47-G47</f>
        <v>1</v>
      </c>
      <c r="L47" s="417">
        <f>IF(ABS(J47)&lt;=0.5,0,IF(G47&gt;I47,(G47*0.995)-I47,(G47*1.005)-I47))</f>
        <v>0</v>
      </c>
      <c r="N47" s="115"/>
    </row>
    <row r="48" spans="1:15">
      <c r="A48" s="580" t="s">
        <v>59</v>
      </c>
      <c r="C48" s="115">
        <f>VLOOKUP(A48,'305 Inputs'!$E$83:$H$105,4,FALSE)+'305 Inputs'!H105</f>
        <v>59314194</v>
      </c>
      <c r="D48" s="115"/>
      <c r="E48" s="815">
        <v>1040767</v>
      </c>
      <c r="G48" s="115">
        <f>C48+E48</f>
        <v>60354961</v>
      </c>
      <c r="H48" s="115"/>
      <c r="I48" s="115">
        <v>60354962</v>
      </c>
      <c r="J48" s="580">
        <f>ROUND(I48/G48*100,3)-100</f>
        <v>0</v>
      </c>
      <c r="K48" s="417">
        <f t="shared" si="25"/>
        <v>1</v>
      </c>
      <c r="L48" s="417">
        <f>IF(ABS(J48)&lt;=0.5,0,IF(G48&gt;I48,(G48*0.995)-I48,(G48*1.005)-I48))</f>
        <v>0</v>
      </c>
      <c r="N48" s="115"/>
    </row>
    <row r="49" spans="1:14">
      <c r="A49" s="580" t="s">
        <v>271</v>
      </c>
      <c r="C49" s="115">
        <f>SUM(C47:C48)</f>
        <v>158498151</v>
      </c>
      <c r="D49" s="115"/>
      <c r="E49" s="115">
        <f>SUM(E47:E48)</f>
        <v>-76240</v>
      </c>
      <c r="G49" s="115">
        <f>SUM(G47:G48)</f>
        <v>158421911</v>
      </c>
      <c r="H49" s="115"/>
      <c r="I49" s="115">
        <f>SUM(I47:I48)</f>
        <v>158421913</v>
      </c>
      <c r="K49" s="417">
        <f t="shared" si="25"/>
        <v>2</v>
      </c>
      <c r="L49" s="417"/>
      <c r="N49" s="115"/>
    </row>
    <row r="50" spans="1:14">
      <c r="C50" s="115"/>
      <c r="D50" s="115"/>
      <c r="G50" s="115"/>
      <c r="H50" s="115"/>
      <c r="K50" s="417">
        <f t="shared" si="25"/>
        <v>0</v>
      </c>
      <c r="L50" s="417"/>
      <c r="N50" s="115"/>
    </row>
    <row r="51" spans="1:14">
      <c r="C51" s="115"/>
      <c r="D51" s="115"/>
      <c r="G51" s="115"/>
      <c r="H51" s="115"/>
      <c r="K51" s="417">
        <f t="shared" si="25"/>
        <v>0</v>
      </c>
      <c r="L51" s="417"/>
      <c r="N51" s="115"/>
    </row>
    <row r="52" spans="1:14">
      <c r="A52" s="580" t="s">
        <v>272</v>
      </c>
      <c r="C52" s="115"/>
      <c r="D52" s="115"/>
      <c r="G52" s="115"/>
      <c r="H52" s="115"/>
      <c r="K52" s="417">
        <f t="shared" si="25"/>
        <v>0</v>
      </c>
      <c r="L52" s="417"/>
      <c r="N52" s="115"/>
    </row>
    <row r="53" spans="1:14">
      <c r="A53" s="580" t="s">
        <v>61</v>
      </c>
      <c r="C53" s="115">
        <f>VLOOKUP(A53,'305 Inputs'!$E$111:$H$119,4,FALSE)</f>
        <v>141214</v>
      </c>
      <c r="D53" s="115"/>
      <c r="E53" s="815">
        <v>-354.65937179355893</v>
      </c>
      <c r="G53" s="115">
        <f>C53+E53</f>
        <v>140859.34062820644</v>
      </c>
      <c r="H53" s="115"/>
      <c r="I53" s="115">
        <v>140860.105288452</v>
      </c>
      <c r="J53" s="580">
        <f>ROUND(I53/G53*100,3)-100</f>
        <v>1.0000000000047748E-3</v>
      </c>
      <c r="K53" s="417">
        <f t="shared" si="25"/>
        <v>0.76466024556430057</v>
      </c>
      <c r="L53" s="417">
        <f>IF(ABS(J53)&lt;=0.5,0,IF(G53&gt;I53,(G53*0.995)-I53,(G53*1.005)-I53))</f>
        <v>0</v>
      </c>
      <c r="N53" s="115"/>
    </row>
    <row r="54" spans="1:14">
      <c r="A54" s="580" t="s">
        <v>62</v>
      </c>
      <c r="C54" s="115">
        <f>VLOOKUP(A54,'305 Inputs'!$E$111:$H$119,4,FALSE)</f>
        <v>2957358</v>
      </c>
      <c r="D54" s="115"/>
      <c r="E54" s="815">
        <v>519.0132005032533</v>
      </c>
      <c r="G54" s="115">
        <f>C54+E54</f>
        <v>2957877.0132005033</v>
      </c>
      <c r="H54" s="115"/>
      <c r="I54" s="115">
        <v>2957877.7353539728</v>
      </c>
      <c r="J54" s="580">
        <f>ROUND(I54/G54*100,3)-100</f>
        <v>0</v>
      </c>
      <c r="K54" s="417">
        <f t="shared" si="25"/>
        <v>0.7221534694544971</v>
      </c>
      <c r="L54" s="417">
        <f>IF(ABS(J54)&lt;=0.5,0,IF(G54&gt;I54,(G54*0.995)-I54,(G54*1.005)-I54))</f>
        <v>0</v>
      </c>
      <c r="N54" s="115"/>
    </row>
    <row r="55" spans="1:14">
      <c r="A55" s="580" t="s">
        <v>63</v>
      </c>
      <c r="C55" s="115">
        <f>VLOOKUP(A55,'305 Inputs'!$E$111:$H$119,4,FALSE)</f>
        <v>738432</v>
      </c>
      <c r="D55" s="115"/>
      <c r="E55" s="815">
        <v>-413</v>
      </c>
      <c r="G55" s="115">
        <f>C55+E55</f>
        <v>738019</v>
      </c>
      <c r="H55" s="115"/>
      <c r="I55" s="115">
        <v>738019</v>
      </c>
      <c r="J55" s="580">
        <f>ROUND(I55/G55*100,3)-100</f>
        <v>0</v>
      </c>
      <c r="K55" s="417">
        <f t="shared" si="25"/>
        <v>0</v>
      </c>
      <c r="L55" s="417">
        <f>IF(ABS(J55)&lt;=0.5,0,IF(G55&gt;I55,(G55*0.995)-I55,(G55*1.005)-I55))</f>
        <v>0</v>
      </c>
      <c r="N55" s="115"/>
    </row>
    <row r="56" spans="1:14">
      <c r="A56" s="580" t="s">
        <v>826</v>
      </c>
      <c r="C56" s="115">
        <f>VLOOKUP(A56,'305 Inputs'!$E$111:$H$119,4,FALSE)</f>
        <v>3588894</v>
      </c>
      <c r="D56" s="115"/>
      <c r="E56" s="815">
        <v>33084.808149925964</v>
      </c>
      <c r="G56" s="115">
        <f>C56+E56</f>
        <v>3621978.8081499259</v>
      </c>
      <c r="H56" s="115"/>
      <c r="I56" s="115">
        <v>3621950.3857190385</v>
      </c>
      <c r="J56" s="580">
        <f>ROUND(I56/G56*100,3)-100</f>
        <v>-1.0000000000047748E-3</v>
      </c>
      <c r="K56" s="417">
        <f t="shared" si="25"/>
        <v>-28.422430887352675</v>
      </c>
      <c r="L56" s="417">
        <f>IF(ABS(J56)&lt;=0.5,0,IF(G56&gt;I56,(G56*0.995)-I56,(G56*1.005)-I56))</f>
        <v>0</v>
      </c>
      <c r="N56" s="115"/>
    </row>
    <row r="57" spans="1:14">
      <c r="A57" s="580" t="s">
        <v>65</v>
      </c>
      <c r="C57" s="115">
        <f>VLOOKUP(A57,'305 Inputs'!$E$111:$H$120,4,FALSE)</f>
        <v>1459809</v>
      </c>
      <c r="D57" s="115"/>
      <c r="E57" s="815">
        <f>9900</f>
        <v>9900</v>
      </c>
      <c r="G57" s="115">
        <f>C57+E57</f>
        <v>1469709</v>
      </c>
      <c r="H57" s="115"/>
      <c r="I57" s="115">
        <v>1469704.1535796304</v>
      </c>
      <c r="J57" s="580">
        <f>ROUND(I57/G57*100,3)-100</f>
        <v>0</v>
      </c>
      <c r="K57" s="417">
        <f t="shared" si="25"/>
        <v>-4.8464203695766628</v>
      </c>
      <c r="L57" s="417">
        <f>IF(ABS(J57)&lt;=0.5,0,IF(G57&gt;I57,(G57*0.995)-I57,(G57*1.005)-I57))</f>
        <v>0</v>
      </c>
      <c r="N57" s="115"/>
    </row>
    <row r="58" spans="1:14">
      <c r="A58" s="580" t="s">
        <v>273</v>
      </c>
      <c r="C58" s="115">
        <f>SUM(C53:C57)</f>
        <v>8885707</v>
      </c>
      <c r="D58" s="115"/>
      <c r="E58" s="115">
        <f>SUM(E53:E57)</f>
        <v>42736.16197863566</v>
      </c>
      <c r="G58" s="115">
        <f>SUM(G53:G57)</f>
        <v>8928443.1619786359</v>
      </c>
      <c r="H58" s="115"/>
      <c r="I58" s="115">
        <f>SUM(I53:I57)</f>
        <v>8928411.3799410928</v>
      </c>
      <c r="K58" s="115">
        <f>SUM(K53:K57)</f>
        <v>-31.78203754191054</v>
      </c>
      <c r="L58" s="417"/>
      <c r="N58" s="115"/>
    </row>
    <row r="59" spans="1:14">
      <c r="C59" s="115"/>
      <c r="D59" s="115"/>
      <c r="G59" s="115"/>
      <c r="H59" s="115"/>
      <c r="K59" s="115"/>
      <c r="L59" s="417"/>
      <c r="N59" s="115"/>
    </row>
    <row r="60" spans="1:14">
      <c r="A60" s="580" t="s">
        <v>274</v>
      </c>
      <c r="C60" s="115">
        <f>C58+C49+C43+C30+C16</f>
        <v>4091404610</v>
      </c>
      <c r="D60" s="115"/>
      <c r="E60" s="115">
        <f>E58+E49+E43+E30+E16</f>
        <v>718779.1619786357</v>
      </c>
      <c r="G60" s="115">
        <f>G58+G49+G43+G30+G16</f>
        <v>4092123389.1619787</v>
      </c>
      <c r="H60" s="115"/>
      <c r="I60" s="115">
        <f>I58+I49+I43+I30+I16</f>
        <v>4092139569.0336609</v>
      </c>
      <c r="J60" s="816">
        <f>ROUND(I60/G60*100,3)-100</f>
        <v>0</v>
      </c>
      <c r="K60" s="417">
        <f>I60-G60</f>
        <v>16179.871682167053</v>
      </c>
      <c r="L60" s="417">
        <f>IF(ABS(J60)&lt;=0.5,0,IF(G60&gt;I60,(G60*0.995)-I60,(G60*1.005)-I60))</f>
        <v>0</v>
      </c>
      <c r="N60" s="115">
        <f>N58+N49+N43+N30+N16</f>
        <v>0</v>
      </c>
    </row>
    <row r="61" spans="1:14">
      <c r="K61" s="417"/>
    </row>
    <row r="62" spans="1:14">
      <c r="K62" s="417"/>
    </row>
    <row r="63" spans="1:14">
      <c r="K63" s="417"/>
    </row>
    <row r="64" spans="1:14">
      <c r="A64" s="580" t="s">
        <v>275</v>
      </c>
      <c r="C64" s="117"/>
      <c r="D64" s="117"/>
      <c r="E64" s="118"/>
      <c r="F64" s="118"/>
      <c r="G64" s="118"/>
      <c r="H64" s="118"/>
      <c r="I64" s="118"/>
      <c r="L64" s="417"/>
      <c r="N64" s="118"/>
    </row>
    <row r="65" spans="1:14">
      <c r="A65" s="580" t="s">
        <v>263</v>
      </c>
      <c r="C65" s="115">
        <f>SUMIF($A$6:$A$57,$A65,C$6:C$57)</f>
        <v>945378</v>
      </c>
      <c r="D65" s="115"/>
      <c r="E65" s="115">
        <f>SUMIF($A$6:$A$57,$A65,E$6:E$57)</f>
        <v>96</v>
      </c>
      <c r="F65" s="115"/>
      <c r="G65" s="115">
        <f>SUMIF($A$6:$A$57,$A65,G$6:G$57)</f>
        <v>945474</v>
      </c>
      <c r="H65" s="115"/>
      <c r="I65" s="115">
        <f>SUMIF($A$6:$A$57,$A65,I$6:I$57)</f>
        <v>949541</v>
      </c>
      <c r="J65" s="580">
        <f>ROUND(I65/G65*100,3)-100</f>
        <v>0.43000000000000682</v>
      </c>
      <c r="K65" s="417">
        <f>I65-G65</f>
        <v>4067</v>
      </c>
      <c r="L65" s="417">
        <f>IF(ABS(J65)&lt;=0.5,0,IF(G65&gt;I65,(G65*0.995)-I65,(G65*1.005)-I65))</f>
        <v>0</v>
      </c>
      <c r="M65" s="805"/>
      <c r="N65" s="115">
        <f>SUMIF($A$6:$A$57,"=02OALT015R",N$6:N$57)</f>
        <v>0</v>
      </c>
    </row>
    <row r="66" spans="1:14">
      <c r="A66" s="580" t="s">
        <v>55</v>
      </c>
      <c r="C66" s="115">
        <f>SUMIF($A$6:$A$57,$A66,C$6:C$57)</f>
        <v>2073077</v>
      </c>
      <c r="D66" s="115"/>
      <c r="E66" s="115">
        <f>SUMIF($A$6:$A$57,$A66,E$6:E$57)</f>
        <v>1057</v>
      </c>
      <c r="F66" s="115"/>
      <c r="G66" s="115">
        <f>SUMIF($A$6:$A$57,$A66,G$6:G$57)</f>
        <v>2074134</v>
      </c>
      <c r="H66" s="115"/>
      <c r="I66" s="115">
        <f>SUMIF($A$6:$A$57,$A66,I$6:I$57)</f>
        <v>2080229.5</v>
      </c>
      <c r="J66" s="580">
        <f>ROUND(I66/G66*100,3)-100</f>
        <v>0.29399999999999693</v>
      </c>
      <c r="K66" s="417">
        <f>I66-G66</f>
        <v>6095.5</v>
      </c>
      <c r="L66" s="417">
        <f>IF(ABS(J66)&lt;=0.5,0,IF(G66&gt;I66,(G66*0.995)-I66,(G66*1.005)-I66))</f>
        <v>0</v>
      </c>
      <c r="M66" s="805"/>
      <c r="N66" s="115">
        <f>SUMIF($A$6:$A$57,"=02OALT015N",N$6:N$57)</f>
        <v>0</v>
      </c>
    </row>
    <row r="67" spans="1:14">
      <c r="A67" s="580" t="s">
        <v>276</v>
      </c>
      <c r="C67" s="115">
        <f>SUM(C65:C66)</f>
        <v>3018455</v>
      </c>
      <c r="D67" s="115"/>
      <c r="E67" s="115">
        <f>SUM(E65:E66)</f>
        <v>1153</v>
      </c>
      <c r="F67" s="115"/>
      <c r="G67" s="115">
        <f>SUM(G65:G66)</f>
        <v>3019608</v>
      </c>
      <c r="H67" s="115"/>
      <c r="I67" s="115">
        <f>SUM(I65:I66)</f>
        <v>3029770.5</v>
      </c>
      <c r="J67" s="580">
        <f>ROUND(I67/G67*100,3)-100</f>
        <v>0.3370000000000033</v>
      </c>
      <c r="K67" s="417">
        <f>I67-G67</f>
        <v>10162.5</v>
      </c>
      <c r="L67" s="417">
        <f>IF(ABS(J67)&lt;=0.5,0,IF(G67&gt;I67,(G67*0.995)-I67,(G67*1.005)-I67))</f>
        <v>0</v>
      </c>
      <c r="M67" s="805"/>
      <c r="N67" s="115">
        <f>SUM(N65:N66)</f>
        <v>0</v>
      </c>
    </row>
    <row r="68" spans="1:14">
      <c r="C68" s="115"/>
      <c r="D68" s="115"/>
      <c r="E68" s="115"/>
      <c r="F68" s="115"/>
      <c r="G68" s="115"/>
      <c r="H68" s="115"/>
      <c r="K68" s="115"/>
      <c r="L68" s="417"/>
      <c r="M68" s="805"/>
      <c r="N68" s="115"/>
    </row>
    <row r="69" spans="1:14">
      <c r="A69" s="580" t="s">
        <v>259</v>
      </c>
      <c r="C69" s="115">
        <f>SUMIF($A$6:$A$57,$A69,C$6:C$57)</f>
        <v>1510928203</v>
      </c>
      <c r="D69" s="115"/>
      <c r="E69" s="115">
        <f>SUMIF($A$6:$A$57,$A69,E$6:E$57)</f>
        <v>-43618</v>
      </c>
      <c r="F69" s="115"/>
      <c r="G69" s="115">
        <f>SUMIF($A$6:$A$57,$A69,G$6:G$57)</f>
        <v>1510884585</v>
      </c>
      <c r="H69" s="115"/>
      <c r="I69" s="115">
        <f>SUMIF($A$6:$A$57,$A69,I$6:I$57)</f>
        <v>1510883771</v>
      </c>
      <c r="J69" s="580">
        <f>ROUND(I69/G69*100,3)-100</f>
        <v>0</v>
      </c>
      <c r="K69" s="417">
        <f>I69-G69</f>
        <v>-814</v>
      </c>
      <c r="L69" s="417">
        <f>IF(ABS(J69)&lt;=0.5,0,IF(G69&gt;I69,(G69*0.995)-I69,(G69*1.005)-I69))</f>
        <v>0</v>
      </c>
      <c r="M69" s="805"/>
      <c r="N69" s="115">
        <f>SUMIF($A$6:$A$57,"=02RESD0016",N$6:N$57)</f>
        <v>0</v>
      </c>
    </row>
    <row r="70" spans="1:14">
      <c r="A70" s="580" t="s">
        <v>260</v>
      </c>
      <c r="C70" s="115">
        <f>SUMIF($A$6:$A$57,$A70,C$6:C$57)</f>
        <v>79640499</v>
      </c>
      <c r="D70" s="115"/>
      <c r="E70" s="115">
        <f>SUMIF($A$6:$A$57,$A70,E$6:E$57)</f>
        <v>-6286</v>
      </c>
      <c r="F70" s="115"/>
      <c r="G70" s="115">
        <f>SUMIF($A$6:$A$57,$A70,G$6:G$57)</f>
        <v>79634213</v>
      </c>
      <c r="H70" s="115"/>
      <c r="I70" s="115">
        <f>SUMIF($A$6:$A$57,$A70,I$6:I$57)</f>
        <v>79634213</v>
      </c>
      <c r="J70" s="580">
        <f>ROUND(I70/G70*100,3)-100</f>
        <v>0</v>
      </c>
      <c r="K70" s="417">
        <f>I70-G70</f>
        <v>0</v>
      </c>
      <c r="L70" s="417">
        <f>IF(ABS(J70)&lt;=0.5,0,IF(G70&gt;I70,(G70*0.995)-I70,(G70*1.005)-I70))</f>
        <v>0</v>
      </c>
      <c r="M70" s="805"/>
      <c r="N70" s="115">
        <f>SUMIF($A$6:$A$57,"=02RESD0017",N$6:N$57)</f>
        <v>0</v>
      </c>
    </row>
    <row r="71" spans="1:14">
      <c r="A71" s="580" t="s">
        <v>243</v>
      </c>
      <c r="C71" s="115">
        <f>SUMIF($A$6:$A$57,$A71,C$6:C$57)</f>
        <v>12389265</v>
      </c>
      <c r="D71" s="115"/>
      <c r="E71" s="115">
        <f>SUMIF($A$6:$A$57,$A71,E$6:E$57)</f>
        <v>4370</v>
      </c>
      <c r="F71" s="115"/>
      <c r="G71" s="115">
        <f>SUMIF($A$6:$A$57,$A71,G$6:G$57)</f>
        <v>12393635</v>
      </c>
      <c r="H71" s="115"/>
      <c r="I71" s="115">
        <f>SUMIF($A$6:$A$57,$A71,I$6:I$57)</f>
        <v>12393640</v>
      </c>
      <c r="J71" s="580">
        <f>ROUND(I71/G71*100,3)-100</f>
        <v>0</v>
      </c>
      <c r="K71" s="417">
        <f>I71-G71</f>
        <v>5</v>
      </c>
      <c r="L71" s="417">
        <f>IF(ABS(J71)&lt;=0.5,0,IF(G71&gt;I71,(G71*0.995)-I71,(G71*1.005)-I71))</f>
        <v>0</v>
      </c>
      <c r="M71" s="805"/>
      <c r="N71" s="115">
        <f>SUMIF($A$6:$A$57,"=02RESD0017",N$6:N$57)</f>
        <v>0</v>
      </c>
    </row>
    <row r="72" spans="1:14">
      <c r="A72" s="580" t="s">
        <v>277</v>
      </c>
      <c r="C72" s="115">
        <f>SUM(C69:C71)</f>
        <v>1602957967</v>
      </c>
      <c r="D72" s="115"/>
      <c r="E72" s="115">
        <f>SUM(E69:E71)</f>
        <v>-45534</v>
      </c>
      <c r="F72" s="115"/>
      <c r="G72" s="115">
        <f>SUM(G69:G71)</f>
        <v>1602912433</v>
      </c>
      <c r="H72" s="115"/>
      <c r="I72" s="115">
        <f>SUM(I69:I71)</f>
        <v>1602911624</v>
      </c>
      <c r="J72" s="580">
        <f>ROUND(I72/G72*100,3)-100</f>
        <v>0</v>
      </c>
      <c r="K72" s="417">
        <f>I72-G72</f>
        <v>-809</v>
      </c>
      <c r="L72" s="417" t="s">
        <v>31</v>
      </c>
      <c r="M72" s="805"/>
      <c r="N72" s="115">
        <f>SUM(N69:N71)</f>
        <v>0</v>
      </c>
    </row>
    <row r="73" spans="1:14">
      <c r="C73" s="115"/>
      <c r="D73" s="115"/>
      <c r="E73" s="115"/>
      <c r="F73" s="115"/>
      <c r="G73" s="115"/>
      <c r="H73" s="115"/>
      <c r="K73" s="115"/>
      <c r="L73" s="417"/>
      <c r="M73" s="805"/>
      <c r="N73" s="115"/>
    </row>
    <row r="74" spans="1:14">
      <c r="A74" s="580" t="s">
        <v>261</v>
      </c>
      <c r="C74" s="115">
        <f>SUMIF($A$6:$A$57,$A74,C$6:C$57)</f>
        <v>2117570</v>
      </c>
      <c r="D74" s="115"/>
      <c r="E74" s="115">
        <f>SUMIF($A$6:$A$57,$A74,E$6:E$57)</f>
        <v>-3399</v>
      </c>
      <c r="F74" s="115"/>
      <c r="G74" s="115">
        <f>SUMIF($A$6:$A$57,$A74,G$6:G$57)</f>
        <v>2114171</v>
      </c>
      <c r="H74" s="115"/>
      <c r="I74" s="115">
        <f>SUMIF($A$6:$A$57,$A74,I$6:I$57)</f>
        <v>2114171</v>
      </c>
      <c r="J74" s="580">
        <f>ROUND(I74/G74*100,3)-100</f>
        <v>0</v>
      </c>
      <c r="K74" s="417">
        <f>I74-G74</f>
        <v>0</v>
      </c>
      <c r="L74" s="417">
        <f>IF(ABS(J74)&lt;=0.5,0,IF(G74&gt;I74,(G74*0.995)-I74,(G74*1.005)-I74))</f>
        <v>0</v>
      </c>
      <c r="M74" s="805"/>
      <c r="N74" s="115">
        <f>SUMIF($A$6:$A$57,"=02RESD0018",N$6:N$57)</f>
        <v>0</v>
      </c>
    </row>
    <row r="75" spans="1:14">
      <c r="A75" s="580" t="s">
        <v>262</v>
      </c>
      <c r="C75" s="115">
        <f>SUMIF($A$6:$A$57,$A75,C$6:C$57)</f>
        <v>321154</v>
      </c>
      <c r="D75" s="115"/>
      <c r="E75" s="115">
        <f>SUMIF($A$6:$A$57,$A75,E$6:E$57)</f>
        <v>0</v>
      </c>
      <c r="F75" s="115"/>
      <c r="G75" s="115">
        <f>SUMIF($A$6:$A$57,$A75,G$6:G$57)</f>
        <v>321154</v>
      </c>
      <c r="H75" s="115"/>
      <c r="I75" s="115">
        <f>SUMIF($A$6:$A$57,$A75,I$6:I$57)</f>
        <v>321154</v>
      </c>
      <c r="J75" s="580">
        <f>ROUND(I75/G75*100,3)-100</f>
        <v>0</v>
      </c>
      <c r="K75" s="417">
        <f>I75-G75</f>
        <v>0</v>
      </c>
      <c r="L75" s="417">
        <f>IF(ABS(J75)&lt;=0.5,0,IF(G75&gt;I75,(G75*0.995)-I75,(G75*1.005)-I75))</f>
        <v>0</v>
      </c>
      <c r="M75" s="805"/>
      <c r="N75" s="115">
        <f>SUMIF($A$6:$A$57,"=02RESD018X",N$6:N$57)</f>
        <v>0</v>
      </c>
    </row>
    <row r="76" spans="1:14">
      <c r="A76" s="580" t="s">
        <v>278</v>
      </c>
      <c r="C76" s="115">
        <f>SUM(C74:C75)</f>
        <v>2438724</v>
      </c>
      <c r="D76" s="115"/>
      <c r="E76" s="115">
        <f>SUM(E74:E75)</f>
        <v>-3399</v>
      </c>
      <c r="F76" s="115"/>
      <c r="G76" s="115">
        <f>SUM(G74:G75)</f>
        <v>2435325</v>
      </c>
      <c r="H76" s="115"/>
      <c r="I76" s="115">
        <f>SUM(I74:I75)</f>
        <v>2435325</v>
      </c>
      <c r="J76" s="580">
        <f>ROUND(I76/G76*100,3)-100</f>
        <v>0</v>
      </c>
      <c r="K76" s="417">
        <f>I76-G76</f>
        <v>0</v>
      </c>
      <c r="L76" s="417">
        <f>IF(ABS(J76)&lt;=0.5,0,IF(G76&gt;I76,(G76*0.995)-I76,(G76*1.005)-I76))</f>
        <v>0</v>
      </c>
      <c r="M76" s="805"/>
      <c r="N76" s="115">
        <f>SUM(N74:N75)</f>
        <v>0</v>
      </c>
    </row>
    <row r="77" spans="1:14">
      <c r="C77" s="115"/>
      <c r="D77" s="115"/>
      <c r="E77" s="115"/>
      <c r="F77" s="115"/>
      <c r="G77" s="115"/>
      <c r="H77" s="115"/>
      <c r="K77" s="115"/>
      <c r="L77" s="417"/>
      <c r="M77" s="805"/>
      <c r="N77" s="115"/>
    </row>
    <row r="78" spans="1:14">
      <c r="A78" s="580" t="s">
        <v>51</v>
      </c>
      <c r="C78" s="115">
        <f t="shared" ref="C78:C83" si="26">SUMIF($A$6:$A$57,$A78,C$6:C$57)</f>
        <v>528558894</v>
      </c>
      <c r="D78" s="115"/>
      <c r="E78" s="115">
        <f t="shared" ref="E78:E83" si="27">SUMIF($A$6:$A$57,$A78,E$6:E$57)</f>
        <v>781880</v>
      </c>
      <c r="F78" s="115"/>
      <c r="G78" s="115">
        <f t="shared" ref="G78:G83" si="28">SUMIF($A$6:$A$57,$A78,G$6:G$57)</f>
        <v>529340774</v>
      </c>
      <c r="H78" s="115"/>
      <c r="I78" s="115">
        <f t="shared" ref="I78:I83" si="29">SUMIF($A$6:$A$57,$A78,I$6:I$57)</f>
        <v>529340791</v>
      </c>
      <c r="J78" s="580">
        <f t="shared" ref="J78:J84" si="30">ROUND(I78/G78*100,3)-100</f>
        <v>0</v>
      </c>
      <c r="K78" s="417">
        <f t="shared" ref="K78:K84" si="31">I78-G78</f>
        <v>17</v>
      </c>
      <c r="L78" s="417">
        <f t="shared" ref="L78:L84" si="32">IF(ABS(J78)&lt;=0.5,0,IF(G78&gt;I78,(G78*0.995)-I78,(G78*1.005)-I78))</f>
        <v>0</v>
      </c>
      <c r="M78" s="805"/>
      <c r="N78" s="115">
        <f>SUMIF($A$6:$A$57,"=02GNSV0024",N$6:N$57)</f>
        <v>0</v>
      </c>
    </row>
    <row r="79" spans="1:14">
      <c r="A79" s="580" t="s">
        <v>52</v>
      </c>
      <c r="C79" s="115">
        <f t="shared" si="26"/>
        <v>1257197</v>
      </c>
      <c r="D79" s="115"/>
      <c r="E79" s="115">
        <f t="shared" si="27"/>
        <v>755</v>
      </c>
      <c r="F79" s="115"/>
      <c r="G79" s="115">
        <f t="shared" si="28"/>
        <v>1257952</v>
      </c>
      <c r="H79" s="115"/>
      <c r="I79" s="115">
        <f t="shared" si="29"/>
        <v>1259431.1537199491</v>
      </c>
      <c r="J79" s="580">
        <f t="shared" si="30"/>
        <v>0.117999999999995</v>
      </c>
      <c r="K79" s="417">
        <f t="shared" si="31"/>
        <v>1479.1537199490704</v>
      </c>
      <c r="L79" s="417">
        <f t="shared" si="32"/>
        <v>0</v>
      </c>
      <c r="M79" s="805"/>
      <c r="N79" s="115">
        <f>SUMIF($A$6:$A$57,"=02GNSV024F",N$6:N$57)</f>
        <v>0</v>
      </c>
    </row>
    <row r="80" spans="1:14">
      <c r="A80" s="580" t="s">
        <v>288</v>
      </c>
      <c r="C80" s="115">
        <f t="shared" si="26"/>
        <v>134655</v>
      </c>
      <c r="D80" s="115"/>
      <c r="E80" s="115">
        <f t="shared" si="27"/>
        <v>-387</v>
      </c>
      <c r="F80" s="115"/>
      <c r="G80" s="115">
        <f t="shared" si="28"/>
        <v>134268</v>
      </c>
      <c r="H80" s="115"/>
      <c r="I80" s="115">
        <f t="shared" si="29"/>
        <v>134268</v>
      </c>
      <c r="J80" s="580">
        <f t="shared" si="30"/>
        <v>0</v>
      </c>
      <c r="K80" s="417">
        <f t="shared" si="31"/>
        <v>0</v>
      </c>
      <c r="L80" s="417">
        <f t="shared" si="32"/>
        <v>0</v>
      </c>
      <c r="M80" s="805"/>
      <c r="N80" s="115">
        <f>SUMIF($A$6:$A$57,"=02GNSV24FP",N$6:N$57)</f>
        <v>0</v>
      </c>
    </row>
    <row r="81" spans="1:14">
      <c r="A81" s="580" t="s">
        <v>664</v>
      </c>
      <c r="C81" s="115">
        <f t="shared" si="26"/>
        <v>20979867</v>
      </c>
      <c r="D81" s="115"/>
      <c r="E81" s="115">
        <f t="shared" si="27"/>
        <v>-155746</v>
      </c>
      <c r="F81" s="115"/>
      <c r="G81" s="115">
        <f t="shared" si="28"/>
        <v>20824121</v>
      </c>
      <c r="H81" s="115"/>
      <c r="I81" s="115">
        <f t="shared" si="29"/>
        <v>20824106</v>
      </c>
      <c r="J81" s="580">
        <f t="shared" si="30"/>
        <v>0</v>
      </c>
      <c r="K81" s="417">
        <f t="shared" si="31"/>
        <v>-15</v>
      </c>
      <c r="L81" s="417">
        <f t="shared" si="32"/>
        <v>0</v>
      </c>
      <c r="M81" s="805"/>
      <c r="N81" s="115">
        <f>SUMIF($A$6:$A$57,"=02GNSV24FP",N$6:N$57)</f>
        <v>0</v>
      </c>
    </row>
    <row r="82" spans="1:14">
      <c r="A82" s="580" t="s">
        <v>211</v>
      </c>
      <c r="C82" s="115">
        <f t="shared" si="26"/>
        <v>3579148</v>
      </c>
      <c r="D82" s="115"/>
      <c r="E82" s="115">
        <f t="shared" si="27"/>
        <v>-2049</v>
      </c>
      <c r="F82" s="115"/>
      <c r="G82" s="115">
        <f t="shared" si="28"/>
        <v>3577099</v>
      </c>
      <c r="H82" s="115"/>
      <c r="I82" s="115">
        <f t="shared" si="29"/>
        <v>3577099</v>
      </c>
      <c r="J82" s="580">
        <f t="shared" si="30"/>
        <v>0</v>
      </c>
      <c r="K82" s="417">
        <f t="shared" si="31"/>
        <v>0</v>
      </c>
      <c r="L82" s="417">
        <f t="shared" si="32"/>
        <v>0</v>
      </c>
      <c r="M82" s="805"/>
      <c r="N82" s="115">
        <f>SUMIF($A$6:$A$57,"=02LGSV0036",N$6:N$57)</f>
        <v>0</v>
      </c>
    </row>
    <row r="83" spans="1:14">
      <c r="A83" s="580" t="s">
        <v>883</v>
      </c>
      <c r="C83" s="115">
        <f t="shared" si="26"/>
        <v>211636</v>
      </c>
      <c r="D83" s="115"/>
      <c r="E83" s="115">
        <f t="shared" si="27"/>
        <v>744</v>
      </c>
      <c r="F83" s="115"/>
      <c r="G83" s="115">
        <f t="shared" si="28"/>
        <v>212380</v>
      </c>
      <c r="H83" s="115"/>
      <c r="I83" s="115">
        <f t="shared" si="29"/>
        <v>212380</v>
      </c>
      <c r="J83" s="580">
        <f t="shared" ref="J83" si="33">ROUND(I83/G83*100,3)-100</f>
        <v>0</v>
      </c>
      <c r="K83" s="417">
        <f t="shared" ref="K83" si="34">I83-G83</f>
        <v>0</v>
      </c>
      <c r="L83" s="417">
        <f t="shared" ref="L83" si="35">IF(ABS(J83)&lt;=0.5,0,IF(G83&gt;I83,(G83*0.995)-I83,(G83*1.005)-I83))</f>
        <v>0</v>
      </c>
      <c r="M83" s="805"/>
      <c r="N83" s="115">
        <f>SUMIF($A$6:$A$57,"=02LGSV0036",N$6:N$57)</f>
        <v>0</v>
      </c>
    </row>
    <row r="84" spans="1:14">
      <c r="A84" s="580" t="s">
        <v>279</v>
      </c>
      <c r="C84" s="115">
        <f>SUM(C78:C83)</f>
        <v>554721397</v>
      </c>
      <c r="D84" s="115"/>
      <c r="E84" s="115">
        <f>SUM(E78:E83)</f>
        <v>625197</v>
      </c>
      <c r="F84" s="115"/>
      <c r="G84" s="115">
        <f>SUM(G78:G83)</f>
        <v>555346594</v>
      </c>
      <c r="H84" s="115"/>
      <c r="I84" s="115">
        <f>SUM(I78:I83)</f>
        <v>555348075.1537199</v>
      </c>
      <c r="J84" s="580">
        <f t="shared" si="30"/>
        <v>0</v>
      </c>
      <c r="K84" s="417">
        <f t="shared" si="31"/>
        <v>1481.1537199020386</v>
      </c>
      <c r="L84" s="417">
        <f t="shared" si="32"/>
        <v>0</v>
      </c>
      <c r="M84" s="805"/>
      <c r="N84" s="115">
        <f>SUM(N78:N80)</f>
        <v>0</v>
      </c>
    </row>
    <row r="85" spans="1:14">
      <c r="C85" s="115"/>
      <c r="D85" s="115"/>
      <c r="E85" s="115"/>
      <c r="F85" s="115"/>
      <c r="G85" s="115"/>
      <c r="H85" s="115"/>
      <c r="K85" s="115"/>
      <c r="L85" s="417"/>
      <c r="M85" s="805"/>
      <c r="N85" s="115"/>
    </row>
    <row r="86" spans="1:14">
      <c r="A86" s="580" t="s">
        <v>53</v>
      </c>
      <c r="C86" s="115">
        <f>SUMIF($A$6:$A$57,$A86,C$6:C$57)</f>
        <v>934456688</v>
      </c>
      <c r="D86" s="115"/>
      <c r="E86" s="115">
        <f>SUMIF($A$6:$A$57,$A86,E$6:E$57)</f>
        <v>737266</v>
      </c>
      <c r="F86" s="115"/>
      <c r="G86" s="115">
        <f>SUMIF($A$6:$A$57,$A86,G$6:G$57)</f>
        <v>935193954</v>
      </c>
      <c r="H86" s="115"/>
      <c r="I86" s="115">
        <f>SUMIF($A$6:$A$57,$A86,I$6:I$57)</f>
        <v>935193954</v>
      </c>
      <c r="J86" s="580">
        <f>ROUND(I86/G86*100,3)-100</f>
        <v>0</v>
      </c>
      <c r="K86" s="417">
        <f>I86-G86</f>
        <v>0</v>
      </c>
      <c r="L86" s="417">
        <f>IF(ABS(J86)&lt;=0.5,0,IF(G86&gt;I86,(G86*0.995)-I86,(G86*1.005)-I86))</f>
        <v>0</v>
      </c>
      <c r="M86" s="805"/>
      <c r="N86" s="115">
        <f>SUMIF($A$6:$A$57,"=02LGSV0036",N$6:N$57)</f>
        <v>0</v>
      </c>
    </row>
    <row r="87" spans="1:14">
      <c r="A87" s="580" t="s">
        <v>629</v>
      </c>
      <c r="C87" s="115">
        <f>SUMIF($A$6:$A$57,$A87,C$6:C$57)</f>
        <v>12022753</v>
      </c>
      <c r="D87" s="115"/>
      <c r="E87" s="115">
        <f>SUMIF($A$6:$A$57,$A87,E$6:E$57)</f>
        <v>0</v>
      </c>
      <c r="F87" s="115"/>
      <c r="G87" s="115">
        <f>SUMIF($A$6:$A$57,$A87,G$6:G$57)</f>
        <v>12022753</v>
      </c>
      <c r="H87" s="115"/>
      <c r="I87" s="115">
        <f>SUMIF($A$6:$A$57,$A87,I$6:I$57)</f>
        <v>12022753</v>
      </c>
      <c r="J87" s="580">
        <f>ROUND(I87/G87*100,3)-100</f>
        <v>0</v>
      </c>
      <c r="K87" s="417">
        <f>I87-G87</f>
        <v>0</v>
      </c>
      <c r="L87" s="417">
        <f>IF(ABS(J87)&lt;=0.5,0,IF(G87&gt;I87,(G87*0.995)-I87,(G87*1.005)-I87))</f>
        <v>0</v>
      </c>
      <c r="M87" s="805"/>
      <c r="N87" s="115">
        <f>SUMIF($A$6:$A$57,"=02LGSV0036",N$6:N$57)</f>
        <v>0</v>
      </c>
    </row>
    <row r="88" spans="1:14">
      <c r="A88" s="580" t="s">
        <v>877</v>
      </c>
      <c r="C88" s="115">
        <f>SUMIF($A$6:$A$57,$A88,C$6:C$57)</f>
        <v>1581480</v>
      </c>
      <c r="D88" s="115"/>
      <c r="E88" s="115">
        <f>SUMIF($A$6:$A$57,$A88,E$6:E$57)</f>
        <v>0</v>
      </c>
      <c r="F88" s="115"/>
      <c r="G88" s="115">
        <f>SUMIF($A$6:$A$57,$A88,G$6:G$57)</f>
        <v>1581480</v>
      </c>
      <c r="H88" s="115"/>
      <c r="I88" s="115">
        <f>SUMIF($A$6:$A$57,$A88,I$6:I$57)</f>
        <v>1581480</v>
      </c>
      <c r="J88" s="580">
        <f>ROUND(I88/G88*100,3)-100</f>
        <v>0</v>
      </c>
      <c r="K88" s="417">
        <f>I88-G88</f>
        <v>0</v>
      </c>
      <c r="L88" s="417">
        <f>IF(ABS(J88)&lt;=0.5,0,IF(G88&gt;I88,(G88*0.995)-I88,(G88*1.005)-I88))</f>
        <v>0</v>
      </c>
      <c r="M88" s="805"/>
      <c r="N88" s="115">
        <f>SUMIF($A$6:$A$57,"=02LGSV0036",N$6:N$57)</f>
        <v>0</v>
      </c>
    </row>
    <row r="89" spans="1:14">
      <c r="A89" s="580" t="s">
        <v>280</v>
      </c>
      <c r="C89" s="115">
        <f>SUM(C86:C88)</f>
        <v>948060921</v>
      </c>
      <c r="D89" s="115"/>
      <c r="E89" s="115">
        <f>SUM(E86:E88)</f>
        <v>737266</v>
      </c>
      <c r="F89" s="115"/>
      <c r="G89" s="115">
        <f>SUM(G86:G88)</f>
        <v>948798187</v>
      </c>
      <c r="H89" s="115"/>
      <c r="I89" s="115">
        <f>SUM(I86:I88)</f>
        <v>948798187</v>
      </c>
      <c r="J89" s="580">
        <f>ROUND(I89/G89*100,3)-100</f>
        <v>0</v>
      </c>
      <c r="K89" s="417">
        <f>I89-G89</f>
        <v>0</v>
      </c>
      <c r="L89" s="417">
        <f>IF(ABS(J89)&lt;=0.5,0,IF(G89&gt;I89,(G89*0.995)-I89,(G89*1.005)-I89))</f>
        <v>0</v>
      </c>
      <c r="M89" s="805"/>
      <c r="N89" s="115">
        <f>SUM(N86:N86)</f>
        <v>0</v>
      </c>
    </row>
    <row r="90" spans="1:14">
      <c r="C90" s="115"/>
      <c r="D90" s="115"/>
      <c r="E90" s="115"/>
      <c r="F90" s="115"/>
      <c r="G90" s="115"/>
      <c r="H90" s="115"/>
      <c r="K90" s="417"/>
      <c r="L90" s="417"/>
      <c r="M90" s="805"/>
      <c r="N90" s="115"/>
    </row>
    <row r="91" spans="1:14">
      <c r="C91" s="115"/>
      <c r="D91" s="115"/>
      <c r="E91" s="115"/>
      <c r="F91" s="115"/>
      <c r="G91" s="115"/>
      <c r="H91" s="115"/>
      <c r="K91" s="115"/>
      <c r="L91" s="417"/>
      <c r="M91" s="805"/>
      <c r="N91" s="115"/>
    </row>
    <row r="92" spans="1:14">
      <c r="A92" s="580" t="s">
        <v>58</v>
      </c>
      <c r="C92" s="115">
        <f>SUMIF($A$6:$A$57,$A92,C$6:C$57)</f>
        <v>99183957</v>
      </c>
      <c r="D92" s="115"/>
      <c r="E92" s="115">
        <f>SUMIF($A$6:$A$57,$A92,E$6:E$57)</f>
        <v>-1117007</v>
      </c>
      <c r="F92" s="115"/>
      <c r="G92" s="115">
        <f>SUMIF($A$6:$A$57,$A92,G$6:G$57)</f>
        <v>98066950</v>
      </c>
      <c r="H92" s="115"/>
      <c r="I92" s="115">
        <f>SUMIF($A$6:$A$57,$A92,I$6:I$57)</f>
        <v>98066951</v>
      </c>
      <c r="J92" s="580">
        <f>ROUND(I92/G92*100,3)-100</f>
        <v>0</v>
      </c>
      <c r="K92" s="417">
        <f>I92-G92</f>
        <v>1</v>
      </c>
      <c r="L92" s="417">
        <f>IF(ABS(J92)&lt;=0.5,0,IF(G92&gt;I92,(G92*0.995)-I92,(G92*1.005)-I92))</f>
        <v>0</v>
      </c>
      <c r="M92" s="805"/>
      <c r="N92" s="115">
        <f>SUMIF($A$6:$A$57,"=02APSV0040",N$6:N$57)</f>
        <v>0</v>
      </c>
    </row>
    <row r="93" spans="1:14">
      <c r="A93" s="580" t="s">
        <v>59</v>
      </c>
      <c r="C93" s="115">
        <f>SUMIF($A$6:$A$57,$A93,C$6:C$57)</f>
        <v>59314194</v>
      </c>
      <c r="D93" s="115"/>
      <c r="E93" s="115">
        <f>SUMIF($A$6:$A$57,$A93,E$6:E$57)</f>
        <v>1040767</v>
      </c>
      <c r="F93" s="115"/>
      <c r="G93" s="115">
        <f>SUMIF($A$6:$A$57,$A93,G$6:G$57)</f>
        <v>60354961</v>
      </c>
      <c r="H93" s="115"/>
      <c r="I93" s="115">
        <f>SUMIF($A$6:$A$57,$A93,I$6:I$57)</f>
        <v>60354962</v>
      </c>
      <c r="J93" s="580">
        <f>ROUND(I93/G93*100,3)-100</f>
        <v>0</v>
      </c>
      <c r="K93" s="417">
        <f>I93-G93</f>
        <v>1</v>
      </c>
      <c r="L93" s="417">
        <f>IF(ABS(J93)&lt;=0.5,0,IF(G93&gt;I93,(G93*0.995)-I93,(G93*1.005)-I93))</f>
        <v>0</v>
      </c>
      <c r="M93" s="805"/>
      <c r="N93" s="115">
        <f>SUMIF($A$6:$A$57,"=02APSV040X",N$6:N$57)</f>
        <v>0</v>
      </c>
    </row>
    <row r="94" spans="1:14">
      <c r="A94" s="580" t="s">
        <v>281</v>
      </c>
      <c r="C94" s="115">
        <f>SUM(C92:C93)</f>
        <v>158498151</v>
      </c>
      <c r="D94" s="115"/>
      <c r="E94" s="115">
        <f>SUM(E92:E93)</f>
        <v>-76240</v>
      </c>
      <c r="F94" s="115"/>
      <c r="G94" s="115">
        <f>SUM(G92:G93)</f>
        <v>158421911</v>
      </c>
      <c r="H94" s="115"/>
      <c r="I94" s="115">
        <f>SUM(I92:I93)</f>
        <v>158421913</v>
      </c>
      <c r="J94" s="580">
        <f>ROUND(I94/G94*100,3)-100</f>
        <v>0</v>
      </c>
      <c r="K94" s="417">
        <f>I94-G94</f>
        <v>2</v>
      </c>
      <c r="L94" s="417">
        <f>IF(ABS(J94)&lt;=0.5,0,IF(G94&gt;I94,(G94*0.995)-I94,(G94*1.005)-I94))</f>
        <v>0</v>
      </c>
      <c r="M94" s="805"/>
      <c r="N94" s="115">
        <f>SUM(N92:N93)</f>
        <v>0</v>
      </c>
    </row>
    <row r="95" spans="1:14">
      <c r="C95" s="115"/>
      <c r="D95" s="115"/>
      <c r="E95" s="115"/>
      <c r="F95" s="115"/>
      <c r="G95" s="115"/>
      <c r="H95" s="115"/>
      <c r="K95" s="115"/>
      <c r="L95" s="417"/>
      <c r="M95" s="805"/>
      <c r="N95" s="115"/>
    </row>
    <row r="96" spans="1:14">
      <c r="A96" s="580" t="s">
        <v>158</v>
      </c>
      <c r="C96" s="115">
        <f>SUMIF($A$6:$A$57,$A96,C$6:C$57)</f>
        <v>2624625</v>
      </c>
      <c r="D96" s="115"/>
      <c r="E96" s="115">
        <f>SUMIF($A$6:$A$57,$A96,E$6:E$57)</f>
        <v>0</v>
      </c>
      <c r="F96" s="115"/>
      <c r="G96" s="115">
        <f>SUMIF($A$6:$A$57,$A96,G$6:G$57)</f>
        <v>2624625</v>
      </c>
      <c r="H96" s="115"/>
      <c r="I96" s="115">
        <f>SUMIF($A$6:$A$57,$A96,I$6:I$57)</f>
        <v>2630000</v>
      </c>
      <c r="J96" s="580">
        <f>ROUND(I96/G96*100,3)-100</f>
        <v>0.20499999999999829</v>
      </c>
      <c r="K96" s="417">
        <f>I96-G96</f>
        <v>5375</v>
      </c>
      <c r="L96" s="417">
        <f>IF(ABS(J96)&lt;=0.5,0,IF(G96&gt;I96,(G96*0.995)-I96,(G96*1.005)-I96))</f>
        <v>0</v>
      </c>
      <c r="M96" s="805"/>
      <c r="N96" s="115">
        <f>SUMIF($A$6:$A$57,"=02PRSV47TM",N$6:N$57)</f>
        <v>0</v>
      </c>
    </row>
    <row r="97" spans="1:14">
      <c r="C97" s="115"/>
      <c r="D97" s="115"/>
      <c r="E97" s="115"/>
      <c r="F97" s="115"/>
      <c r="G97" s="115"/>
      <c r="H97" s="115"/>
      <c r="K97" s="115"/>
      <c r="L97" s="417"/>
      <c r="M97" s="805"/>
      <c r="N97" s="115"/>
    </row>
    <row r="98" spans="1:14">
      <c r="A98" s="580" t="s">
        <v>54</v>
      </c>
      <c r="C98" s="115">
        <f>SUMIF($A$6:$A$57,$A98,C$6:C$57)+C40</f>
        <v>809916751</v>
      </c>
      <c r="D98" s="115"/>
      <c r="E98" s="115">
        <f>SUMIF($A$6:$A$57,$A98,E$6:E$57)+E40</f>
        <v>-563200</v>
      </c>
      <c r="F98" s="115"/>
      <c r="G98" s="115">
        <f>C98+E98</f>
        <v>809353551</v>
      </c>
      <c r="H98" s="115"/>
      <c r="I98" s="115">
        <f>SUMIF($A$6:$A$57,$A98,I$6:I$57)+I40</f>
        <v>809353551</v>
      </c>
      <c r="J98" s="580">
        <f>ROUND(I98/G98*100,3)-100</f>
        <v>0</v>
      </c>
      <c r="K98" s="417">
        <f>I98-G98</f>
        <v>0</v>
      </c>
      <c r="L98" s="417">
        <f>IF(ABS(J98)&lt;=0.5,0,IF(G98&gt;I98,(G98*0.995)-I98,(G98*1.005)-I98))</f>
        <v>0</v>
      </c>
      <c r="M98" s="805"/>
      <c r="N98" s="115">
        <f>SUMIF($A$6:$A$57,"=02LGSV048T",N$6:N$57)</f>
        <v>0</v>
      </c>
    </row>
    <row r="99" spans="1:14">
      <c r="A99" s="580" t="s">
        <v>60</v>
      </c>
      <c r="C99" s="115">
        <f>SUMIF($A$6:$A$57,$A99,C$6:C$57)</f>
        <v>0</v>
      </c>
      <c r="D99" s="115"/>
      <c r="E99" s="115">
        <f>SUMIF($A$6:$A$57,$A99,E$6:E$57)</f>
        <v>0</v>
      </c>
      <c r="F99" s="115"/>
      <c r="G99" s="115">
        <f>SUMIF($A$6:$A$57,$A99,G$6:G$57)</f>
        <v>0</v>
      </c>
      <c r="H99" s="115"/>
      <c r="I99" s="115">
        <f>SUMIF($A$6:$A$57,$A99,I$6:I$57)</f>
        <v>0</v>
      </c>
      <c r="J99" s="580">
        <v>0</v>
      </c>
      <c r="K99" s="417">
        <f>I99-G99</f>
        <v>0</v>
      </c>
      <c r="L99" s="417">
        <f>IF(ABS(J99)&lt;=0.5,0,IF(G99&gt;I99,(G99*0.995)-I99,(G99*1.005)-I99))</f>
        <v>0</v>
      </c>
      <c r="M99" s="805"/>
      <c r="N99" s="115">
        <f>SUMIF($A$6:$A$57,"=02LGSV048M",N$6:N$57)</f>
        <v>0</v>
      </c>
    </row>
    <row r="100" spans="1:14">
      <c r="A100" s="580" t="s">
        <v>282</v>
      </c>
      <c r="C100" s="115">
        <f>SUM(C98:C99)</f>
        <v>809916751</v>
      </c>
      <c r="D100" s="115"/>
      <c r="E100" s="115">
        <f>SUM(E98:E99)</f>
        <v>-563200</v>
      </c>
      <c r="F100" s="115"/>
      <c r="G100" s="115">
        <f>SUM(G98:G99)</f>
        <v>809353551</v>
      </c>
      <c r="H100" s="115"/>
      <c r="I100" s="115">
        <f>SUM(I98:I99)</f>
        <v>809353551</v>
      </c>
      <c r="J100" s="580">
        <f>ROUND(I100/G100*100,3)-100</f>
        <v>0</v>
      </c>
      <c r="K100" s="417">
        <f>I100-G100</f>
        <v>0</v>
      </c>
      <c r="L100" s="417">
        <f>IF(ABS(J100)&lt;=0.5,0,IF(G100&gt;I100,(G100*0.995)-I100,(G100*1.005)-I100))</f>
        <v>0</v>
      </c>
      <c r="M100" s="805"/>
      <c r="N100" s="115">
        <f>SUM(N98:N99)</f>
        <v>0</v>
      </c>
    </row>
    <row r="101" spans="1:14">
      <c r="C101" s="115"/>
      <c r="D101" s="115"/>
      <c r="E101" s="115"/>
      <c r="F101" s="115"/>
      <c r="G101" s="115"/>
      <c r="H101" s="115"/>
      <c r="K101" s="115"/>
      <c r="L101" s="417"/>
      <c r="M101" s="805"/>
      <c r="N101" s="115"/>
    </row>
    <row r="102" spans="1:14">
      <c r="A102" s="580" t="s">
        <v>826</v>
      </c>
      <c r="C102" s="115">
        <f>SUMIF($A$6:$A$57,$A102,C$6:C$57)</f>
        <v>3588894</v>
      </c>
      <c r="D102" s="115"/>
      <c r="E102" s="115">
        <f>SUMIF($A$6:$A$57,$A102,E$6:E$57)</f>
        <v>33084.808149925964</v>
      </c>
      <c r="F102" s="115"/>
      <c r="G102" s="115">
        <f>SUMIF($A$6:$A$57,$A102,G$6:G$57)</f>
        <v>3621978.8081499259</v>
      </c>
      <c r="H102" s="115"/>
      <c r="I102" s="115">
        <f>SUMIF($A$6:$A$57,$A102,I$6:I$57)</f>
        <v>3621950.3857190385</v>
      </c>
      <c r="J102" s="580">
        <f>ROUND(I102/G102*100,3)-100</f>
        <v>-1.0000000000047748E-3</v>
      </c>
      <c r="K102" s="417">
        <f>I102-G102</f>
        <v>-28.422430887352675</v>
      </c>
      <c r="L102" s="417">
        <f>IF(ABS(J102)&lt;=0.5,0,IF(G102&gt;I102,(G102*0.995)-I102,(G102*1.005)-I102))</f>
        <v>0</v>
      </c>
      <c r="M102" s="805"/>
      <c r="N102" s="115">
        <f>SUMIF($A$6:$A$57,"=02HPSV0051",N$6:N$57)</f>
        <v>0</v>
      </c>
    </row>
    <row r="103" spans="1:14">
      <c r="C103" s="115"/>
      <c r="D103" s="115"/>
      <c r="E103" s="115"/>
      <c r="F103" s="115"/>
      <c r="G103" s="115"/>
      <c r="H103" s="115"/>
      <c r="K103" s="115"/>
      <c r="L103" s="417"/>
      <c r="M103" s="805"/>
      <c r="N103" s="115"/>
    </row>
    <row r="104" spans="1:14">
      <c r="A104" s="580" t="s">
        <v>61</v>
      </c>
      <c r="C104" s="115">
        <f>SUMIF($A$6:$A$57,$A104,C$6:C$57)</f>
        <v>141214</v>
      </c>
      <c r="D104" s="115"/>
      <c r="E104" s="115">
        <f>SUMIF($A$6:$A$57,$A104,E$6:E$57)</f>
        <v>-354.65937179355893</v>
      </c>
      <c r="F104" s="115"/>
      <c r="G104" s="115">
        <f>SUMIF($A$6:$A$57,$A104,G$6:G$57)</f>
        <v>140859.34062820644</v>
      </c>
      <c r="H104" s="115"/>
      <c r="I104" s="115">
        <f>SUMIF($A$6:$A$57,$A104,I$6:I$57)</f>
        <v>140860.105288452</v>
      </c>
      <c r="J104" s="580">
        <f>ROUND(I104/G104*100,3)-100</f>
        <v>1.0000000000047748E-3</v>
      </c>
      <c r="K104" s="417">
        <f>I104-G104</f>
        <v>0.76466024556430057</v>
      </c>
      <c r="L104" s="417">
        <f>IF(ABS(J104)&lt;=0.5,0,IF(G104&gt;I104,(G104*0.995)-I104,(G104*1.005)-I104))</f>
        <v>0</v>
      </c>
      <c r="M104" s="805"/>
      <c r="N104" s="115">
        <f>SUMIF($A$6:$A$57,"=02COSL0052",N$6:N$57)</f>
        <v>0</v>
      </c>
    </row>
    <row r="105" spans="1:14">
      <c r="C105" s="115"/>
      <c r="D105" s="115"/>
      <c r="E105" s="115"/>
      <c r="F105" s="115"/>
      <c r="G105" s="115"/>
      <c r="H105" s="115"/>
      <c r="K105" s="115"/>
      <c r="L105" s="417"/>
      <c r="M105" s="805"/>
      <c r="N105" s="115"/>
    </row>
    <row r="106" spans="1:14">
      <c r="A106" s="580" t="s">
        <v>62</v>
      </c>
      <c r="C106" s="115">
        <f>SUMIF($A$6:$A$57,$A106,C$6:C$57)</f>
        <v>2957358</v>
      </c>
      <c r="D106" s="115"/>
      <c r="E106" s="115">
        <f>SUMIF($A$6:$A$57,$A106,E$6:E$57)</f>
        <v>519.0132005032533</v>
      </c>
      <c r="F106" s="115"/>
      <c r="G106" s="115">
        <f>SUMIF($A$6:$A$57,$A106,G$6:G$57)</f>
        <v>2957877.0132005033</v>
      </c>
      <c r="H106" s="115"/>
      <c r="I106" s="115">
        <f>SUMIF($A$6:$A$57,$A106,I$6:I$57)</f>
        <v>2957877.7353539728</v>
      </c>
      <c r="J106" s="580">
        <f>ROUND(I106/G106*100,3)-100</f>
        <v>0</v>
      </c>
      <c r="K106" s="417">
        <f>I106-G106</f>
        <v>0.7221534694544971</v>
      </c>
      <c r="L106" s="417">
        <f>IF(ABS(J106)&lt;=0.5,0,IF(G106&gt;I106,(G106*0.995)-I106,(G106*1.005)-I106))</f>
        <v>0</v>
      </c>
      <c r="M106" s="805"/>
      <c r="N106" s="115">
        <f>SUMIF($A$6:$A$57,"=02CUSL053F",N$6:N$57)</f>
        <v>0</v>
      </c>
    </row>
    <row r="107" spans="1:14">
      <c r="A107" s="580" t="s">
        <v>63</v>
      </c>
      <c r="C107" s="115">
        <f>SUMIF($A$6:$A$57,$A107,C$6:C$57)</f>
        <v>738432</v>
      </c>
      <c r="D107" s="115"/>
      <c r="E107" s="115">
        <f>SUMIF($A$6:$A$57,$A107,E$6:E$57)</f>
        <v>-413</v>
      </c>
      <c r="F107" s="115"/>
      <c r="G107" s="115">
        <f>SUMIF($A$6:$A$57,$A107,G$6:G$57)</f>
        <v>738019</v>
      </c>
      <c r="H107" s="115"/>
      <c r="I107" s="115">
        <f>SUMIF($A$6:$A$57,$A107,I$6:I$57)</f>
        <v>738019</v>
      </c>
      <c r="J107" s="580">
        <f>ROUND(I107/G107*100,3)-100</f>
        <v>0</v>
      </c>
      <c r="K107" s="417">
        <f>I107-G107</f>
        <v>0</v>
      </c>
      <c r="L107" s="417">
        <f>IF(ABS(J107)&lt;=0.5,0,IF(G107&gt;I107,(G107*0.995)-I107,(G107*1.005)-I107))</f>
        <v>0</v>
      </c>
      <c r="M107" s="805"/>
      <c r="N107" s="115">
        <f>SUMIF($A$6:$A$57,"=02CUSL053M",N$6:N$57)</f>
        <v>0</v>
      </c>
    </row>
    <row r="108" spans="1:14">
      <c r="A108" s="580" t="s">
        <v>283</v>
      </c>
      <c r="C108" s="115">
        <f>SUM(C106:C107)</f>
        <v>3695790</v>
      </c>
      <c r="D108" s="115"/>
      <c r="E108" s="115">
        <f>SUM(E106:E107)</f>
        <v>106.0132005032533</v>
      </c>
      <c r="F108" s="115"/>
      <c r="G108" s="115">
        <f>SUM(G106:G107)</f>
        <v>3695896.0132005033</v>
      </c>
      <c r="H108" s="115"/>
      <c r="I108" s="115">
        <f>SUM(I106:I107)</f>
        <v>3695896.7353539728</v>
      </c>
      <c r="J108" s="580">
        <f>ROUND(I108/G108*100,3)-100</f>
        <v>0</v>
      </c>
      <c r="K108" s="417">
        <f>I108-G108</f>
        <v>0.7221534694544971</v>
      </c>
      <c r="L108" s="417">
        <f>IF(ABS(J108)&lt;=0.5,0,IF(G108&gt;I108,(G108*0.995)-I108,(G108*1.005)-I108))</f>
        <v>0</v>
      </c>
      <c r="M108" s="805"/>
      <c r="N108" s="115">
        <f>SUM(N106:N107)</f>
        <v>0</v>
      </c>
    </row>
    <row r="109" spans="1:14">
      <c r="C109" s="115"/>
      <c r="D109" s="115"/>
      <c r="E109" s="115"/>
      <c r="F109" s="115"/>
      <c r="G109" s="115"/>
      <c r="H109" s="115"/>
      <c r="K109" s="115"/>
      <c r="L109" s="417"/>
      <c r="M109" s="805"/>
      <c r="N109" s="115"/>
    </row>
    <row r="110" spans="1:14">
      <c r="A110" s="580" t="s">
        <v>56</v>
      </c>
      <c r="C110" s="115">
        <f>SUMIF($A$6:$A$57,$A110,C$6:C$57)</f>
        <v>281912</v>
      </c>
      <c r="D110" s="115"/>
      <c r="E110" s="115">
        <f>SUMIF($A$6:$A$57,$A110,E$6:E$57)</f>
        <v>800</v>
      </c>
      <c r="F110" s="115"/>
      <c r="G110" s="115">
        <f>SUMIF($A$6:$A$57,$A110,G$6:G$57)</f>
        <v>282712</v>
      </c>
      <c r="H110" s="115"/>
      <c r="I110" s="115">
        <f>SUMIF($A$6:$A$57,$A110,I$6:I$57)</f>
        <v>282712</v>
      </c>
      <c r="J110" s="580">
        <f>ROUND(I110/G110*100,3)-100</f>
        <v>0</v>
      </c>
      <c r="K110" s="417">
        <f>I110-G110</f>
        <v>0</v>
      </c>
      <c r="L110" s="417">
        <f>IF(ABS(J110)&lt;=0.5,0,IF(G110&gt;I110,(G110*0.995)-I110,(G110*1.005)-I110))</f>
        <v>0</v>
      </c>
      <c r="M110" s="805"/>
      <c r="N110" s="115">
        <f>SUMIF($A$6:$A$57,"=02RCFL0054",N$6:N$57)</f>
        <v>0</v>
      </c>
    </row>
    <row r="111" spans="1:14">
      <c r="C111" s="115"/>
      <c r="D111" s="115"/>
      <c r="E111" s="115"/>
      <c r="F111" s="115"/>
      <c r="G111" s="115"/>
      <c r="H111" s="115"/>
      <c r="K111" s="115"/>
      <c r="L111" s="417"/>
      <c r="M111" s="805"/>
      <c r="N111" s="115"/>
    </row>
    <row r="112" spans="1:14">
      <c r="A112" s="580" t="s">
        <v>65</v>
      </c>
      <c r="C112" s="115">
        <f>SUMIF($A$6:$A$57,$A112,C$6:C$57)</f>
        <v>1459809</v>
      </c>
      <c r="D112" s="115"/>
      <c r="E112" s="115">
        <f>SUMIF($A$6:$A$57,$A112,E$6:E$57)</f>
        <v>9900</v>
      </c>
      <c r="F112" s="115"/>
      <c r="G112" s="115">
        <f>SUMIF($A$6:$A$57,$A112,G$6:G$57)</f>
        <v>1469709</v>
      </c>
      <c r="H112" s="115"/>
      <c r="I112" s="115">
        <f>SUMIF($A$6:$A$57,$A112,I$6:I$57)</f>
        <v>1469704.1535796304</v>
      </c>
      <c r="J112" s="580">
        <f>ROUND(I112/G112*100,3)-100</f>
        <v>0</v>
      </c>
      <c r="K112" s="417">
        <f>I112-G112</f>
        <v>-4.8464203695766628</v>
      </c>
      <c r="L112" s="417">
        <f>IF(ABS(J112)&lt;=0.5,0,IF(G112&gt;I112,(G112*0.995)-I112,(G112*1.005)-I112))</f>
        <v>0</v>
      </c>
      <c r="M112" s="805"/>
      <c r="N112" s="115">
        <f>SUMIF($A$6:$A$57,"=02MVSL0057",N$6:N$57)</f>
        <v>0</v>
      </c>
    </row>
    <row r="113" spans="1:14">
      <c r="C113" s="115"/>
      <c r="D113" s="115"/>
      <c r="E113" s="115"/>
      <c r="F113" s="115"/>
      <c r="G113" s="115"/>
      <c r="H113" s="115"/>
      <c r="K113" s="115"/>
      <c r="L113" s="417"/>
      <c r="M113" s="805"/>
      <c r="N113" s="115"/>
    </row>
    <row r="114" spans="1:14">
      <c r="A114" s="580" t="s">
        <v>274</v>
      </c>
      <c r="C114" s="115">
        <f>C112+C110+C108+C104+C102+C100+C96+C94+C89+C84+C76+C72+C67</f>
        <v>4091404610</v>
      </c>
      <c r="D114" s="115"/>
      <c r="E114" s="115">
        <f>E112+E110+E108+E104+E102+E100+E96+E94+E89+E84+E76+E72+E67</f>
        <v>718779.1619786357</v>
      </c>
      <c r="F114" s="115"/>
      <c r="G114" s="115">
        <f>G112+G110+G108+G104+G102+G100+G96+G94+G89+G84+G76+G72+G67</f>
        <v>4092123389.1619787</v>
      </c>
      <c r="H114" s="115"/>
      <c r="I114" s="115">
        <f>I112+I110+I108+I104+I102+I100+I96+I94+I89+I84+I76+I72+I67</f>
        <v>4092139569.0336609</v>
      </c>
      <c r="J114" s="580">
        <f>ROUND(I114/G114*100,3)-100</f>
        <v>0</v>
      </c>
      <c r="K114" s="417">
        <f>I114-G114</f>
        <v>16179.871682167053</v>
      </c>
      <c r="L114" s="417">
        <f>IF(ABS(J114)&lt;=0.5,0,IF(G114&gt;I114,(G114*0.995)-I114,(G114*1.005)-I114))</f>
        <v>0</v>
      </c>
      <c r="M114" s="805"/>
      <c r="N114" s="115">
        <f>N112+N110+N108+N104+N102+N100+N96+N94+N89+N84+N76+N72+N67</f>
        <v>0</v>
      </c>
    </row>
    <row r="115" spans="1:14">
      <c r="I115" s="114"/>
    </row>
    <row r="116" spans="1:14">
      <c r="C116" s="115">
        <f>C114-C60</f>
        <v>0</v>
      </c>
      <c r="D116" s="115">
        <f t="shared" ref="D116:K116" si="36">D114-D60</f>
        <v>0</v>
      </c>
      <c r="E116" s="115">
        <f>E114-E60</f>
        <v>0</v>
      </c>
      <c r="F116" s="115">
        <f t="shared" si="36"/>
        <v>0</v>
      </c>
      <c r="G116" s="115">
        <f t="shared" si="36"/>
        <v>0</v>
      </c>
      <c r="H116" s="115">
        <f t="shared" si="36"/>
        <v>0</v>
      </c>
      <c r="I116" s="115">
        <f t="shared" si="36"/>
        <v>0</v>
      </c>
      <c r="J116" s="115">
        <f t="shared" si="36"/>
        <v>0</v>
      </c>
      <c r="K116" s="115">
        <f t="shared" si="36"/>
        <v>0</v>
      </c>
    </row>
    <row r="134" spans="11:11">
      <c r="K134" s="580" t="s">
        <v>31</v>
      </c>
    </row>
  </sheetData>
  <phoneticPr fontId="32"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0"/>
  <sheetViews>
    <sheetView workbookViewId="0">
      <selection activeCell="B8" sqref="B8"/>
    </sheetView>
  </sheetViews>
  <sheetFormatPr defaultRowHeight="15.75"/>
  <cols>
    <col min="1" max="1" width="8.875" style="4" bestFit="1" customWidth="1"/>
    <col min="2" max="2" width="18.625" style="428" customWidth="1"/>
    <col min="3" max="3" width="21.625" style="4" customWidth="1"/>
    <col min="4" max="4" width="55.125" style="4" customWidth="1"/>
    <col min="5" max="5" width="14.75" style="4" bestFit="1" customWidth="1"/>
    <col min="6" max="6" width="15.875" style="4" customWidth="1"/>
    <col min="7" max="7" width="18.25" style="4" hidden="1" customWidth="1"/>
    <col min="8" max="8" width="17.625" style="4" customWidth="1"/>
    <col min="9" max="9" width="20.125" style="4" customWidth="1"/>
    <col min="10" max="10" width="16" style="4" customWidth="1"/>
    <col min="11" max="11" width="14.25" style="4" customWidth="1"/>
    <col min="12" max="12" width="15.125" style="4" bestFit="1" customWidth="1"/>
    <col min="13" max="13" width="16.5" style="4" bestFit="1" customWidth="1"/>
    <col min="14" max="16384" width="9" style="4"/>
  </cols>
  <sheetData>
    <row r="2" spans="1:12">
      <c r="B2" s="4" t="s">
        <v>872</v>
      </c>
    </row>
    <row r="3" spans="1:12">
      <c r="B3" s="4" t="s">
        <v>677</v>
      </c>
    </row>
    <row r="4" spans="1:12">
      <c r="B4" s="4" t="s">
        <v>871</v>
      </c>
    </row>
    <row r="5" spans="1:12">
      <c r="A5" s="4" t="s">
        <v>226</v>
      </c>
      <c r="B5" s="428" t="s">
        <v>227</v>
      </c>
      <c r="C5" s="556" t="s">
        <v>881</v>
      </c>
      <c r="D5" s="100"/>
      <c r="E5" s="100"/>
      <c r="F5" s="100"/>
      <c r="G5" s="100"/>
      <c r="H5" s="100"/>
      <c r="I5" s="100"/>
      <c r="J5" s="101"/>
      <c r="L5" s="758"/>
    </row>
    <row r="6" spans="1:12">
      <c r="A6" s="4" t="s">
        <v>171</v>
      </c>
      <c r="B6" s="428" t="s">
        <v>32</v>
      </c>
      <c r="C6" s="544" t="s">
        <v>99</v>
      </c>
      <c r="D6" s="7" t="s">
        <v>100</v>
      </c>
      <c r="E6" s="7"/>
      <c r="F6" s="7" t="s">
        <v>101</v>
      </c>
      <c r="G6" s="7"/>
      <c r="H6" s="7" t="s">
        <v>25</v>
      </c>
      <c r="I6" s="7" t="s">
        <v>1</v>
      </c>
      <c r="J6" s="757" t="s">
        <v>103</v>
      </c>
      <c r="K6" s="7" t="s">
        <v>31</v>
      </c>
      <c r="L6" s="759" t="s">
        <v>104</v>
      </c>
    </row>
    <row r="7" spans="1:12">
      <c r="A7" s="557" t="s">
        <v>146</v>
      </c>
      <c r="B7" s="557" t="s">
        <v>146</v>
      </c>
      <c r="C7" s="544" t="s">
        <v>105</v>
      </c>
      <c r="D7" s="1111" t="s">
        <v>788</v>
      </c>
      <c r="E7" s="119" t="str">
        <f t="shared" ref="E7:E9" si="0">LEFT(D7,10)</f>
        <v>UNBILLED R</v>
      </c>
      <c r="F7" s="1111" t="s">
        <v>650</v>
      </c>
      <c r="G7" s="1112">
        <v>14224000</v>
      </c>
      <c r="H7" s="1112">
        <v>14224000</v>
      </c>
      <c r="I7" s="1113">
        <v>1694000</v>
      </c>
      <c r="J7" s="1114">
        <v>0</v>
      </c>
      <c r="L7" s="1115">
        <f>J7/12</f>
        <v>0</v>
      </c>
    </row>
    <row r="8" spans="1:12">
      <c r="A8" s="557" t="s">
        <v>145</v>
      </c>
      <c r="B8" s="557" t="s">
        <v>145</v>
      </c>
      <c r="C8" s="544"/>
      <c r="D8" s="1111" t="s">
        <v>789</v>
      </c>
      <c r="E8" s="119" t="str">
        <f t="shared" si="0"/>
        <v>BPA BALANC</v>
      </c>
      <c r="F8" s="1111" t="s">
        <v>4</v>
      </c>
      <c r="G8" s="1112">
        <v>0</v>
      </c>
      <c r="H8" s="1112">
        <v>0</v>
      </c>
      <c r="I8" s="1113">
        <v>19092.09</v>
      </c>
      <c r="J8" s="1114">
        <v>0</v>
      </c>
      <c r="L8" s="1114">
        <f t="shared" ref="L8:L48" si="1">J8/12</f>
        <v>0</v>
      </c>
    </row>
    <row r="9" spans="1:12">
      <c r="A9" s="559" t="s">
        <v>679</v>
      </c>
      <c r="B9" s="559" t="s">
        <v>679</v>
      </c>
      <c r="C9" s="544"/>
      <c r="D9" s="1111" t="s">
        <v>678</v>
      </c>
      <c r="E9" s="119" t="str">
        <f t="shared" si="0"/>
        <v>REVENUE AD</v>
      </c>
      <c r="F9" s="1111" t="s">
        <v>651</v>
      </c>
      <c r="G9" s="1112">
        <v>0</v>
      </c>
      <c r="H9" s="1112">
        <v>0</v>
      </c>
      <c r="I9" s="1113">
        <v>60444.92</v>
      </c>
      <c r="J9" s="1114">
        <v>0</v>
      </c>
      <c r="L9" s="1114">
        <f t="shared" si="1"/>
        <v>0</v>
      </c>
    </row>
    <row r="10" spans="1:12">
      <c r="A10" s="559" t="s">
        <v>227</v>
      </c>
      <c r="B10" s="559" t="s">
        <v>227</v>
      </c>
      <c r="C10" s="544"/>
      <c r="D10" s="1111" t="s">
        <v>648</v>
      </c>
      <c r="E10" s="119" t="str">
        <f t="shared" ref="E10:E48" si="2">LEFT(D10,10)</f>
        <v>REVENUE_AC</v>
      </c>
      <c r="F10" s="1111" t="s">
        <v>651</v>
      </c>
      <c r="G10" s="1112">
        <v>0</v>
      </c>
      <c r="H10" s="1112">
        <v>0</v>
      </c>
      <c r="I10" s="1113">
        <v>-9069190.5299999993</v>
      </c>
      <c r="J10" s="1114">
        <v>0</v>
      </c>
      <c r="L10" s="1114">
        <f t="shared" si="1"/>
        <v>0</v>
      </c>
    </row>
    <row r="11" spans="1:12">
      <c r="A11" s="557" t="s">
        <v>680</v>
      </c>
      <c r="B11" s="557" t="s">
        <v>680</v>
      </c>
      <c r="C11" s="544"/>
      <c r="D11" s="1111" t="s">
        <v>681</v>
      </c>
      <c r="E11" s="119" t="str">
        <f t="shared" si="2"/>
        <v>301270-DSM</v>
      </c>
      <c r="F11" s="1111" t="s">
        <v>651</v>
      </c>
      <c r="G11" s="1112">
        <v>0</v>
      </c>
      <c r="H11" s="1112">
        <v>0</v>
      </c>
      <c r="I11" s="1113">
        <v>3814919.4</v>
      </c>
      <c r="J11" s="1114">
        <v>0</v>
      </c>
      <c r="L11" s="1114">
        <f t="shared" si="1"/>
        <v>0</v>
      </c>
    </row>
    <row r="12" spans="1:12">
      <c r="A12" s="557" t="s">
        <v>682</v>
      </c>
      <c r="B12" s="557" t="s">
        <v>682</v>
      </c>
      <c r="C12" s="544"/>
      <c r="D12" s="1111" t="s">
        <v>683</v>
      </c>
      <c r="E12" s="119" t="str">
        <f t="shared" si="2"/>
        <v>301280-BLU</v>
      </c>
      <c r="F12" s="1111" t="s">
        <v>651</v>
      </c>
      <c r="G12" s="1112">
        <v>0</v>
      </c>
      <c r="H12" s="1112">
        <v>0</v>
      </c>
      <c r="I12" s="1113">
        <v>15727.42</v>
      </c>
      <c r="J12" s="1114">
        <v>12</v>
      </c>
      <c r="L12" s="1114">
        <f t="shared" si="1"/>
        <v>1</v>
      </c>
    </row>
    <row r="13" spans="1:12">
      <c r="A13" s="557" t="s">
        <v>863</v>
      </c>
      <c r="B13" s="428" t="s">
        <v>863</v>
      </c>
      <c r="C13" s="544"/>
      <c r="D13" s="1111" t="s">
        <v>858</v>
      </c>
      <c r="E13" s="119" t="str">
        <f t="shared" si="2"/>
        <v>ALT REVENU</v>
      </c>
      <c r="F13" s="1111" t="s">
        <v>651</v>
      </c>
      <c r="G13" s="1112">
        <v>0</v>
      </c>
      <c r="H13" s="1112">
        <v>0</v>
      </c>
      <c r="I13" s="1113">
        <v>-967039.15</v>
      </c>
      <c r="J13" s="1114">
        <v>0</v>
      </c>
      <c r="L13" s="1114">
        <f t="shared" si="1"/>
        <v>0</v>
      </c>
    </row>
    <row r="14" spans="1:12">
      <c r="A14" s="557" t="s">
        <v>864</v>
      </c>
      <c r="B14" s="428" t="s">
        <v>864</v>
      </c>
      <c r="C14" s="544"/>
      <c r="D14" s="1111" t="s">
        <v>859</v>
      </c>
      <c r="E14" s="119" t="str">
        <f t="shared" si="2"/>
        <v>INCOME TAX</v>
      </c>
      <c r="F14" s="1111" t="s">
        <v>651</v>
      </c>
      <c r="G14" s="1112">
        <v>0</v>
      </c>
      <c r="H14" s="1112">
        <v>0</v>
      </c>
      <c r="I14" s="1113">
        <v>93091.33</v>
      </c>
      <c r="J14" s="1114">
        <v>0</v>
      </c>
      <c r="L14" s="1114">
        <f t="shared" si="1"/>
        <v>0</v>
      </c>
    </row>
    <row r="15" spans="1:12">
      <c r="A15" s="557">
        <v>24</v>
      </c>
      <c r="B15" s="557">
        <v>24</v>
      </c>
      <c r="C15" s="544"/>
      <c r="D15" s="1111" t="s">
        <v>790</v>
      </c>
      <c r="E15" s="119" t="str">
        <f t="shared" si="2"/>
        <v>02GNSV0024</v>
      </c>
      <c r="F15" s="1111" t="s">
        <v>651</v>
      </c>
      <c r="G15" s="1112">
        <v>483973119</v>
      </c>
      <c r="H15" s="1112">
        <v>483973119</v>
      </c>
      <c r="I15" s="1113">
        <v>44305614.090000004</v>
      </c>
      <c r="J15" s="1114">
        <v>171853</v>
      </c>
      <c r="L15" s="1114">
        <f t="shared" si="1"/>
        <v>14321.083333333334</v>
      </c>
    </row>
    <row r="16" spans="1:12">
      <c r="A16" s="557" t="s">
        <v>142</v>
      </c>
      <c r="B16" s="557" t="s">
        <v>142</v>
      </c>
      <c r="C16" s="544"/>
      <c r="D16" s="1111" t="s">
        <v>791</v>
      </c>
      <c r="E16" s="119" t="str">
        <f t="shared" si="2"/>
        <v>02GNSV024F</v>
      </c>
      <c r="F16" s="1111" t="s">
        <v>651</v>
      </c>
      <c r="G16" s="1112">
        <v>1069601</v>
      </c>
      <c r="H16" s="1112">
        <v>1069601</v>
      </c>
      <c r="I16" s="1113">
        <v>149230.37</v>
      </c>
      <c r="J16" s="1114">
        <v>1248</v>
      </c>
      <c r="L16" s="1114">
        <f t="shared" si="1"/>
        <v>104</v>
      </c>
    </row>
    <row r="17" spans="1:12">
      <c r="A17" s="557">
        <v>36</v>
      </c>
      <c r="B17" s="557">
        <v>36</v>
      </c>
      <c r="C17" s="544"/>
      <c r="D17" s="1111" t="s">
        <v>792</v>
      </c>
      <c r="E17" s="119" t="str">
        <f t="shared" si="2"/>
        <v>02LGSV0036</v>
      </c>
      <c r="F17" s="1111" t="s">
        <v>651</v>
      </c>
      <c r="G17" s="1112">
        <v>778426026</v>
      </c>
      <c r="H17" s="1112">
        <v>778426026</v>
      </c>
      <c r="I17" s="1113">
        <v>60954086.770000003</v>
      </c>
      <c r="J17" s="1114">
        <v>10430</v>
      </c>
      <c r="L17" s="1114">
        <f t="shared" si="1"/>
        <v>869.16666666666663</v>
      </c>
    </row>
    <row r="18" spans="1:12">
      <c r="A18" s="557" t="s">
        <v>148</v>
      </c>
      <c r="B18" s="557" t="s">
        <v>148</v>
      </c>
      <c r="C18" s="544"/>
      <c r="D18" s="1111" t="s">
        <v>793</v>
      </c>
      <c r="E18" s="119" t="str">
        <f t="shared" si="2"/>
        <v>02LGSV048T</v>
      </c>
      <c r="F18" s="1111" t="s">
        <v>651</v>
      </c>
      <c r="G18" s="1112">
        <v>183888401</v>
      </c>
      <c r="H18" s="1112">
        <v>183888401</v>
      </c>
      <c r="I18" s="1113">
        <v>13463451.5</v>
      </c>
      <c r="J18" s="1114">
        <v>412</v>
      </c>
      <c r="L18" s="1114">
        <f t="shared" si="1"/>
        <v>34.333333333333336</v>
      </c>
    </row>
    <row r="19" spans="1:12">
      <c r="A19" s="557" t="s">
        <v>143</v>
      </c>
      <c r="B19" s="557" t="s">
        <v>143</v>
      </c>
      <c r="C19" s="544"/>
      <c r="D19" s="1111" t="s">
        <v>794</v>
      </c>
      <c r="E19" s="119" t="str">
        <f t="shared" si="2"/>
        <v>02LNX00102</v>
      </c>
      <c r="F19" s="1111" t="s">
        <v>651</v>
      </c>
      <c r="G19" s="1112">
        <v>0</v>
      </c>
      <c r="H19" s="1112">
        <v>0</v>
      </c>
      <c r="I19" s="1113">
        <v>51841.3</v>
      </c>
      <c r="J19" s="1114"/>
      <c r="L19" s="1114">
        <f t="shared" si="1"/>
        <v>0</v>
      </c>
    </row>
    <row r="20" spans="1:12">
      <c r="A20" s="557" t="s">
        <v>143</v>
      </c>
      <c r="B20" s="557" t="s">
        <v>143</v>
      </c>
      <c r="C20" s="544"/>
      <c r="D20" s="1111" t="s">
        <v>795</v>
      </c>
      <c r="E20" s="119" t="str">
        <f t="shared" si="2"/>
        <v>02LNX00103</v>
      </c>
      <c r="F20" s="1111" t="s">
        <v>651</v>
      </c>
      <c r="G20" s="1112">
        <v>0</v>
      </c>
      <c r="H20" s="1112">
        <v>0</v>
      </c>
      <c r="I20" s="1113">
        <v>8098.29</v>
      </c>
      <c r="J20" s="1114"/>
      <c r="L20" s="1114">
        <f t="shared" si="1"/>
        <v>0</v>
      </c>
    </row>
    <row r="21" spans="1:12">
      <c r="A21" s="557" t="s">
        <v>143</v>
      </c>
      <c r="B21" s="557" t="s">
        <v>143</v>
      </c>
      <c r="C21" s="544"/>
      <c r="D21" s="1111" t="s">
        <v>796</v>
      </c>
      <c r="E21" s="119" t="str">
        <f t="shared" si="2"/>
        <v>02LNX00105</v>
      </c>
      <c r="F21" s="1111" t="s">
        <v>651</v>
      </c>
      <c r="G21" s="1112">
        <v>0</v>
      </c>
      <c r="H21" s="1112">
        <v>0</v>
      </c>
      <c r="I21" s="1113">
        <v>1757.39</v>
      </c>
      <c r="J21" s="1114"/>
      <c r="L21" s="1114">
        <f t="shared" si="1"/>
        <v>0</v>
      </c>
    </row>
    <row r="22" spans="1:12">
      <c r="A22" s="557" t="s">
        <v>143</v>
      </c>
      <c r="B22" s="557" t="s">
        <v>143</v>
      </c>
      <c r="C22" s="544"/>
      <c r="D22" s="1111" t="s">
        <v>797</v>
      </c>
      <c r="E22" s="119" t="str">
        <f t="shared" si="2"/>
        <v>02LNX00109</v>
      </c>
      <c r="F22" s="1111" t="s">
        <v>651</v>
      </c>
      <c r="G22" s="1112">
        <v>0</v>
      </c>
      <c r="H22" s="1112">
        <v>0</v>
      </c>
      <c r="I22" s="1113">
        <v>300760.38</v>
      </c>
      <c r="J22" s="1114"/>
      <c r="L22" s="1114">
        <f t="shared" si="1"/>
        <v>0</v>
      </c>
    </row>
    <row r="23" spans="1:12">
      <c r="A23" s="557" t="s">
        <v>143</v>
      </c>
      <c r="B23" s="557" t="s">
        <v>143</v>
      </c>
      <c r="C23" s="544"/>
      <c r="D23" s="1111" t="s">
        <v>798</v>
      </c>
      <c r="E23" s="119" t="str">
        <f t="shared" si="2"/>
        <v>02LNX00110</v>
      </c>
      <c r="F23" s="1111" t="s">
        <v>651</v>
      </c>
      <c r="G23" s="1112">
        <v>0</v>
      </c>
      <c r="H23" s="1112">
        <v>0</v>
      </c>
      <c r="I23" s="1113">
        <v>38568.29</v>
      </c>
      <c r="J23" s="1114"/>
      <c r="L23" s="1114">
        <f t="shared" si="1"/>
        <v>0</v>
      </c>
    </row>
    <row r="24" spans="1:12">
      <c r="A24" s="557" t="s">
        <v>143</v>
      </c>
      <c r="B24" s="557" t="s">
        <v>143</v>
      </c>
      <c r="C24" s="544"/>
      <c r="D24" s="1111" t="s">
        <v>799</v>
      </c>
      <c r="E24" s="119" t="str">
        <f t="shared" si="2"/>
        <v>02LNX00112</v>
      </c>
      <c r="F24" s="1111" t="s">
        <v>651</v>
      </c>
      <c r="G24" s="1112">
        <v>0</v>
      </c>
      <c r="H24" s="1112">
        <v>0</v>
      </c>
      <c r="I24" s="1113">
        <v>668.76</v>
      </c>
      <c r="J24" s="1114"/>
      <c r="L24" s="1114">
        <f t="shared" si="1"/>
        <v>0</v>
      </c>
    </row>
    <row r="25" spans="1:12">
      <c r="A25" s="557" t="s">
        <v>144</v>
      </c>
      <c r="B25" s="557" t="s">
        <v>144</v>
      </c>
      <c r="C25" s="544"/>
      <c r="D25" s="1111" t="s">
        <v>800</v>
      </c>
      <c r="E25" s="119" t="str">
        <f t="shared" si="2"/>
        <v>02OALT015N</v>
      </c>
      <c r="F25" s="1111" t="s">
        <v>651</v>
      </c>
      <c r="G25" s="1112">
        <v>1439531</v>
      </c>
      <c r="H25" s="1112">
        <v>1439531</v>
      </c>
      <c r="I25" s="1113">
        <v>209769.78</v>
      </c>
      <c r="J25" s="1114">
        <v>9220</v>
      </c>
      <c r="L25" s="1114">
        <f t="shared" si="1"/>
        <v>768.33333333333337</v>
      </c>
    </row>
    <row r="26" spans="1:12">
      <c r="A26" s="557">
        <v>54</v>
      </c>
      <c r="B26" s="557">
        <v>54</v>
      </c>
      <c r="C26" s="544"/>
      <c r="D26" s="1111" t="s">
        <v>801</v>
      </c>
      <c r="E26" s="119" t="str">
        <f t="shared" si="2"/>
        <v>02RCFL0054</v>
      </c>
      <c r="F26" s="1111" t="s">
        <v>651</v>
      </c>
      <c r="G26" s="1112">
        <v>281912</v>
      </c>
      <c r="H26" s="1112">
        <v>281912</v>
      </c>
      <c r="I26" s="1113">
        <v>26057.85</v>
      </c>
      <c r="J26" s="1114">
        <v>324</v>
      </c>
      <c r="L26" s="1114">
        <f t="shared" si="1"/>
        <v>27</v>
      </c>
    </row>
    <row r="27" spans="1:12">
      <c r="A27" s="557" t="s">
        <v>143</v>
      </c>
      <c r="B27" s="557" t="s">
        <v>143</v>
      </c>
      <c r="C27" s="544"/>
      <c r="D27" s="1111" t="s">
        <v>860</v>
      </c>
      <c r="E27" s="119" t="str">
        <f t="shared" si="2"/>
        <v>02ZZMERGCR</v>
      </c>
      <c r="F27" s="1111" t="s">
        <v>651</v>
      </c>
      <c r="G27" s="1112">
        <v>0</v>
      </c>
      <c r="H27" s="1112">
        <v>0</v>
      </c>
      <c r="I27" s="1113">
        <v>-0.06</v>
      </c>
      <c r="J27" s="1114"/>
      <c r="L27" s="1114">
        <f t="shared" si="1"/>
        <v>0</v>
      </c>
    </row>
    <row r="28" spans="1:12">
      <c r="A28" s="557" t="s">
        <v>143</v>
      </c>
      <c r="B28" s="557" t="s">
        <v>143</v>
      </c>
      <c r="C28" s="544"/>
      <c r="D28" s="1111" t="s">
        <v>196</v>
      </c>
      <c r="E28" s="119" t="str">
        <f t="shared" si="2"/>
        <v>02LNX00300</v>
      </c>
      <c r="F28" s="1111" t="s">
        <v>651</v>
      </c>
      <c r="G28" s="1112">
        <v>0</v>
      </c>
      <c r="H28" s="1112">
        <v>0</v>
      </c>
      <c r="I28" s="1113">
        <v>20324.93</v>
      </c>
      <c r="J28" s="1114"/>
      <c r="L28" s="1114">
        <f t="shared" si="1"/>
        <v>0</v>
      </c>
    </row>
    <row r="29" spans="1:12">
      <c r="A29" s="559">
        <v>24</v>
      </c>
      <c r="B29" s="559">
        <v>24</v>
      </c>
      <c r="C29" s="544"/>
      <c r="D29" s="1111" t="s">
        <v>208</v>
      </c>
      <c r="E29" s="119" t="str">
        <f t="shared" si="2"/>
        <v>02NMT24135</v>
      </c>
      <c r="F29" s="1111" t="s">
        <v>651</v>
      </c>
      <c r="G29" s="1112">
        <v>3530073</v>
      </c>
      <c r="H29" s="1112">
        <v>3530073</v>
      </c>
      <c r="I29" s="1113">
        <v>332627.40000000002</v>
      </c>
      <c r="J29" s="1114">
        <v>1089</v>
      </c>
      <c r="L29" s="1114">
        <f t="shared" si="1"/>
        <v>90.75</v>
      </c>
    </row>
    <row r="30" spans="1:12">
      <c r="A30" s="559">
        <v>24</v>
      </c>
      <c r="B30" s="559">
        <v>24</v>
      </c>
      <c r="C30" s="544"/>
      <c r="D30" s="1111" t="s">
        <v>213</v>
      </c>
      <c r="E30" s="119" t="str">
        <f t="shared" si="2"/>
        <v>02GNSB0024</v>
      </c>
      <c r="F30" s="1111" t="s">
        <v>651</v>
      </c>
      <c r="G30" s="1112">
        <v>28531507</v>
      </c>
      <c r="H30" s="1112">
        <v>28531507</v>
      </c>
      <c r="I30" s="1113">
        <v>2764229.43</v>
      </c>
      <c r="J30" s="1114">
        <v>18224</v>
      </c>
      <c r="L30" s="1114">
        <f t="shared" si="1"/>
        <v>1518.6666666666667</v>
      </c>
    </row>
    <row r="31" spans="1:12">
      <c r="A31" s="557" t="s">
        <v>233</v>
      </c>
      <c r="B31" s="557">
        <v>24</v>
      </c>
      <c r="C31" s="544"/>
      <c r="D31" s="1111" t="s">
        <v>219</v>
      </c>
      <c r="E31" s="119" t="str">
        <f t="shared" si="2"/>
        <v>02GNSB0024</v>
      </c>
      <c r="F31" s="1111" t="s">
        <v>4</v>
      </c>
      <c r="G31" s="1112">
        <v>28531430</v>
      </c>
      <c r="H31" s="1112">
        <v>28531430</v>
      </c>
      <c r="I31" s="1113">
        <v>-232531.64</v>
      </c>
      <c r="J31" s="1114">
        <v>18224</v>
      </c>
      <c r="L31" s="1114">
        <f t="shared" si="1"/>
        <v>1518.6666666666667</v>
      </c>
    </row>
    <row r="32" spans="1:12">
      <c r="A32" s="557" t="s">
        <v>149</v>
      </c>
      <c r="B32" s="557" t="s">
        <v>149</v>
      </c>
      <c r="C32" s="544"/>
      <c r="D32" s="1111" t="s">
        <v>214</v>
      </c>
      <c r="E32" s="119" t="str">
        <f t="shared" si="2"/>
        <v>02GNSB24FP</v>
      </c>
      <c r="F32" s="1111" t="s">
        <v>651</v>
      </c>
      <c r="G32" s="1112">
        <v>130258</v>
      </c>
      <c r="H32" s="1112">
        <v>130258</v>
      </c>
      <c r="I32" s="1113">
        <v>69411.56</v>
      </c>
      <c r="J32" s="1114">
        <v>887</v>
      </c>
      <c r="L32" s="1114">
        <f t="shared" si="1"/>
        <v>73.916666666666671</v>
      </c>
    </row>
    <row r="33" spans="1:14">
      <c r="A33" s="557" t="s">
        <v>172</v>
      </c>
      <c r="B33" s="557" t="s">
        <v>149</v>
      </c>
      <c r="C33" s="544"/>
      <c r="D33" s="1111" t="s">
        <v>220</v>
      </c>
      <c r="E33" s="119" t="str">
        <f t="shared" si="2"/>
        <v>02GNSB24FP</v>
      </c>
      <c r="F33" s="1111" t="s">
        <v>4</v>
      </c>
      <c r="G33" s="1112">
        <v>126169</v>
      </c>
      <c r="H33" s="1112">
        <v>126169</v>
      </c>
      <c r="I33" s="1113">
        <v>-1028.32</v>
      </c>
      <c r="J33" s="1114">
        <v>887</v>
      </c>
      <c r="L33" s="1114">
        <f t="shared" si="1"/>
        <v>73.916666666666671</v>
      </c>
    </row>
    <row r="34" spans="1:14">
      <c r="A34" s="557">
        <v>36</v>
      </c>
      <c r="B34" s="557">
        <v>36</v>
      </c>
      <c r="C34" s="544"/>
      <c r="D34" s="1111" t="s">
        <v>223</v>
      </c>
      <c r="E34" s="119" t="str">
        <f t="shared" si="2"/>
        <v>02LGSB0036</v>
      </c>
      <c r="F34" s="1111" t="s">
        <v>651</v>
      </c>
      <c r="G34" s="1112">
        <v>54643352</v>
      </c>
      <c r="H34" s="1112">
        <v>54643352</v>
      </c>
      <c r="I34" s="1113">
        <v>4419364.54</v>
      </c>
      <c r="J34" s="1114">
        <v>1079</v>
      </c>
      <c r="L34" s="1114">
        <f t="shared" si="1"/>
        <v>89.916666666666671</v>
      </c>
    </row>
    <row r="35" spans="1:14">
      <c r="A35" s="557" t="s">
        <v>229</v>
      </c>
      <c r="B35" s="557">
        <v>36</v>
      </c>
      <c r="C35" s="544"/>
      <c r="D35" s="1111" t="s">
        <v>216</v>
      </c>
      <c r="E35" s="119" t="str">
        <f t="shared" si="2"/>
        <v>02LGSB0036</v>
      </c>
      <c r="F35" s="1111" t="s">
        <v>4</v>
      </c>
      <c r="G35" s="1112">
        <v>54643349</v>
      </c>
      <c r="H35" s="1112">
        <v>54643349</v>
      </c>
      <c r="I35" s="1113">
        <v>-445343.4</v>
      </c>
      <c r="J35" s="1114">
        <v>1079</v>
      </c>
      <c r="L35" s="1114">
        <f t="shared" si="1"/>
        <v>89.916666666666671</v>
      </c>
    </row>
    <row r="36" spans="1:14">
      <c r="A36" s="557" t="s">
        <v>144</v>
      </c>
      <c r="B36" s="557" t="s">
        <v>144</v>
      </c>
      <c r="C36" s="544"/>
      <c r="D36" s="1111" t="s">
        <v>221</v>
      </c>
      <c r="E36" s="119" t="str">
        <f t="shared" si="2"/>
        <v>02OALTB15N</v>
      </c>
      <c r="F36" s="1111" t="s">
        <v>651</v>
      </c>
      <c r="G36" s="1112">
        <v>510682</v>
      </c>
      <c r="H36" s="1112">
        <v>510682</v>
      </c>
      <c r="I36" s="1113">
        <v>81379.25</v>
      </c>
      <c r="J36" s="1114">
        <v>5596</v>
      </c>
      <c r="L36" s="1114">
        <f t="shared" si="1"/>
        <v>466.33333333333331</v>
      </c>
    </row>
    <row r="37" spans="1:14">
      <c r="A37" s="557" t="s">
        <v>230</v>
      </c>
      <c r="B37" s="557" t="s">
        <v>144</v>
      </c>
      <c r="C37" s="544"/>
      <c r="D37" s="1111" t="s">
        <v>217</v>
      </c>
      <c r="E37" s="119" t="str">
        <f t="shared" si="2"/>
        <v>02OALTB15N</v>
      </c>
      <c r="F37" s="1111" t="s">
        <v>4</v>
      </c>
      <c r="G37" s="1112">
        <v>510658</v>
      </c>
      <c r="H37" s="1112">
        <v>510658</v>
      </c>
      <c r="I37" s="1113">
        <v>-4163.45</v>
      </c>
      <c r="J37" s="1114"/>
      <c r="L37" s="1114">
        <f t="shared" si="1"/>
        <v>0</v>
      </c>
    </row>
    <row r="38" spans="1:14">
      <c r="A38" s="557" t="s">
        <v>142</v>
      </c>
      <c r="B38" s="557" t="s">
        <v>142</v>
      </c>
      <c r="C38" s="544"/>
      <c r="D38" s="1111" t="s">
        <v>222</v>
      </c>
      <c r="E38" s="119" t="str">
        <f t="shared" si="2"/>
        <v>02GNSB024F</v>
      </c>
      <c r="F38" s="1111" t="s">
        <v>651</v>
      </c>
      <c r="G38" s="1112">
        <v>154284</v>
      </c>
      <c r="H38" s="1112">
        <v>154284</v>
      </c>
      <c r="I38" s="1113">
        <v>19774.48</v>
      </c>
      <c r="J38" s="1114">
        <v>72</v>
      </c>
      <c r="L38" s="1114">
        <f t="shared" si="1"/>
        <v>6</v>
      </c>
    </row>
    <row r="39" spans="1:14">
      <c r="A39" s="557" t="s">
        <v>228</v>
      </c>
      <c r="B39" s="557" t="s">
        <v>142</v>
      </c>
      <c r="C39" s="544"/>
      <c r="D39" s="1111" t="s">
        <v>212</v>
      </c>
      <c r="E39" s="119" t="str">
        <f t="shared" si="2"/>
        <v>02GNSB024F</v>
      </c>
      <c r="F39" s="1111" t="s">
        <v>4</v>
      </c>
      <c r="G39" s="1112">
        <v>864</v>
      </c>
      <c r="H39" s="1112">
        <v>864</v>
      </c>
      <c r="I39" s="1113">
        <v>-7.08</v>
      </c>
      <c r="J39" s="1114">
        <v>12</v>
      </c>
      <c r="L39" s="1114">
        <f t="shared" si="1"/>
        <v>1</v>
      </c>
      <c r="N39" s="4" t="s">
        <v>31</v>
      </c>
    </row>
    <row r="40" spans="1:14">
      <c r="A40" s="557" t="s">
        <v>143</v>
      </c>
      <c r="B40" s="557" t="s">
        <v>143</v>
      </c>
      <c r="C40" s="544"/>
      <c r="D40" s="1111" t="s">
        <v>236</v>
      </c>
      <c r="E40" s="119" t="str">
        <f t="shared" si="2"/>
        <v>02LNX00311</v>
      </c>
      <c r="F40" s="1111" t="s">
        <v>651</v>
      </c>
      <c r="G40" s="1112">
        <v>0</v>
      </c>
      <c r="H40" s="1112">
        <v>0</v>
      </c>
      <c r="I40" s="1113">
        <v>47070.239999999998</v>
      </c>
      <c r="J40" s="1114"/>
      <c r="L40" s="1114">
        <f t="shared" si="1"/>
        <v>0</v>
      </c>
    </row>
    <row r="41" spans="1:14">
      <c r="A41" s="557" t="s">
        <v>143</v>
      </c>
      <c r="B41" s="557" t="s">
        <v>143</v>
      </c>
      <c r="C41" s="544"/>
      <c r="D41" s="1111" t="s">
        <v>237</v>
      </c>
      <c r="E41" s="119" t="str">
        <f t="shared" si="2"/>
        <v>02LNX00310</v>
      </c>
      <c r="F41" s="1111" t="s">
        <v>651</v>
      </c>
      <c r="G41" s="1112">
        <v>0</v>
      </c>
      <c r="H41" s="1112">
        <v>0</v>
      </c>
      <c r="I41" s="1113">
        <v>0</v>
      </c>
      <c r="J41" s="1114"/>
      <c r="L41" s="1114">
        <f t="shared" si="1"/>
        <v>0</v>
      </c>
    </row>
    <row r="42" spans="1:14">
      <c r="A42" s="557" t="s">
        <v>143</v>
      </c>
      <c r="B42" s="557" t="s">
        <v>143</v>
      </c>
      <c r="C42" s="544"/>
      <c r="D42" s="1111" t="s">
        <v>238</v>
      </c>
      <c r="E42" s="119" t="str">
        <f t="shared" si="2"/>
        <v>02LNX00312</v>
      </c>
      <c r="F42" s="1111" t="s">
        <v>651</v>
      </c>
      <c r="G42" s="1112">
        <v>0</v>
      </c>
      <c r="H42" s="1112">
        <v>0</v>
      </c>
      <c r="I42" s="1113">
        <v>12343.16</v>
      </c>
      <c r="J42" s="1114"/>
      <c r="L42" s="1114">
        <f t="shared" si="1"/>
        <v>0</v>
      </c>
    </row>
    <row r="43" spans="1:14">
      <c r="A43" s="557">
        <v>36</v>
      </c>
      <c r="B43" s="557">
        <v>36</v>
      </c>
      <c r="C43" s="544"/>
      <c r="D43" s="1111" t="s">
        <v>626</v>
      </c>
      <c r="E43" s="119" t="str">
        <f t="shared" si="2"/>
        <v>02NMT36135</v>
      </c>
      <c r="F43" s="1111" t="s">
        <v>651</v>
      </c>
      <c r="G43" s="1112">
        <v>12022753</v>
      </c>
      <c r="H43" s="1112">
        <v>12022753</v>
      </c>
      <c r="I43" s="1113">
        <v>997488.24</v>
      </c>
      <c r="J43" s="1114">
        <v>182</v>
      </c>
      <c r="L43" s="1114">
        <f t="shared" si="1"/>
        <v>15.166666666666666</v>
      </c>
    </row>
    <row r="44" spans="1:14">
      <c r="A44" s="557" t="s">
        <v>233</v>
      </c>
      <c r="B44" s="557">
        <v>24</v>
      </c>
      <c r="C44" s="544"/>
      <c r="D44" s="1111" t="s">
        <v>861</v>
      </c>
      <c r="E44" s="119" t="str">
        <f t="shared" si="2"/>
        <v>02NMB24135</v>
      </c>
      <c r="F44" s="1111" t="s">
        <v>4</v>
      </c>
      <c r="G44" s="1112">
        <v>90680</v>
      </c>
      <c r="H44" s="1112">
        <v>90680</v>
      </c>
      <c r="I44" s="1113">
        <v>-739.05</v>
      </c>
      <c r="J44" s="1114">
        <v>243</v>
      </c>
      <c r="L44" s="1114">
        <f t="shared" si="1"/>
        <v>20.25</v>
      </c>
    </row>
    <row r="45" spans="1:14">
      <c r="A45" s="557" t="s">
        <v>148</v>
      </c>
      <c r="B45" s="557" t="s">
        <v>148</v>
      </c>
      <c r="C45" s="544"/>
      <c r="D45" s="1111" t="s">
        <v>714</v>
      </c>
      <c r="E45" s="119" t="str">
        <f t="shared" si="2"/>
        <v>02NMT48135</v>
      </c>
      <c r="F45" s="1111" t="s">
        <v>651</v>
      </c>
      <c r="G45" s="1112">
        <v>10406400</v>
      </c>
      <c r="H45" s="1112">
        <v>10406400</v>
      </c>
      <c r="I45" s="1113">
        <v>759767.83</v>
      </c>
      <c r="J45" s="1114">
        <v>24</v>
      </c>
      <c r="L45" s="1114">
        <f t="shared" si="1"/>
        <v>2</v>
      </c>
    </row>
    <row r="46" spans="1:14">
      <c r="A46" s="428">
        <v>24</v>
      </c>
      <c r="B46" s="428">
        <v>24</v>
      </c>
      <c r="C46" s="544"/>
      <c r="D46" s="1111" t="s">
        <v>862</v>
      </c>
      <c r="E46" s="119" t="str">
        <f t="shared" si="2"/>
        <v>02NMB24135</v>
      </c>
      <c r="F46" s="1111" t="s">
        <v>651</v>
      </c>
      <c r="G46" s="1112">
        <v>49075</v>
      </c>
      <c r="H46" s="1112">
        <v>49075</v>
      </c>
      <c r="I46" s="1113">
        <v>8192.33</v>
      </c>
      <c r="J46" s="1114">
        <v>194</v>
      </c>
      <c r="L46" s="1114">
        <f t="shared" si="1"/>
        <v>16.166666666666668</v>
      </c>
    </row>
    <row r="47" spans="1:14">
      <c r="A47" s="428"/>
      <c r="C47" s="544"/>
      <c r="D47" s="1111" t="s">
        <v>802</v>
      </c>
      <c r="E47" s="119" t="str">
        <f t="shared" si="2"/>
        <v>CUSTOMER C</v>
      </c>
      <c r="F47" s="1111" t="s">
        <v>651</v>
      </c>
      <c r="G47" s="1112"/>
      <c r="H47" s="1112"/>
      <c r="I47" s="1113"/>
      <c r="J47" s="1114">
        <v>0</v>
      </c>
      <c r="L47" s="1114">
        <f t="shared" si="1"/>
        <v>0</v>
      </c>
    </row>
    <row r="48" spans="1:14">
      <c r="A48" s="428"/>
      <c r="C48" s="544"/>
      <c r="D48" s="1111" t="s">
        <v>803</v>
      </c>
      <c r="E48" s="119" t="str">
        <f t="shared" si="2"/>
        <v>CUSTOMER C</v>
      </c>
      <c r="F48" s="1111" t="s">
        <v>4</v>
      </c>
      <c r="G48" s="1112"/>
      <c r="H48" s="1112"/>
      <c r="I48" s="1113"/>
      <c r="J48" s="1114">
        <v>0</v>
      </c>
      <c r="L48" s="1114">
        <f t="shared" si="1"/>
        <v>0</v>
      </c>
    </row>
    <row r="49" spans="1:13">
      <c r="A49" s="428"/>
      <c r="C49" s="544" t="s">
        <v>105</v>
      </c>
      <c r="D49" s="557"/>
      <c r="E49" s="557"/>
      <c r="F49" s="108" t="s">
        <v>121</v>
      </c>
      <c r="G49" s="7"/>
      <c r="H49" s="560">
        <f>SUM(H7:H46)-H8-H31-H33-H35-H37-H39-H44</f>
        <v>1573280974</v>
      </c>
      <c r="I49" s="564">
        <f>SUM(I7:I46)</f>
        <v>124019110.64000003</v>
      </c>
      <c r="J49" s="560">
        <f>SUM(J7:J46)-J8-J31-J33-J35-J37-J39-J44</f>
        <v>220846</v>
      </c>
      <c r="K49" s="560">
        <f>J49-J12</f>
        <v>220834</v>
      </c>
      <c r="L49" s="560">
        <f>SUM(L7:L46)-L8-L31-L33-L35-L37-L39-L44</f>
        <v>18403.833333333339</v>
      </c>
      <c r="M49" s="560">
        <f>L49-L12</f>
        <v>18402.833333333339</v>
      </c>
    </row>
    <row r="50" spans="1:13">
      <c r="A50" s="428"/>
      <c r="C50" s="544"/>
      <c r="D50" s="557"/>
      <c r="E50" s="557"/>
      <c r="F50" s="7"/>
      <c r="G50" s="7"/>
      <c r="H50" s="560"/>
      <c r="I50" s="561"/>
      <c r="J50" s="560"/>
    </row>
    <row r="51" spans="1:13">
      <c r="A51" s="428"/>
      <c r="C51" s="544"/>
      <c r="D51" s="7"/>
      <c r="E51" s="7"/>
      <c r="F51" s="7"/>
      <c r="G51" s="7"/>
      <c r="H51" s="450"/>
      <c r="I51" s="450"/>
      <c r="J51" s="106"/>
    </row>
    <row r="52" spans="1:13">
      <c r="A52" s="428"/>
      <c r="C52" s="544" t="s">
        <v>99</v>
      </c>
      <c r="D52" s="7" t="s">
        <v>100</v>
      </c>
      <c r="E52" s="7"/>
      <c r="F52" s="7" t="s">
        <v>101</v>
      </c>
      <c r="G52" s="7"/>
      <c r="H52" s="31" t="s">
        <v>102</v>
      </c>
      <c r="I52" s="107" t="s">
        <v>1</v>
      </c>
      <c r="J52" s="31" t="s">
        <v>103</v>
      </c>
    </row>
    <row r="53" spans="1:13">
      <c r="A53" s="428" t="s">
        <v>146</v>
      </c>
      <c r="B53" s="562" t="s">
        <v>146</v>
      </c>
      <c r="C53" s="544" t="s">
        <v>122</v>
      </c>
      <c r="D53" s="1111" t="s">
        <v>788</v>
      </c>
      <c r="E53" s="119" t="str">
        <f t="shared" ref="E53:E79" si="3">LEFT(D53,10)</f>
        <v>UNBILLED R</v>
      </c>
      <c r="F53" s="1111" t="s">
        <v>650</v>
      </c>
      <c r="G53" s="7"/>
      <c r="H53" s="1112">
        <v>13782000</v>
      </c>
      <c r="I53" s="1113">
        <v>301000</v>
      </c>
      <c r="J53" s="1114">
        <v>0</v>
      </c>
      <c r="L53" s="1114">
        <f t="shared" ref="L53:L79" si="4">J53/12</f>
        <v>0</v>
      </c>
    </row>
    <row r="54" spans="1:13">
      <c r="A54" s="428" t="s">
        <v>145</v>
      </c>
      <c r="B54" s="562" t="s">
        <v>145</v>
      </c>
      <c r="C54" s="544"/>
      <c r="D54" s="1111" t="s">
        <v>789</v>
      </c>
      <c r="E54" s="119" t="str">
        <f t="shared" si="3"/>
        <v>BPA BALANC</v>
      </c>
      <c r="F54" s="1111" t="s">
        <v>4</v>
      </c>
      <c r="G54" s="7"/>
      <c r="H54" s="1112">
        <v>0</v>
      </c>
      <c r="I54" s="1113">
        <v>-175.71</v>
      </c>
      <c r="J54" s="1114">
        <v>0</v>
      </c>
      <c r="L54" s="1114">
        <f t="shared" si="4"/>
        <v>0</v>
      </c>
    </row>
    <row r="55" spans="1:13">
      <c r="A55" s="428" t="s">
        <v>227</v>
      </c>
      <c r="B55" s="562" t="s">
        <v>227</v>
      </c>
      <c r="C55" s="544"/>
      <c r="D55" s="1111" t="s">
        <v>678</v>
      </c>
      <c r="E55" s="119" t="str">
        <f t="shared" si="3"/>
        <v>REVENUE AD</v>
      </c>
      <c r="F55" s="1111" t="s">
        <v>651</v>
      </c>
      <c r="G55" s="7"/>
      <c r="H55" s="1112">
        <v>0</v>
      </c>
      <c r="I55" s="1113">
        <v>29180.560000000001</v>
      </c>
      <c r="J55" s="1114">
        <v>0</v>
      </c>
      <c r="L55" s="1114">
        <f t="shared" si="4"/>
        <v>0</v>
      </c>
    </row>
    <row r="56" spans="1:13">
      <c r="A56" s="428" t="s">
        <v>227</v>
      </c>
      <c r="B56" s="562" t="s">
        <v>227</v>
      </c>
      <c r="C56" s="544"/>
      <c r="D56" s="1111" t="s">
        <v>648</v>
      </c>
      <c r="E56" s="119" t="str">
        <f t="shared" si="3"/>
        <v>REVENUE_AC</v>
      </c>
      <c r="F56" s="1111" t="s">
        <v>651</v>
      </c>
      <c r="G56" s="7"/>
      <c r="H56" s="1112">
        <v>0</v>
      </c>
      <c r="I56" s="1113">
        <v>-3523373.2</v>
      </c>
      <c r="J56" s="1114">
        <v>0</v>
      </c>
      <c r="L56" s="1114">
        <f t="shared" si="4"/>
        <v>0</v>
      </c>
    </row>
    <row r="57" spans="1:13">
      <c r="A57" s="428" t="s">
        <v>680</v>
      </c>
      <c r="B57" s="562" t="s">
        <v>680</v>
      </c>
      <c r="C57" s="544"/>
      <c r="D57" s="1111" t="s">
        <v>684</v>
      </c>
      <c r="E57" s="119" t="str">
        <f t="shared" si="3"/>
        <v>301370-DSM</v>
      </c>
      <c r="F57" s="1111" t="s">
        <v>651</v>
      </c>
      <c r="G57" s="7"/>
      <c r="H57" s="1112">
        <v>0</v>
      </c>
      <c r="I57" s="1113">
        <v>1387644.67</v>
      </c>
      <c r="J57" s="1114">
        <v>0</v>
      </c>
      <c r="L57" s="1114">
        <f t="shared" si="4"/>
        <v>0</v>
      </c>
    </row>
    <row r="58" spans="1:13">
      <c r="A58" s="428" t="s">
        <v>682</v>
      </c>
      <c r="B58" s="562" t="s">
        <v>682</v>
      </c>
      <c r="C58" s="544"/>
      <c r="D58" s="1111" t="s">
        <v>865</v>
      </c>
      <c r="E58" s="119" t="str">
        <f t="shared" si="3"/>
        <v>301380-BLU</v>
      </c>
      <c r="F58" s="1111" t="s">
        <v>651</v>
      </c>
      <c r="G58" s="7"/>
      <c r="H58" s="1112">
        <v>0</v>
      </c>
      <c r="I58" s="1113">
        <v>20.78</v>
      </c>
      <c r="J58" s="1114">
        <v>18</v>
      </c>
      <c r="L58" s="1114">
        <f t="shared" si="4"/>
        <v>1.5</v>
      </c>
    </row>
    <row r="59" spans="1:13">
      <c r="A59" s="428" t="s">
        <v>863</v>
      </c>
      <c r="B59" s="562" t="s">
        <v>863</v>
      </c>
      <c r="C59" s="544"/>
      <c r="D59" s="1111" t="s">
        <v>858</v>
      </c>
      <c r="E59" s="119" t="str">
        <f t="shared" si="3"/>
        <v>ALT REVENU</v>
      </c>
      <c r="F59" s="1111" t="s">
        <v>651</v>
      </c>
      <c r="G59" s="7"/>
      <c r="H59" s="1112">
        <v>0</v>
      </c>
      <c r="I59" s="1113">
        <v>-1435848.99</v>
      </c>
      <c r="J59" s="1114">
        <v>0</v>
      </c>
      <c r="L59" s="1114">
        <f t="shared" si="4"/>
        <v>0</v>
      </c>
    </row>
    <row r="60" spans="1:13">
      <c r="A60" s="428" t="s">
        <v>864</v>
      </c>
      <c r="B60" s="562" t="s">
        <v>864</v>
      </c>
      <c r="C60" s="544"/>
      <c r="D60" s="1111" t="s">
        <v>859</v>
      </c>
      <c r="E60" s="119" t="str">
        <f t="shared" si="3"/>
        <v>INCOME TAX</v>
      </c>
      <c r="F60" s="1111" t="s">
        <v>651</v>
      </c>
      <c r="G60" s="7"/>
      <c r="H60" s="1112">
        <v>0</v>
      </c>
      <c r="I60" s="1113">
        <v>48775.1</v>
      </c>
      <c r="J60" s="1114">
        <v>0</v>
      </c>
      <c r="L60" s="1114">
        <f t="shared" si="4"/>
        <v>0</v>
      </c>
    </row>
    <row r="61" spans="1:13">
      <c r="A61" s="428">
        <v>24</v>
      </c>
      <c r="B61" s="562">
        <v>24</v>
      </c>
      <c r="C61" s="544"/>
      <c r="D61" s="1111" t="s">
        <v>790</v>
      </c>
      <c r="E61" s="119" t="str">
        <f t="shared" si="3"/>
        <v>02GNSV0024</v>
      </c>
      <c r="F61" s="1111" t="s">
        <v>651</v>
      </c>
      <c r="G61" s="7"/>
      <c r="H61" s="1112">
        <v>15043486</v>
      </c>
      <c r="I61" s="1113">
        <v>1400918.45</v>
      </c>
      <c r="J61" s="1114">
        <v>3943</v>
      </c>
      <c r="L61" s="1114">
        <f t="shared" si="4"/>
        <v>328.58333333333331</v>
      </c>
    </row>
    <row r="62" spans="1:13">
      <c r="A62" s="428" t="s">
        <v>142</v>
      </c>
      <c r="B62" s="562" t="s">
        <v>142</v>
      </c>
      <c r="C62" s="544"/>
      <c r="D62" s="1111" t="s">
        <v>791</v>
      </c>
      <c r="E62" s="119" t="str">
        <f t="shared" si="3"/>
        <v>02GNSV024F</v>
      </c>
      <c r="F62" s="1111" t="s">
        <v>651</v>
      </c>
      <c r="G62" s="7"/>
      <c r="H62" s="1112">
        <v>33312</v>
      </c>
      <c r="I62" s="1113">
        <v>8734.49</v>
      </c>
      <c r="J62" s="1114">
        <v>48</v>
      </c>
      <c r="L62" s="1114">
        <f t="shared" si="4"/>
        <v>4</v>
      </c>
    </row>
    <row r="63" spans="1:13">
      <c r="A63" s="428">
        <v>36</v>
      </c>
      <c r="B63" s="562">
        <v>36</v>
      </c>
      <c r="C63" s="544"/>
      <c r="D63" s="1111" t="s">
        <v>792</v>
      </c>
      <c r="E63" s="119" t="str">
        <f t="shared" si="3"/>
        <v>02LGSV0036</v>
      </c>
      <c r="F63" s="1111" t="s">
        <v>651</v>
      </c>
      <c r="G63" s="7"/>
      <c r="H63" s="1112">
        <v>100169108</v>
      </c>
      <c r="I63" s="1113">
        <v>8138497.0999999996</v>
      </c>
      <c r="J63" s="1114">
        <v>1137</v>
      </c>
      <c r="L63" s="1114">
        <f t="shared" si="4"/>
        <v>94.75</v>
      </c>
    </row>
    <row r="64" spans="1:13">
      <c r="A64" s="428" t="s">
        <v>148</v>
      </c>
      <c r="B64" s="562" t="s">
        <v>148</v>
      </c>
      <c r="C64" s="544"/>
      <c r="D64" s="1111" t="s">
        <v>793</v>
      </c>
      <c r="E64" s="119" t="str">
        <f t="shared" si="3"/>
        <v>02LGSV048T</v>
      </c>
      <c r="F64" s="1111" t="s">
        <v>651</v>
      </c>
      <c r="G64" s="7"/>
      <c r="H64" s="1112">
        <v>615621950</v>
      </c>
      <c r="I64" s="1113">
        <v>39292538.109999999</v>
      </c>
      <c r="J64" s="1114">
        <v>351</v>
      </c>
      <c r="L64" s="1114">
        <f t="shared" si="4"/>
        <v>29.25</v>
      </c>
    </row>
    <row r="65" spans="1:13">
      <c r="A65" s="428" t="s">
        <v>143</v>
      </c>
      <c r="B65" s="562" t="s">
        <v>143</v>
      </c>
      <c r="C65" s="544"/>
      <c r="D65" s="1111" t="s">
        <v>795</v>
      </c>
      <c r="E65" s="119" t="str">
        <f t="shared" si="3"/>
        <v>02LNX00103</v>
      </c>
      <c r="F65" s="1111" t="s">
        <v>651</v>
      </c>
      <c r="G65" s="7"/>
      <c r="H65" s="1112">
        <v>0</v>
      </c>
      <c r="I65" s="1113">
        <v>31620.62</v>
      </c>
      <c r="J65" s="1114"/>
      <c r="L65" s="1114">
        <f t="shared" si="4"/>
        <v>0</v>
      </c>
    </row>
    <row r="66" spans="1:13">
      <c r="A66" s="428" t="s">
        <v>144</v>
      </c>
      <c r="B66" s="562" t="s">
        <v>144</v>
      </c>
      <c r="C66" s="544"/>
      <c r="D66" s="1111" t="s">
        <v>800</v>
      </c>
      <c r="E66" s="119" t="str">
        <f t="shared" si="3"/>
        <v>02OALT015N</v>
      </c>
      <c r="F66" s="1111" t="s">
        <v>651</v>
      </c>
      <c r="G66" s="7"/>
      <c r="H66" s="1112">
        <v>96203</v>
      </c>
      <c r="I66" s="1113">
        <v>12907.97</v>
      </c>
      <c r="J66" s="1114">
        <v>444</v>
      </c>
      <c r="L66" s="1114">
        <f t="shared" si="4"/>
        <v>37</v>
      </c>
    </row>
    <row r="67" spans="1:13">
      <c r="A67" s="428">
        <v>47</v>
      </c>
      <c r="B67" s="562">
        <v>47</v>
      </c>
      <c r="C67" s="544"/>
      <c r="D67" s="1111" t="s">
        <v>825</v>
      </c>
      <c r="E67" s="119" t="str">
        <f t="shared" si="3"/>
        <v>02PRSV47TM</v>
      </c>
      <c r="F67" s="1111" t="s">
        <v>651</v>
      </c>
      <c r="G67" s="7"/>
      <c r="H67" s="1112">
        <v>2624625</v>
      </c>
      <c r="I67" s="1113">
        <v>380222.11</v>
      </c>
      <c r="J67" s="1114">
        <v>12</v>
      </c>
      <c r="L67" s="1114">
        <f t="shared" si="4"/>
        <v>1</v>
      </c>
    </row>
    <row r="68" spans="1:13">
      <c r="A68" s="428" t="s">
        <v>143</v>
      </c>
      <c r="B68" s="562" t="s">
        <v>143</v>
      </c>
      <c r="C68" s="544"/>
      <c r="D68" s="1111" t="s">
        <v>196</v>
      </c>
      <c r="E68" s="119" t="str">
        <f t="shared" si="3"/>
        <v>02LNX00300</v>
      </c>
      <c r="F68" s="1111" t="s">
        <v>651</v>
      </c>
      <c r="G68" s="7"/>
      <c r="H68" s="1112">
        <v>0</v>
      </c>
      <c r="I68" s="1113">
        <v>1869.79</v>
      </c>
      <c r="J68" s="1114"/>
      <c r="L68" s="1114">
        <f t="shared" si="4"/>
        <v>0</v>
      </c>
    </row>
    <row r="69" spans="1:13">
      <c r="A69" s="428">
        <v>24</v>
      </c>
      <c r="B69" s="562">
        <v>24</v>
      </c>
      <c r="C69" s="544"/>
      <c r="D69" s="1111" t="s">
        <v>208</v>
      </c>
      <c r="E69" s="119" t="str">
        <f t="shared" si="3"/>
        <v>02NMT24135</v>
      </c>
      <c r="F69" s="1111" t="s">
        <v>651</v>
      </c>
      <c r="G69" s="7"/>
      <c r="H69" s="1112">
        <v>5200</v>
      </c>
      <c r="I69" s="1113">
        <v>498.01</v>
      </c>
      <c r="J69" s="1114">
        <v>1</v>
      </c>
      <c r="L69" s="1114">
        <f t="shared" si="4"/>
        <v>8.3333333333333329E-2</v>
      </c>
    </row>
    <row r="70" spans="1:13">
      <c r="A70" s="4">
        <v>24</v>
      </c>
      <c r="B70" s="4">
        <v>24</v>
      </c>
      <c r="C70" s="544"/>
      <c r="D70" s="1111" t="s">
        <v>213</v>
      </c>
      <c r="E70" s="119" t="str">
        <f t="shared" si="3"/>
        <v>02GNSB0024</v>
      </c>
      <c r="F70" s="1111" t="s">
        <v>651</v>
      </c>
      <c r="G70" s="7"/>
      <c r="H70" s="1112">
        <v>1005582</v>
      </c>
      <c r="I70" s="1113">
        <v>107533.14</v>
      </c>
      <c r="J70" s="1114">
        <v>526</v>
      </c>
      <c r="L70" s="1114">
        <f t="shared" si="4"/>
        <v>43.833333333333336</v>
      </c>
    </row>
    <row r="71" spans="1:13">
      <c r="A71" s="428" t="s">
        <v>233</v>
      </c>
      <c r="B71" s="562">
        <v>24</v>
      </c>
      <c r="C71" s="544"/>
      <c r="D71" s="1111" t="s">
        <v>219</v>
      </c>
      <c r="E71" s="119" t="str">
        <f t="shared" si="3"/>
        <v>02GNSB0024</v>
      </c>
      <c r="F71" s="1111" t="s">
        <v>4</v>
      </c>
      <c r="G71" s="7"/>
      <c r="H71" s="1112">
        <v>1005577</v>
      </c>
      <c r="I71" s="1113">
        <v>-8195.5499999999993</v>
      </c>
      <c r="J71" s="1114">
        <v>526</v>
      </c>
      <c r="L71" s="1114">
        <f t="shared" si="4"/>
        <v>43.833333333333336</v>
      </c>
    </row>
    <row r="72" spans="1:13">
      <c r="A72" s="428" t="s">
        <v>149</v>
      </c>
      <c r="B72" s="562" t="s">
        <v>149</v>
      </c>
      <c r="C72" s="544"/>
      <c r="D72" s="1111" t="s">
        <v>214</v>
      </c>
      <c r="E72" s="119" t="str">
        <f t="shared" si="3"/>
        <v>02GNSB24FP</v>
      </c>
      <c r="F72" s="1111" t="s">
        <v>651</v>
      </c>
      <c r="G72" s="7"/>
      <c r="H72" s="1112">
        <v>4397</v>
      </c>
      <c r="I72" s="1113">
        <v>1485.18</v>
      </c>
      <c r="J72" s="1114">
        <v>12</v>
      </c>
      <c r="L72" s="1114">
        <f t="shared" si="4"/>
        <v>1</v>
      </c>
    </row>
    <row r="73" spans="1:13">
      <c r="A73" s="428" t="s">
        <v>172</v>
      </c>
      <c r="B73" s="562" t="s">
        <v>149</v>
      </c>
      <c r="C73" s="544"/>
      <c r="D73" s="1111" t="s">
        <v>220</v>
      </c>
      <c r="E73" s="119" t="str">
        <f t="shared" si="3"/>
        <v>02GNSB24FP</v>
      </c>
      <c r="F73" s="1111" t="s">
        <v>4</v>
      </c>
      <c r="G73" s="7"/>
      <c r="H73" s="1112">
        <v>4397</v>
      </c>
      <c r="I73" s="1113">
        <v>-35.840000000000003</v>
      </c>
      <c r="J73" s="1114">
        <v>12</v>
      </c>
      <c r="L73" s="1114">
        <f t="shared" si="4"/>
        <v>1</v>
      </c>
    </row>
    <row r="74" spans="1:13">
      <c r="A74" s="428">
        <v>36</v>
      </c>
      <c r="B74" s="562">
        <v>36</v>
      </c>
      <c r="C74" s="544"/>
      <c r="D74" s="1111" t="s">
        <v>223</v>
      </c>
      <c r="E74" s="119" t="str">
        <f t="shared" si="3"/>
        <v>02LGSB0036</v>
      </c>
      <c r="F74" s="1111" t="s">
        <v>651</v>
      </c>
      <c r="G74" s="7"/>
      <c r="H74" s="1112">
        <v>1218202</v>
      </c>
      <c r="I74" s="1113">
        <v>157534.07</v>
      </c>
      <c r="J74" s="1114">
        <v>99</v>
      </c>
      <c r="L74" s="1114">
        <f t="shared" si="4"/>
        <v>8.25</v>
      </c>
    </row>
    <row r="75" spans="1:13">
      <c r="A75" s="428" t="s">
        <v>229</v>
      </c>
      <c r="B75" s="562">
        <v>36</v>
      </c>
      <c r="C75" s="544"/>
      <c r="D75" s="1111" t="s">
        <v>216</v>
      </c>
      <c r="E75" s="119" t="str">
        <f t="shared" si="3"/>
        <v>02LGSB0036</v>
      </c>
      <c r="F75" s="1111" t="s">
        <v>4</v>
      </c>
      <c r="G75" s="7"/>
      <c r="H75" s="1112">
        <v>1218200</v>
      </c>
      <c r="I75" s="1113">
        <v>-9928.2900000000009</v>
      </c>
      <c r="J75" s="1114">
        <v>99</v>
      </c>
      <c r="L75" s="1114">
        <f t="shared" si="4"/>
        <v>8.25</v>
      </c>
    </row>
    <row r="76" spans="1:13">
      <c r="A76" s="428" t="s">
        <v>144</v>
      </c>
      <c r="B76" s="562" t="s">
        <v>144</v>
      </c>
      <c r="C76" s="544"/>
      <c r="D76" s="1111" t="s">
        <v>221</v>
      </c>
      <c r="E76" s="119" t="str">
        <f t="shared" si="3"/>
        <v>02OALTB15N</v>
      </c>
      <c r="F76" s="1111" t="s">
        <v>651</v>
      </c>
      <c r="G76" s="7"/>
      <c r="H76" s="1112">
        <v>26661</v>
      </c>
      <c r="I76" s="1113">
        <v>4097.3599999999997</v>
      </c>
      <c r="J76" s="1114">
        <v>168</v>
      </c>
      <c r="L76" s="1114">
        <f t="shared" si="4"/>
        <v>14</v>
      </c>
    </row>
    <row r="77" spans="1:13">
      <c r="A77" s="428" t="s">
        <v>230</v>
      </c>
      <c r="B77" s="562" t="s">
        <v>144</v>
      </c>
      <c r="C77" s="544"/>
      <c r="D77" s="1111" t="s">
        <v>217</v>
      </c>
      <c r="E77" s="119" t="str">
        <f t="shared" si="3"/>
        <v>02OALTB15N</v>
      </c>
      <c r="F77" s="1111" t="s">
        <v>4</v>
      </c>
      <c r="G77" s="7"/>
      <c r="H77" s="1112">
        <v>26660</v>
      </c>
      <c r="I77" s="1113">
        <v>-217.18</v>
      </c>
      <c r="J77" s="1114"/>
      <c r="L77" s="1114">
        <f t="shared" si="4"/>
        <v>0</v>
      </c>
    </row>
    <row r="78" spans="1:13">
      <c r="A78" s="428"/>
      <c r="B78" s="562"/>
      <c r="C78" s="544"/>
      <c r="D78" s="1111" t="s">
        <v>802</v>
      </c>
      <c r="E78" s="119" t="str">
        <f t="shared" si="3"/>
        <v>CUSTOMER C</v>
      </c>
      <c r="F78" s="1111" t="s">
        <v>651</v>
      </c>
      <c r="G78" s="7"/>
      <c r="H78" s="1112"/>
      <c r="I78" s="1113"/>
      <c r="J78" s="1114">
        <v>0</v>
      </c>
      <c r="L78" s="1114">
        <f t="shared" si="4"/>
        <v>0</v>
      </c>
    </row>
    <row r="79" spans="1:13">
      <c r="A79" s="428"/>
      <c r="B79" s="562"/>
      <c r="C79" s="544"/>
      <c r="D79" s="1111" t="s">
        <v>803</v>
      </c>
      <c r="E79" s="119" t="str">
        <f t="shared" si="3"/>
        <v>CUSTOMER C</v>
      </c>
      <c r="F79" s="1111" t="s">
        <v>4</v>
      </c>
      <c r="G79" s="7"/>
      <c r="H79" s="1112"/>
      <c r="I79" s="1113"/>
      <c r="J79" s="1114">
        <v>0</v>
      </c>
      <c r="L79" s="1114">
        <f t="shared" si="4"/>
        <v>0</v>
      </c>
    </row>
    <row r="80" spans="1:13">
      <c r="A80" s="428"/>
      <c r="C80" s="544" t="s">
        <v>122</v>
      </c>
      <c r="F80" s="108" t="s">
        <v>121</v>
      </c>
      <c r="G80" s="108"/>
      <c r="H80" s="104">
        <f>SUM(H53:H77)-H54-H71-H73-H75-H77</f>
        <v>749630726</v>
      </c>
      <c r="I80" s="564">
        <f>SUM(I53:I77)</f>
        <v>46327302.749999993</v>
      </c>
      <c r="J80" s="104">
        <f>SUM(J53:J77)-J54-J71-J73-J75-J77</f>
        <v>6759</v>
      </c>
      <c r="K80" s="58">
        <f>J80-J58</f>
        <v>6741</v>
      </c>
      <c r="L80" s="104">
        <f>SUM(L53:L77)-L54-L71-L73-L75-L77</f>
        <v>563.25</v>
      </c>
      <c r="M80" s="560">
        <f>L80-L58</f>
        <v>561.75</v>
      </c>
    </row>
    <row r="81" spans="1:12">
      <c r="A81" s="428"/>
      <c r="C81" s="544"/>
      <c r="D81" s="7"/>
      <c r="E81" s="7"/>
      <c r="F81" s="108"/>
      <c r="G81" s="108"/>
      <c r="H81" s="104"/>
      <c r="I81" s="564"/>
      <c r="J81" s="104"/>
    </row>
    <row r="82" spans="1:12">
      <c r="A82" s="428"/>
      <c r="C82" s="544" t="s">
        <v>99</v>
      </c>
      <c r="D82" s="7" t="s">
        <v>100</v>
      </c>
      <c r="E82" s="7"/>
      <c r="F82" s="7" t="s">
        <v>101</v>
      </c>
      <c r="G82" s="7"/>
      <c r="H82" s="31" t="s">
        <v>102</v>
      </c>
      <c r="I82" s="107" t="s">
        <v>1</v>
      </c>
      <c r="J82" s="7" t="s">
        <v>103</v>
      </c>
    </row>
    <row r="83" spans="1:12">
      <c r="A83" s="428" t="s">
        <v>146</v>
      </c>
      <c r="B83" s="428" t="s">
        <v>146</v>
      </c>
      <c r="C83" s="544" t="s">
        <v>125</v>
      </c>
      <c r="D83" s="1111" t="s">
        <v>818</v>
      </c>
      <c r="E83" s="119" t="str">
        <f t="shared" ref="E83:E90" si="5">LEFT(D83,10)</f>
        <v>IRRIGATION</v>
      </c>
      <c r="F83" s="1111" t="s">
        <v>650</v>
      </c>
      <c r="G83" s="7"/>
      <c r="H83" s="1112">
        <v>8745000</v>
      </c>
      <c r="I83" s="1113">
        <v>1173000</v>
      </c>
      <c r="J83" s="1114">
        <v>0</v>
      </c>
      <c r="L83" s="1114">
        <f t="shared" ref="L83:L107" si="6">J83/12</f>
        <v>0</v>
      </c>
    </row>
    <row r="84" spans="1:12">
      <c r="A84" s="428" t="s">
        <v>145</v>
      </c>
      <c r="B84" s="428" t="s">
        <v>145</v>
      </c>
      <c r="C84" s="544"/>
      <c r="D84" s="1111" t="s">
        <v>819</v>
      </c>
      <c r="E84" s="119" t="str">
        <f t="shared" si="5"/>
        <v>IRRIGATION</v>
      </c>
      <c r="F84" s="1111" t="s">
        <v>4</v>
      </c>
      <c r="G84" s="7"/>
      <c r="H84" s="1112">
        <v>0</v>
      </c>
      <c r="I84" s="1113">
        <v>-18799.510000000002</v>
      </c>
      <c r="J84" s="1114">
        <v>0</v>
      </c>
      <c r="L84" s="1114">
        <f t="shared" si="6"/>
        <v>0</v>
      </c>
    </row>
    <row r="85" spans="1:12">
      <c r="A85" s="428" t="s">
        <v>679</v>
      </c>
      <c r="B85" s="428" t="s">
        <v>679</v>
      </c>
      <c r="C85" s="544"/>
      <c r="D85" s="1111" t="s">
        <v>678</v>
      </c>
      <c r="E85" s="119" t="str">
        <f t="shared" si="5"/>
        <v>REVENUE AD</v>
      </c>
      <c r="F85" s="1111" t="s">
        <v>651</v>
      </c>
      <c r="G85" s="7"/>
      <c r="H85" s="1112">
        <v>0</v>
      </c>
      <c r="I85" s="1113">
        <v>6120.75</v>
      </c>
      <c r="J85" s="1114">
        <v>0</v>
      </c>
      <c r="L85" s="1114">
        <f t="shared" si="6"/>
        <v>0</v>
      </c>
    </row>
    <row r="86" spans="1:12">
      <c r="A86" s="428" t="s">
        <v>685</v>
      </c>
      <c r="B86" s="428" t="s">
        <v>685</v>
      </c>
      <c r="C86" s="544"/>
      <c r="D86" s="1111" t="s">
        <v>649</v>
      </c>
      <c r="E86" s="119" t="str">
        <f t="shared" si="5"/>
        <v>301461-IRR</v>
      </c>
      <c r="F86" s="1111" t="s">
        <v>651</v>
      </c>
      <c r="G86" s="7"/>
      <c r="H86" s="1112">
        <v>0</v>
      </c>
      <c r="I86" s="1113">
        <v>122000</v>
      </c>
      <c r="J86" s="1114">
        <v>0</v>
      </c>
      <c r="L86" s="1114">
        <f t="shared" si="6"/>
        <v>0</v>
      </c>
    </row>
    <row r="87" spans="1:12">
      <c r="A87" s="428" t="s">
        <v>227</v>
      </c>
      <c r="B87" s="428" t="s">
        <v>227</v>
      </c>
      <c r="C87" s="544"/>
      <c r="D87" s="1111" t="s">
        <v>648</v>
      </c>
      <c r="E87" s="119" t="str">
        <f t="shared" si="5"/>
        <v>REVENUE_AC</v>
      </c>
      <c r="F87" s="1111" t="s">
        <v>651</v>
      </c>
      <c r="G87" s="7"/>
      <c r="H87" s="1112">
        <v>0</v>
      </c>
      <c r="I87" s="1113">
        <v>-1087001.44</v>
      </c>
      <c r="J87" s="1114">
        <v>0</v>
      </c>
      <c r="L87" s="1114">
        <f t="shared" si="6"/>
        <v>0</v>
      </c>
    </row>
    <row r="88" spans="1:12">
      <c r="A88" s="428" t="s">
        <v>680</v>
      </c>
      <c r="B88" s="428" t="s">
        <v>680</v>
      </c>
      <c r="C88" s="544"/>
      <c r="D88" s="1111" t="s">
        <v>686</v>
      </c>
      <c r="E88" s="119" t="str">
        <f t="shared" si="5"/>
        <v>301470-DSM</v>
      </c>
      <c r="F88" s="1111" t="s">
        <v>651</v>
      </c>
      <c r="G88" s="7"/>
      <c r="H88" s="1112">
        <v>0</v>
      </c>
      <c r="I88" s="1113">
        <v>459273.54</v>
      </c>
      <c r="J88" s="1114">
        <v>0</v>
      </c>
      <c r="L88" s="1114">
        <f t="shared" si="6"/>
        <v>0</v>
      </c>
    </row>
    <row r="89" spans="1:12">
      <c r="A89" s="428" t="s">
        <v>682</v>
      </c>
      <c r="B89" s="428" t="s">
        <v>682</v>
      </c>
      <c r="C89" s="544"/>
      <c r="D89" s="1111" t="s">
        <v>687</v>
      </c>
      <c r="E89" s="119" t="str">
        <f t="shared" si="5"/>
        <v>301480-BLU</v>
      </c>
      <c r="F89" s="1111" t="s">
        <v>651</v>
      </c>
      <c r="G89" s="7"/>
      <c r="H89" s="1112">
        <v>0</v>
      </c>
      <c r="I89" s="1113">
        <v>273.93</v>
      </c>
      <c r="J89" s="1114">
        <v>0</v>
      </c>
      <c r="L89" s="1114">
        <f t="shared" si="6"/>
        <v>0</v>
      </c>
    </row>
    <row r="90" spans="1:12">
      <c r="A90" s="428" t="s">
        <v>863</v>
      </c>
      <c r="B90" s="428" t="s">
        <v>863</v>
      </c>
      <c r="C90" s="544"/>
      <c r="D90" s="1111" t="s">
        <v>858</v>
      </c>
      <c r="E90" s="119" t="str">
        <f t="shared" si="5"/>
        <v>ALT REVENU</v>
      </c>
      <c r="F90" s="1111" t="s">
        <v>651</v>
      </c>
      <c r="G90" s="7"/>
      <c r="H90" s="1112">
        <v>0</v>
      </c>
      <c r="I90" s="1113">
        <v>-657528.82000000007</v>
      </c>
      <c r="J90" s="1114">
        <v>0</v>
      </c>
      <c r="L90" s="1114">
        <f t="shared" si="6"/>
        <v>0</v>
      </c>
    </row>
    <row r="91" spans="1:12">
      <c r="A91" s="428" t="s">
        <v>864</v>
      </c>
      <c r="B91" s="428" t="s">
        <v>864</v>
      </c>
      <c r="C91" s="544"/>
      <c r="D91" s="1111" t="s">
        <v>859</v>
      </c>
      <c r="E91" s="119" t="str">
        <f>LEFT(D91,10)</f>
        <v>INCOME TAX</v>
      </c>
      <c r="F91" s="1111" t="s">
        <v>651</v>
      </c>
      <c r="G91" s="7"/>
      <c r="H91" s="1112">
        <v>0</v>
      </c>
      <c r="I91" s="1113">
        <v>8521.43</v>
      </c>
      <c r="J91" s="1114">
        <v>0</v>
      </c>
      <c r="L91" s="1114">
        <f t="shared" si="6"/>
        <v>0</v>
      </c>
    </row>
    <row r="92" spans="1:12">
      <c r="A92" s="428">
        <v>40</v>
      </c>
      <c r="B92" s="428">
        <v>40</v>
      </c>
      <c r="C92" s="544"/>
      <c r="D92" s="1111" t="s">
        <v>820</v>
      </c>
      <c r="E92" s="119" t="str">
        <f>LEFT(D92,10)</f>
        <v>02APSV0040</v>
      </c>
      <c r="F92" s="1111" t="s">
        <v>651</v>
      </c>
      <c r="G92" s="7"/>
      <c r="H92" s="1112">
        <v>98974047</v>
      </c>
      <c r="I92" s="1113">
        <v>9234032.0600000005</v>
      </c>
      <c r="J92" s="1114">
        <v>34372</v>
      </c>
      <c r="L92" s="1114">
        <f t="shared" si="6"/>
        <v>2864.3333333333335</v>
      </c>
    </row>
    <row r="93" spans="1:12">
      <c r="A93" s="428" t="s">
        <v>173</v>
      </c>
      <c r="B93" s="428">
        <v>40</v>
      </c>
      <c r="C93" s="544"/>
      <c r="D93" s="1111" t="s">
        <v>820</v>
      </c>
      <c r="E93" s="119" t="str">
        <f t="shared" ref="E93:E105" si="7">LEFT(D93,10)</f>
        <v>02APSV0040</v>
      </c>
      <c r="F93" s="1111" t="s">
        <v>4</v>
      </c>
      <c r="G93" s="7"/>
      <c r="H93" s="1112">
        <v>98973917</v>
      </c>
      <c r="I93" s="1113">
        <v>-806637.44</v>
      </c>
      <c r="J93" s="1114">
        <v>34372</v>
      </c>
      <c r="L93" s="1114">
        <f t="shared" si="6"/>
        <v>2864.3333333333335</v>
      </c>
    </row>
    <row r="94" spans="1:12">
      <c r="A94" s="428" t="s">
        <v>150</v>
      </c>
      <c r="B94" s="428" t="s">
        <v>150</v>
      </c>
      <c r="C94" s="544"/>
      <c r="D94" s="1111" t="s">
        <v>821</v>
      </c>
      <c r="E94" s="119" t="str">
        <f t="shared" si="7"/>
        <v>02APSV040X</v>
      </c>
      <c r="F94" s="1111" t="s">
        <v>651</v>
      </c>
      <c r="G94" s="7"/>
      <c r="H94" s="1112">
        <v>59308159</v>
      </c>
      <c r="I94" s="1113">
        <v>5498906.3899999997</v>
      </c>
      <c r="J94" s="1114">
        <v>27435</v>
      </c>
      <c r="L94" s="1114">
        <f t="shared" si="6"/>
        <v>2286.25</v>
      </c>
    </row>
    <row r="95" spans="1:12">
      <c r="A95" s="428" t="s">
        <v>143</v>
      </c>
      <c r="B95" s="428" t="s">
        <v>143</v>
      </c>
      <c r="C95" s="544"/>
      <c r="D95" s="1111" t="s">
        <v>794</v>
      </c>
      <c r="E95" s="119" t="str">
        <f t="shared" si="7"/>
        <v>02LNX00102</v>
      </c>
      <c r="F95" s="1111" t="s">
        <v>651</v>
      </c>
      <c r="G95" s="7"/>
      <c r="H95" s="1112">
        <v>0</v>
      </c>
      <c r="I95" s="1113">
        <v>2695.31</v>
      </c>
      <c r="J95" s="1114"/>
      <c r="L95" s="1114">
        <f t="shared" si="6"/>
        <v>0</v>
      </c>
    </row>
    <row r="96" spans="1:12">
      <c r="A96" s="428" t="s">
        <v>143</v>
      </c>
      <c r="B96" s="428" t="s">
        <v>143</v>
      </c>
      <c r="C96" s="544"/>
      <c r="D96" s="1111" t="s">
        <v>795</v>
      </c>
      <c r="E96" s="119" t="str">
        <f t="shared" si="7"/>
        <v>02LNX00103</v>
      </c>
      <c r="F96" s="1111" t="s">
        <v>651</v>
      </c>
      <c r="G96" s="7"/>
      <c r="H96" s="1112">
        <v>0</v>
      </c>
      <c r="I96" s="1113">
        <v>7567.47</v>
      </c>
      <c r="J96" s="1114"/>
      <c r="L96" s="1114">
        <f t="shared" si="6"/>
        <v>0</v>
      </c>
    </row>
    <row r="97" spans="1:12">
      <c r="A97" s="428" t="s">
        <v>143</v>
      </c>
      <c r="B97" s="428" t="s">
        <v>143</v>
      </c>
      <c r="C97" s="544"/>
      <c r="D97" s="1111" t="s">
        <v>796</v>
      </c>
      <c r="E97" s="119" t="str">
        <f t="shared" si="7"/>
        <v>02LNX00105</v>
      </c>
      <c r="F97" s="1111" t="s">
        <v>651</v>
      </c>
      <c r="G97" s="7"/>
      <c r="H97" s="1112">
        <v>0</v>
      </c>
      <c r="I97" s="1113">
        <v>76.210000000000008</v>
      </c>
      <c r="J97" s="1114"/>
      <c r="L97" s="1114">
        <f t="shared" si="6"/>
        <v>0</v>
      </c>
    </row>
    <row r="98" spans="1:12">
      <c r="A98" s="428" t="s">
        <v>143</v>
      </c>
      <c r="B98" s="428" t="s">
        <v>143</v>
      </c>
      <c r="C98" s="544"/>
      <c r="D98" s="1111" t="s">
        <v>797</v>
      </c>
      <c r="E98" s="119" t="str">
        <f t="shared" si="7"/>
        <v>02LNX00109</v>
      </c>
      <c r="F98" s="1111" t="s">
        <v>651</v>
      </c>
      <c r="G98" s="7"/>
      <c r="H98" s="1112">
        <v>0</v>
      </c>
      <c r="I98" s="1113">
        <v>-3695.65</v>
      </c>
      <c r="J98" s="1114"/>
      <c r="L98" s="1114">
        <f t="shared" si="6"/>
        <v>0</v>
      </c>
    </row>
    <row r="99" spans="1:12">
      <c r="A99" s="428" t="s">
        <v>143</v>
      </c>
      <c r="B99" s="428" t="s">
        <v>143</v>
      </c>
      <c r="C99" s="544"/>
      <c r="D99" s="1111" t="s">
        <v>798</v>
      </c>
      <c r="E99" s="119" t="str">
        <f t="shared" si="7"/>
        <v>02LNX00110</v>
      </c>
      <c r="F99" s="1111" t="s">
        <v>651</v>
      </c>
      <c r="G99" s="7"/>
      <c r="H99" s="1112">
        <v>0</v>
      </c>
      <c r="I99" s="1113">
        <v>171407</v>
      </c>
      <c r="J99" s="1114"/>
      <c r="L99" s="1114">
        <f t="shared" si="6"/>
        <v>0</v>
      </c>
    </row>
    <row r="100" spans="1:12">
      <c r="A100" s="428" t="s">
        <v>688</v>
      </c>
      <c r="B100" s="428" t="s">
        <v>652</v>
      </c>
      <c r="C100" s="544"/>
      <c r="D100" s="1111" t="s">
        <v>822</v>
      </c>
      <c r="E100" s="119" t="str">
        <f t="shared" si="7"/>
        <v>02BPADEBIT</v>
      </c>
      <c r="F100" s="1111" t="s">
        <v>4</v>
      </c>
      <c r="G100" s="7"/>
      <c r="H100" s="1112">
        <v>-13864496</v>
      </c>
      <c r="I100" s="1113">
        <v>112995.67</v>
      </c>
      <c r="J100" s="1114"/>
      <c r="L100" s="1114">
        <f t="shared" si="6"/>
        <v>0</v>
      </c>
    </row>
    <row r="101" spans="1:12">
      <c r="A101" s="428" t="s">
        <v>143</v>
      </c>
      <c r="B101" s="428" t="s">
        <v>143</v>
      </c>
      <c r="D101" s="1111" t="s">
        <v>237</v>
      </c>
      <c r="E101" s="119" t="str">
        <f t="shared" si="7"/>
        <v>02LNX00310</v>
      </c>
      <c r="F101" s="1111" t="s">
        <v>651</v>
      </c>
      <c r="G101" s="7"/>
      <c r="H101" s="1112">
        <v>0</v>
      </c>
      <c r="I101" s="1113">
        <v>3599.23</v>
      </c>
      <c r="J101" s="1114"/>
      <c r="L101" s="1114">
        <f t="shared" si="6"/>
        <v>0</v>
      </c>
    </row>
    <row r="102" spans="1:12">
      <c r="A102" s="428" t="s">
        <v>143</v>
      </c>
      <c r="B102" s="428" t="s">
        <v>143</v>
      </c>
      <c r="D102" s="1111" t="s">
        <v>238</v>
      </c>
      <c r="E102" s="119" t="str">
        <f t="shared" si="7"/>
        <v>02LNX00312</v>
      </c>
      <c r="F102" s="1111" t="s">
        <v>651</v>
      </c>
      <c r="G102" s="7"/>
      <c r="H102" s="1112">
        <v>0</v>
      </c>
      <c r="I102" s="1113">
        <v>29319.1</v>
      </c>
      <c r="J102" s="1114"/>
      <c r="L102" s="1114">
        <f t="shared" si="6"/>
        <v>0</v>
      </c>
    </row>
    <row r="103" spans="1:12">
      <c r="A103" s="428">
        <v>40</v>
      </c>
      <c r="B103" s="428">
        <v>40</v>
      </c>
      <c r="D103" s="1111" t="s">
        <v>715</v>
      </c>
      <c r="E103" s="119" t="str">
        <f t="shared" si="7"/>
        <v>02NMT40135</v>
      </c>
      <c r="F103" s="1111" t="s">
        <v>651</v>
      </c>
      <c r="G103" s="7"/>
      <c r="H103" s="1112">
        <v>209910</v>
      </c>
      <c r="I103" s="1113">
        <v>20505.900000000001</v>
      </c>
      <c r="J103" s="1114">
        <v>108</v>
      </c>
      <c r="L103" s="1114">
        <f t="shared" si="6"/>
        <v>9</v>
      </c>
    </row>
    <row r="104" spans="1:12">
      <c r="A104" s="428" t="s">
        <v>173</v>
      </c>
      <c r="B104" s="428">
        <v>40</v>
      </c>
      <c r="D104" s="1111" t="s">
        <v>716</v>
      </c>
      <c r="E104" s="119" t="str">
        <f t="shared" si="7"/>
        <v>02NMT40135</v>
      </c>
      <c r="F104" s="1111" t="s">
        <v>4</v>
      </c>
      <c r="G104" s="7"/>
      <c r="H104" s="1112">
        <v>209909</v>
      </c>
      <c r="I104" s="1113">
        <v>-1710.77</v>
      </c>
      <c r="J104" s="1114">
        <v>108</v>
      </c>
      <c r="L104" s="1114">
        <f t="shared" si="6"/>
        <v>9</v>
      </c>
    </row>
    <row r="105" spans="1:12">
      <c r="A105" s="428" t="s">
        <v>150</v>
      </c>
      <c r="B105" s="428" t="s">
        <v>150</v>
      </c>
      <c r="D105" s="1111" t="s">
        <v>866</v>
      </c>
      <c r="E105" s="119" t="str">
        <f t="shared" si="7"/>
        <v>02NMX40135</v>
      </c>
      <c r="F105" s="1111" t="s">
        <v>651</v>
      </c>
      <c r="G105" s="7"/>
      <c r="H105" s="1112">
        <v>6035</v>
      </c>
      <c r="I105" s="1113">
        <v>1092.7</v>
      </c>
      <c r="J105" s="1114">
        <v>47</v>
      </c>
      <c r="L105" s="1114">
        <f t="shared" si="6"/>
        <v>3.9166666666666665</v>
      </c>
    </row>
    <row r="106" spans="1:12">
      <c r="A106" s="428"/>
      <c r="D106" s="1111" t="s">
        <v>823</v>
      </c>
      <c r="E106" s="119"/>
      <c r="F106" s="1111" t="s">
        <v>651</v>
      </c>
      <c r="G106" s="7"/>
      <c r="H106" s="1112"/>
      <c r="I106" s="1113"/>
      <c r="J106" s="1114">
        <v>0</v>
      </c>
      <c r="L106" s="1114">
        <f t="shared" si="6"/>
        <v>0</v>
      </c>
    </row>
    <row r="107" spans="1:12">
      <c r="A107" s="428"/>
      <c r="D107" s="1111" t="s">
        <v>824</v>
      </c>
      <c r="E107" s="119"/>
      <c r="F107" s="1111" t="s">
        <v>4</v>
      </c>
      <c r="G107" s="7"/>
      <c r="H107" s="1112"/>
      <c r="I107" s="1113"/>
      <c r="J107" s="1114">
        <v>0</v>
      </c>
      <c r="L107" s="1114">
        <f t="shared" si="6"/>
        <v>0</v>
      </c>
    </row>
    <row r="108" spans="1:12">
      <c r="A108" s="428"/>
      <c r="C108" s="544" t="s">
        <v>125</v>
      </c>
      <c r="D108" s="7" t="s">
        <v>31</v>
      </c>
      <c r="E108" s="563"/>
      <c r="F108" s="108" t="s">
        <v>121</v>
      </c>
      <c r="G108" s="108"/>
      <c r="H108" s="104">
        <f>SUM(H83:H105)-H84-H93-H100-H104</f>
        <v>167243151</v>
      </c>
      <c r="I108" s="564">
        <f>SUM(I83:I105)</f>
        <v>14276013.060000002</v>
      </c>
      <c r="J108" s="104">
        <f>SUM(J83:J105)-J84-J93-J100-J104</f>
        <v>61962</v>
      </c>
      <c r="L108" s="104">
        <f>SUM(L83:L105)-L84-L93-L100-L104</f>
        <v>5163.5</v>
      </c>
    </row>
    <row r="109" spans="1:12">
      <c r="A109" s="428"/>
      <c r="D109" s="563"/>
      <c r="E109" s="563"/>
      <c r="F109" s="108"/>
      <c r="G109" s="108"/>
      <c r="H109" s="104"/>
      <c r="I109" s="564"/>
      <c r="J109" s="104"/>
    </row>
    <row r="110" spans="1:12">
      <c r="A110" s="428"/>
      <c r="C110" s="544" t="s">
        <v>99</v>
      </c>
      <c r="D110" s="7" t="s">
        <v>100</v>
      </c>
      <c r="E110" s="7"/>
      <c r="F110" s="7" t="s">
        <v>101</v>
      </c>
      <c r="G110" s="7"/>
      <c r="H110" s="31" t="s">
        <v>102</v>
      </c>
      <c r="I110" s="565" t="s">
        <v>1</v>
      </c>
      <c r="J110" s="566" t="s">
        <v>103</v>
      </c>
    </row>
    <row r="111" spans="1:12">
      <c r="A111" s="428" t="s">
        <v>146</v>
      </c>
      <c r="B111" s="428" t="s">
        <v>146</v>
      </c>
      <c r="C111" s="544" t="s">
        <v>129</v>
      </c>
      <c r="D111" s="1111" t="s">
        <v>788</v>
      </c>
      <c r="E111" s="119" t="str">
        <f t="shared" ref="E111:E121" si="8">LEFT(D111,10)</f>
        <v>UNBILLED R</v>
      </c>
      <c r="F111" s="1111" t="s">
        <v>650</v>
      </c>
      <c r="G111" s="7"/>
      <c r="H111" s="1112">
        <v>241000</v>
      </c>
      <c r="I111" s="1113">
        <v>20000</v>
      </c>
      <c r="J111" s="1114">
        <v>0</v>
      </c>
      <c r="L111" s="1114">
        <f t="shared" ref="L111:L121" si="9">J111/12</f>
        <v>0</v>
      </c>
    </row>
    <row r="112" spans="1:12">
      <c r="A112" s="428" t="s">
        <v>227</v>
      </c>
      <c r="B112" s="428" t="s">
        <v>227</v>
      </c>
      <c r="C112" s="544"/>
      <c r="D112" s="1111" t="s">
        <v>648</v>
      </c>
      <c r="E112" s="119" t="str">
        <f t="shared" si="8"/>
        <v>REVENUE_AC</v>
      </c>
      <c r="F112" s="1111" t="s">
        <v>651</v>
      </c>
      <c r="G112" s="7"/>
      <c r="H112" s="1112">
        <v>0</v>
      </c>
      <c r="I112" s="1113">
        <v>-57713.93</v>
      </c>
      <c r="J112" s="1114">
        <v>0</v>
      </c>
      <c r="L112" s="1114">
        <f t="shared" si="9"/>
        <v>0</v>
      </c>
    </row>
    <row r="113" spans="1:12">
      <c r="A113" s="428" t="s">
        <v>680</v>
      </c>
      <c r="B113" s="428" t="s">
        <v>680</v>
      </c>
      <c r="C113" s="544"/>
      <c r="D113" s="1111" t="s">
        <v>689</v>
      </c>
      <c r="E113" s="119" t="str">
        <f t="shared" si="8"/>
        <v>301670-DSM</v>
      </c>
      <c r="F113" s="1111" t="s">
        <v>651</v>
      </c>
      <c r="G113" s="7"/>
      <c r="H113" s="1112">
        <v>0</v>
      </c>
      <c r="I113" s="1113">
        <v>22709.39</v>
      </c>
      <c r="J113" s="1114">
        <v>0</v>
      </c>
      <c r="L113" s="1114">
        <f t="shared" si="9"/>
        <v>0</v>
      </c>
    </row>
    <row r="114" spans="1:12">
      <c r="A114" s="428" t="s">
        <v>864</v>
      </c>
      <c r="B114" s="428" t="s">
        <v>680</v>
      </c>
      <c r="C114" s="544"/>
      <c r="D114" s="1111" t="s">
        <v>859</v>
      </c>
      <c r="E114" s="119" t="str">
        <f t="shared" si="8"/>
        <v>INCOME TAX</v>
      </c>
      <c r="F114" s="1111" t="s">
        <v>651</v>
      </c>
      <c r="G114" s="7"/>
      <c r="H114" s="1112">
        <v>0</v>
      </c>
      <c r="I114" s="1113">
        <v>706.01</v>
      </c>
      <c r="J114" s="1114">
        <v>0</v>
      </c>
      <c r="L114" s="1114">
        <f t="shared" si="9"/>
        <v>0</v>
      </c>
    </row>
    <row r="115" spans="1:12">
      <c r="A115" s="428" t="s">
        <v>143</v>
      </c>
      <c r="B115" s="428" t="s">
        <v>143</v>
      </c>
      <c r="C115" s="544"/>
      <c r="D115" s="1111" t="s">
        <v>812</v>
      </c>
      <c r="E115" s="119" t="str">
        <f t="shared" si="8"/>
        <v>02CFR00012</v>
      </c>
      <c r="F115" s="1111" t="s">
        <v>651</v>
      </c>
      <c r="G115" s="7"/>
      <c r="H115" s="1112">
        <v>0</v>
      </c>
      <c r="I115" s="1113">
        <v>90.84</v>
      </c>
      <c r="J115" s="1114"/>
      <c r="L115" s="1114">
        <f t="shared" si="9"/>
        <v>0</v>
      </c>
    </row>
    <row r="116" spans="1:12">
      <c r="A116" s="428">
        <v>52</v>
      </c>
      <c r="B116" s="428">
        <v>52</v>
      </c>
      <c r="C116" s="544"/>
      <c r="D116" s="1111" t="s">
        <v>813</v>
      </c>
      <c r="E116" s="119" t="str">
        <f t="shared" si="8"/>
        <v>02COSL0052</v>
      </c>
      <c r="F116" s="1111" t="s">
        <v>651</v>
      </c>
      <c r="G116" s="7"/>
      <c r="H116" s="1112">
        <v>141214</v>
      </c>
      <c r="I116" s="1113">
        <v>30476.03</v>
      </c>
      <c r="J116" s="1114">
        <v>163</v>
      </c>
      <c r="L116" s="1114">
        <f t="shared" si="9"/>
        <v>13.583333333333334</v>
      </c>
    </row>
    <row r="117" spans="1:12">
      <c r="A117" s="428" t="s">
        <v>151</v>
      </c>
      <c r="B117" s="428" t="s">
        <v>151</v>
      </c>
      <c r="C117" s="544"/>
      <c r="D117" s="1111" t="s">
        <v>814</v>
      </c>
      <c r="E117" s="119" t="str">
        <f t="shared" si="8"/>
        <v>02CUSL053F</v>
      </c>
      <c r="F117" s="1111" t="s">
        <v>651</v>
      </c>
      <c r="G117" s="7"/>
      <c r="H117" s="1112">
        <v>2957358</v>
      </c>
      <c r="I117" s="1113">
        <v>213592.21</v>
      </c>
      <c r="J117" s="1114">
        <v>1440</v>
      </c>
      <c r="L117" s="1114">
        <f t="shared" si="9"/>
        <v>120</v>
      </c>
    </row>
    <row r="118" spans="1:12">
      <c r="A118" s="428" t="s">
        <v>152</v>
      </c>
      <c r="B118" s="428" t="s">
        <v>152</v>
      </c>
      <c r="C118" s="544"/>
      <c r="D118" s="1111" t="s">
        <v>815</v>
      </c>
      <c r="E118" s="119" t="str">
        <f t="shared" si="8"/>
        <v>02CUSL053M</v>
      </c>
      <c r="F118" s="1111" t="s">
        <v>651</v>
      </c>
      <c r="G118" s="7"/>
      <c r="H118" s="1112">
        <v>738432</v>
      </c>
      <c r="I118" s="1113">
        <v>53026.42</v>
      </c>
      <c r="J118" s="1114">
        <v>1347</v>
      </c>
      <c r="L118" s="1114">
        <f t="shared" si="9"/>
        <v>112.25</v>
      </c>
    </row>
    <row r="119" spans="1:12">
      <c r="A119" s="428">
        <v>51</v>
      </c>
      <c r="B119" s="428">
        <v>51</v>
      </c>
      <c r="C119" s="544"/>
      <c r="D119" s="1111" t="s">
        <v>816</v>
      </c>
      <c r="E119" s="119" t="str">
        <f t="shared" si="8"/>
        <v>02SLCO0051</v>
      </c>
      <c r="F119" s="1111" t="s">
        <v>651</v>
      </c>
      <c r="G119" s="7"/>
      <c r="H119" s="1112">
        <v>3588894</v>
      </c>
      <c r="I119" s="1113">
        <v>792436.5</v>
      </c>
      <c r="J119" s="1114">
        <v>2637</v>
      </c>
      <c r="L119" s="1114">
        <f t="shared" si="9"/>
        <v>219.75</v>
      </c>
    </row>
    <row r="120" spans="1:12">
      <c r="A120" s="428">
        <v>57</v>
      </c>
      <c r="B120" s="428">
        <v>57</v>
      </c>
      <c r="D120" s="1111" t="s">
        <v>817</v>
      </c>
      <c r="E120" s="119" t="str">
        <f t="shared" si="8"/>
        <v>02MVSL0057</v>
      </c>
      <c r="F120" s="1111" t="s">
        <v>651</v>
      </c>
      <c r="G120" s="7"/>
      <c r="H120" s="1112">
        <v>1459809</v>
      </c>
      <c r="I120" s="1113">
        <v>190062.82</v>
      </c>
      <c r="J120" s="1114">
        <v>422</v>
      </c>
      <c r="L120" s="1114">
        <f t="shared" si="9"/>
        <v>35.166666666666664</v>
      </c>
    </row>
    <row r="121" spans="1:12">
      <c r="A121" s="428"/>
      <c r="D121" s="1111" t="s">
        <v>802</v>
      </c>
      <c r="E121" s="119" t="str">
        <f t="shared" si="8"/>
        <v>CUSTOMER C</v>
      </c>
      <c r="F121" s="1111" t="s">
        <v>651</v>
      </c>
      <c r="G121" s="7"/>
      <c r="H121" s="1112"/>
      <c r="I121" s="1113"/>
      <c r="J121" s="1114">
        <v>0</v>
      </c>
      <c r="L121" s="1114">
        <f t="shared" si="9"/>
        <v>0</v>
      </c>
    </row>
    <row r="122" spans="1:12">
      <c r="C122" s="544" t="s">
        <v>129</v>
      </c>
      <c r="D122" s="7"/>
      <c r="E122" s="7"/>
      <c r="F122" s="108" t="s">
        <v>121</v>
      </c>
      <c r="G122" s="108"/>
      <c r="H122" s="104">
        <f>SUM(H111:H120)</f>
        <v>9126707</v>
      </c>
      <c r="I122" s="564">
        <f>SUM(I111:I120)</f>
        <v>1265386.29</v>
      </c>
      <c r="J122" s="104">
        <f>SUM(J111:J120)</f>
        <v>6009</v>
      </c>
      <c r="L122" s="104">
        <f>SUM(L111:L120)</f>
        <v>500.75000000000006</v>
      </c>
    </row>
    <row r="123" spans="1:12">
      <c r="C123" s="544"/>
      <c r="D123" s="7"/>
      <c r="E123" s="7"/>
      <c r="F123" s="7"/>
      <c r="G123" s="7"/>
      <c r="H123" s="31"/>
      <c r="I123" s="107"/>
      <c r="J123" s="31"/>
    </row>
    <row r="124" spans="1:12">
      <c r="C124" s="544" t="s">
        <v>99</v>
      </c>
      <c r="D124" s="7" t="s">
        <v>100</v>
      </c>
      <c r="E124" s="7"/>
      <c r="F124" s="7" t="s">
        <v>101</v>
      </c>
      <c r="G124" s="7"/>
      <c r="H124" s="31" t="s">
        <v>102</v>
      </c>
      <c r="I124" s="107" t="s">
        <v>1</v>
      </c>
      <c r="J124" s="566" t="s">
        <v>103</v>
      </c>
    </row>
    <row r="125" spans="1:12">
      <c r="A125" s="428" t="s">
        <v>146</v>
      </c>
      <c r="B125" s="428" t="s">
        <v>146</v>
      </c>
      <c r="C125" s="544" t="s">
        <v>136</v>
      </c>
      <c r="D125" s="1111" t="s">
        <v>788</v>
      </c>
      <c r="E125" s="119" t="str">
        <f t="shared" ref="E125:E156" si="10">LEFT(D125,10)</f>
        <v>UNBILLED R</v>
      </c>
      <c r="F125" s="1111" t="s">
        <v>650</v>
      </c>
      <c r="G125" s="7"/>
      <c r="H125" s="1112">
        <v>-20896000</v>
      </c>
      <c r="I125" s="1113">
        <v>606000</v>
      </c>
      <c r="J125" s="1114">
        <v>0</v>
      </c>
      <c r="L125" s="1114">
        <f t="shared" ref="L125:L156" si="11">J125/12</f>
        <v>0</v>
      </c>
    </row>
    <row r="126" spans="1:12">
      <c r="A126" s="428" t="s">
        <v>145</v>
      </c>
      <c r="B126" s="428" t="s">
        <v>145</v>
      </c>
      <c r="C126" s="544"/>
      <c r="D126" s="1111" t="s">
        <v>789</v>
      </c>
      <c r="E126" s="119" t="str">
        <f t="shared" si="10"/>
        <v>BPA BALANC</v>
      </c>
      <c r="F126" s="1111" t="s">
        <v>4</v>
      </c>
      <c r="G126" s="7"/>
      <c r="H126" s="1112">
        <v>0</v>
      </c>
      <c r="I126" s="1113">
        <v>654601.77</v>
      </c>
      <c r="J126" s="1114">
        <v>0</v>
      </c>
      <c r="L126" s="1114">
        <f t="shared" si="11"/>
        <v>0</v>
      </c>
    </row>
    <row r="127" spans="1:12">
      <c r="A127" s="428" t="s">
        <v>679</v>
      </c>
      <c r="B127" s="428" t="s">
        <v>679</v>
      </c>
      <c r="C127" s="544"/>
      <c r="D127" s="1111" t="s">
        <v>678</v>
      </c>
      <c r="E127" s="119" t="str">
        <f t="shared" si="10"/>
        <v>REVENUE AD</v>
      </c>
      <c r="F127" s="1111" t="s">
        <v>651</v>
      </c>
      <c r="G127" s="7"/>
      <c r="H127" s="1112">
        <v>0</v>
      </c>
      <c r="I127" s="1113">
        <v>62654.2</v>
      </c>
      <c r="J127" s="1114">
        <v>0</v>
      </c>
      <c r="L127" s="1114">
        <f t="shared" si="11"/>
        <v>0</v>
      </c>
    </row>
    <row r="128" spans="1:12">
      <c r="A128" s="428" t="s">
        <v>227</v>
      </c>
      <c r="B128" s="428" t="s">
        <v>227</v>
      </c>
      <c r="C128" s="544"/>
      <c r="D128" s="1111" t="s">
        <v>648</v>
      </c>
      <c r="E128" s="119" t="str">
        <f t="shared" si="10"/>
        <v>REVENUE_AC</v>
      </c>
      <c r="F128" s="1111" t="s">
        <v>651</v>
      </c>
      <c r="G128" s="7"/>
      <c r="H128" s="1112">
        <v>0</v>
      </c>
      <c r="I128" s="1113">
        <v>-8932140.9000000004</v>
      </c>
      <c r="J128" s="1114">
        <v>0</v>
      </c>
      <c r="L128" s="1114">
        <f t="shared" si="11"/>
        <v>0</v>
      </c>
    </row>
    <row r="129" spans="1:12">
      <c r="A129" s="428" t="s">
        <v>680</v>
      </c>
      <c r="B129" s="428" t="s">
        <v>680</v>
      </c>
      <c r="C129" s="544"/>
      <c r="D129" s="1111" t="s">
        <v>690</v>
      </c>
      <c r="E129" s="119" t="str">
        <f t="shared" si="10"/>
        <v>301170-DSM</v>
      </c>
      <c r="F129" s="1111" t="s">
        <v>651</v>
      </c>
      <c r="G129" s="7"/>
      <c r="H129" s="1112">
        <v>0</v>
      </c>
      <c r="I129" s="1113">
        <v>4584004.46</v>
      </c>
      <c r="J129" s="1114">
        <v>0</v>
      </c>
      <c r="L129" s="1114">
        <f t="shared" si="11"/>
        <v>0</v>
      </c>
    </row>
    <row r="130" spans="1:12">
      <c r="A130" s="428" t="s">
        <v>682</v>
      </c>
      <c r="B130" s="428" t="s">
        <v>682</v>
      </c>
      <c r="C130" s="544"/>
      <c r="D130" s="1111" t="s">
        <v>691</v>
      </c>
      <c r="E130" s="119" t="str">
        <f t="shared" si="10"/>
        <v>301180-BLU</v>
      </c>
      <c r="F130" s="1111" t="s">
        <v>651</v>
      </c>
      <c r="G130" s="7"/>
      <c r="H130" s="1112">
        <v>0</v>
      </c>
      <c r="I130" s="1113">
        <v>153648.59</v>
      </c>
      <c r="J130" s="1114">
        <v>0</v>
      </c>
      <c r="L130" s="1114">
        <f t="shared" si="11"/>
        <v>0</v>
      </c>
    </row>
    <row r="131" spans="1:12">
      <c r="A131" s="428" t="s">
        <v>863</v>
      </c>
      <c r="B131" s="428" t="s">
        <v>863</v>
      </c>
      <c r="C131" s="544"/>
      <c r="D131" s="1111" t="s">
        <v>858</v>
      </c>
      <c r="E131" s="119" t="str">
        <f t="shared" si="10"/>
        <v>ALT REVENU</v>
      </c>
      <c r="F131" s="1111" t="s">
        <v>651</v>
      </c>
      <c r="G131" s="7"/>
      <c r="H131" s="1112">
        <v>0</v>
      </c>
      <c r="I131" s="1113">
        <v>1597390.06</v>
      </c>
      <c r="J131" s="1114">
        <v>0</v>
      </c>
      <c r="L131" s="1114">
        <f t="shared" si="11"/>
        <v>0</v>
      </c>
    </row>
    <row r="132" spans="1:12">
      <c r="A132" s="428" t="s">
        <v>864</v>
      </c>
      <c r="B132" s="428" t="s">
        <v>864</v>
      </c>
      <c r="C132" s="544"/>
      <c r="D132" s="1111" t="s">
        <v>859</v>
      </c>
      <c r="E132" s="119" t="str">
        <f t="shared" si="10"/>
        <v>INCOME TAX</v>
      </c>
      <c r="F132" s="1111" t="s">
        <v>651</v>
      </c>
      <c r="G132" s="7"/>
      <c r="H132" s="1112">
        <v>0</v>
      </c>
      <c r="I132" s="1113">
        <v>101815.87</v>
      </c>
      <c r="J132" s="1114">
        <v>0</v>
      </c>
      <c r="L132" s="1114">
        <f t="shared" si="11"/>
        <v>0</v>
      </c>
    </row>
    <row r="133" spans="1:12">
      <c r="A133" s="428" t="s">
        <v>143</v>
      </c>
      <c r="B133" s="428" t="s">
        <v>143</v>
      </c>
      <c r="C133" s="544"/>
      <c r="D133" s="1111" t="s">
        <v>797</v>
      </c>
      <c r="E133" s="119" t="str">
        <f t="shared" si="10"/>
        <v>02LNX00109</v>
      </c>
      <c r="F133" s="1111" t="s">
        <v>651</v>
      </c>
      <c r="G133" s="7"/>
      <c r="H133" s="1112">
        <v>0</v>
      </c>
      <c r="I133" s="1113">
        <v>1819.5</v>
      </c>
      <c r="J133" s="1114"/>
      <c r="L133" s="1114">
        <f t="shared" si="11"/>
        <v>0</v>
      </c>
    </row>
    <row r="134" spans="1:12">
      <c r="A134" s="428">
        <v>16</v>
      </c>
      <c r="B134" s="428">
        <v>16</v>
      </c>
      <c r="C134" s="544"/>
      <c r="D134" s="1111" t="s">
        <v>804</v>
      </c>
      <c r="E134" s="119" t="str">
        <f t="shared" si="10"/>
        <v>02RESD0016</v>
      </c>
      <c r="F134" s="1111" t="s">
        <v>651</v>
      </c>
      <c r="G134" s="7"/>
      <c r="H134" s="1112">
        <v>1510928203</v>
      </c>
      <c r="I134" s="1113">
        <v>139946668.05000001</v>
      </c>
      <c r="J134" s="1114">
        <v>1221047</v>
      </c>
      <c r="L134" s="1114">
        <f t="shared" si="11"/>
        <v>101753.91666666667</v>
      </c>
    </row>
    <row r="135" spans="1:12">
      <c r="A135" s="428" t="s">
        <v>174</v>
      </c>
      <c r="B135" s="428">
        <v>16</v>
      </c>
      <c r="C135" s="544"/>
      <c r="D135" s="1111" t="s">
        <v>805</v>
      </c>
      <c r="E135" s="119" t="str">
        <f t="shared" si="10"/>
        <v>02RESD0016</v>
      </c>
      <c r="F135" s="1111" t="s">
        <v>4</v>
      </c>
      <c r="G135" s="7"/>
      <c r="H135" s="1112">
        <v>1509579004</v>
      </c>
      <c r="I135" s="1113">
        <v>-12303086.66</v>
      </c>
      <c r="J135" s="1114">
        <v>1221047</v>
      </c>
      <c r="L135" s="1114">
        <f t="shared" si="11"/>
        <v>101753.91666666667</v>
      </c>
    </row>
    <row r="136" spans="1:12">
      <c r="A136" s="428">
        <v>18</v>
      </c>
      <c r="B136" s="428">
        <v>18</v>
      </c>
      <c r="C136" s="544"/>
      <c r="D136" s="1111" t="s">
        <v>806</v>
      </c>
      <c r="E136" s="119" t="str">
        <f t="shared" si="10"/>
        <v>02RESD0018</v>
      </c>
      <c r="F136" s="1111" t="s">
        <v>651</v>
      </c>
      <c r="G136" s="7"/>
      <c r="H136" s="1112">
        <v>2117570</v>
      </c>
      <c r="I136" s="1113">
        <v>216272.66</v>
      </c>
      <c r="J136" s="1114">
        <v>947</v>
      </c>
      <c r="L136" s="1114">
        <f t="shared" si="11"/>
        <v>78.916666666666671</v>
      </c>
    </row>
    <row r="137" spans="1:12">
      <c r="A137" s="428" t="s">
        <v>176</v>
      </c>
      <c r="B137" s="428">
        <v>18</v>
      </c>
      <c r="C137" s="544"/>
      <c r="D137" s="1111" t="s">
        <v>807</v>
      </c>
      <c r="E137" s="119" t="str">
        <f t="shared" si="10"/>
        <v>02RESD0018</v>
      </c>
      <c r="F137" s="1111" t="s">
        <v>4</v>
      </c>
      <c r="G137" s="7"/>
      <c r="H137" s="1112">
        <v>2117567</v>
      </c>
      <c r="I137" s="1113">
        <v>-17258.27</v>
      </c>
      <c r="J137" s="1114">
        <v>947</v>
      </c>
      <c r="L137" s="1114">
        <f t="shared" si="11"/>
        <v>78.916666666666671</v>
      </c>
    </row>
    <row r="138" spans="1:12">
      <c r="A138" s="428" t="s">
        <v>154</v>
      </c>
      <c r="B138" s="428" t="s">
        <v>154</v>
      </c>
      <c r="C138" s="544"/>
      <c r="D138" s="1111" t="s">
        <v>808</v>
      </c>
      <c r="E138" s="119" t="str">
        <f t="shared" si="10"/>
        <v>02RESD018X</v>
      </c>
      <c r="F138" s="1111" t="s">
        <v>651</v>
      </c>
      <c r="G138" s="7"/>
      <c r="H138" s="1112">
        <v>321154</v>
      </c>
      <c r="I138" s="1113">
        <v>32360.04</v>
      </c>
      <c r="J138" s="1114">
        <v>154</v>
      </c>
      <c r="L138" s="1114">
        <f t="shared" si="11"/>
        <v>12.833333333333334</v>
      </c>
    </row>
    <row r="139" spans="1:12">
      <c r="A139" s="428" t="s">
        <v>177</v>
      </c>
      <c r="B139" s="428" t="s">
        <v>154</v>
      </c>
      <c r="C139" s="544"/>
      <c r="D139" s="1111" t="s">
        <v>809</v>
      </c>
      <c r="E139" s="119" t="str">
        <f t="shared" si="10"/>
        <v>02RESD018X</v>
      </c>
      <c r="F139" s="1111" t="s">
        <v>4</v>
      </c>
      <c r="G139" s="7"/>
      <c r="H139" s="1112">
        <v>321153</v>
      </c>
      <c r="I139" s="1113">
        <v>-2617.41</v>
      </c>
      <c r="J139" s="1114">
        <v>154</v>
      </c>
      <c r="L139" s="1114">
        <f t="shared" si="11"/>
        <v>12.833333333333334</v>
      </c>
    </row>
    <row r="140" spans="1:12">
      <c r="A140" s="428" t="s">
        <v>682</v>
      </c>
      <c r="B140" s="428" t="s">
        <v>682</v>
      </c>
      <c r="C140" s="544"/>
      <c r="D140" s="1111" t="s">
        <v>810</v>
      </c>
      <c r="E140" s="119" t="str">
        <f t="shared" si="10"/>
        <v>02BLSKY01R</v>
      </c>
      <c r="F140" s="1111" t="s">
        <v>651</v>
      </c>
      <c r="G140" s="7"/>
      <c r="H140" s="1112">
        <v>0</v>
      </c>
      <c r="I140" s="1113">
        <v>-2.0300000000000002</v>
      </c>
      <c r="J140" s="1114"/>
      <c r="L140" s="1114">
        <f t="shared" si="11"/>
        <v>0</v>
      </c>
    </row>
    <row r="141" spans="1:12">
      <c r="A141" s="428" t="s">
        <v>875</v>
      </c>
      <c r="B141" s="428" t="s">
        <v>875</v>
      </c>
      <c r="C141" s="544"/>
      <c r="D141" s="1111" t="s">
        <v>860</v>
      </c>
      <c r="E141" s="119" t="str">
        <f t="shared" si="10"/>
        <v>02ZZMERGCR</v>
      </c>
      <c r="F141" s="1111" t="s">
        <v>651</v>
      </c>
      <c r="G141" s="7"/>
      <c r="H141" s="1112">
        <v>0</v>
      </c>
      <c r="I141" s="1113">
        <v>-3.56</v>
      </c>
      <c r="J141" s="1114"/>
      <c r="L141" s="1114">
        <f t="shared" si="11"/>
        <v>0</v>
      </c>
    </row>
    <row r="142" spans="1:12">
      <c r="A142" s="428">
        <v>17</v>
      </c>
      <c r="B142" s="428">
        <v>17</v>
      </c>
      <c r="C142" s="544"/>
      <c r="D142" s="1111" t="s">
        <v>811</v>
      </c>
      <c r="E142" s="119" t="str">
        <f t="shared" si="10"/>
        <v>02RESD0017</v>
      </c>
      <c r="F142" s="1111" t="s">
        <v>651</v>
      </c>
      <c r="G142" s="7"/>
      <c r="H142" s="1112">
        <v>79640499</v>
      </c>
      <c r="I142" s="1113">
        <v>7360010.5499999998</v>
      </c>
      <c r="J142" s="1114">
        <v>61230</v>
      </c>
      <c r="L142" s="1114">
        <f t="shared" si="11"/>
        <v>5102.5</v>
      </c>
    </row>
    <row r="143" spans="1:12">
      <c r="A143" s="428" t="s">
        <v>175</v>
      </c>
      <c r="B143" s="428">
        <v>17</v>
      </c>
      <c r="C143" s="544"/>
      <c r="D143" s="1111" t="s">
        <v>139</v>
      </c>
      <c r="E143" s="119" t="str">
        <f t="shared" si="10"/>
        <v>02RESD0017</v>
      </c>
      <c r="F143" s="1111" t="s">
        <v>4</v>
      </c>
      <c r="G143" s="7"/>
      <c r="H143" s="1112">
        <v>79640353</v>
      </c>
      <c r="I143" s="1113">
        <v>-649071.64</v>
      </c>
      <c r="J143" s="1114">
        <v>61230</v>
      </c>
      <c r="L143" s="1114">
        <f t="shared" si="11"/>
        <v>5102.5</v>
      </c>
    </row>
    <row r="144" spans="1:12">
      <c r="A144" s="428" t="s">
        <v>146</v>
      </c>
      <c r="B144" s="428" t="s">
        <v>146</v>
      </c>
      <c r="C144" s="544"/>
      <c r="D144" s="1111" t="s">
        <v>210</v>
      </c>
      <c r="E144" s="119" t="str">
        <f t="shared" si="10"/>
        <v>301119 - U</v>
      </c>
      <c r="F144" s="1111" t="s">
        <v>650</v>
      </c>
      <c r="G144" s="7"/>
      <c r="H144" s="1112">
        <v>0</v>
      </c>
      <c r="I144" s="1113">
        <v>-16000</v>
      </c>
      <c r="J144" s="1114">
        <v>0</v>
      </c>
      <c r="L144" s="1114">
        <f t="shared" si="11"/>
        <v>0</v>
      </c>
    </row>
    <row r="145" spans="1:13">
      <c r="A145" s="428" t="s">
        <v>153</v>
      </c>
      <c r="B145" s="428" t="s">
        <v>153</v>
      </c>
      <c r="C145" s="544"/>
      <c r="D145" s="1111" t="s">
        <v>224</v>
      </c>
      <c r="E145" s="119" t="str">
        <f t="shared" si="10"/>
        <v>02OALTB15R</v>
      </c>
      <c r="F145" s="1111" t="s">
        <v>651</v>
      </c>
      <c r="G145" s="7"/>
      <c r="H145" s="1112">
        <v>945378</v>
      </c>
      <c r="I145" s="1113">
        <v>147946.59</v>
      </c>
      <c r="J145" s="1114">
        <v>12400</v>
      </c>
      <c r="L145" s="1114">
        <f t="shared" si="11"/>
        <v>1033.3333333333333</v>
      </c>
    </row>
    <row r="146" spans="1:13">
      <c r="A146" s="428" t="s">
        <v>234</v>
      </c>
      <c r="B146" s="428" t="s">
        <v>153</v>
      </c>
      <c r="C146" s="544"/>
      <c r="D146" s="1111" t="s">
        <v>225</v>
      </c>
      <c r="E146" s="119" t="str">
        <f t="shared" si="10"/>
        <v>02OALTB15R</v>
      </c>
      <c r="F146" s="1111" t="s">
        <v>4</v>
      </c>
      <c r="G146" s="7"/>
      <c r="H146" s="1112">
        <v>945341</v>
      </c>
      <c r="I146" s="1113">
        <v>-7707.99</v>
      </c>
      <c r="J146" s="1114"/>
      <c r="L146" s="1114">
        <f t="shared" si="11"/>
        <v>0</v>
      </c>
    </row>
    <row r="147" spans="1:13">
      <c r="A147" s="428">
        <v>135</v>
      </c>
      <c r="B147" s="428">
        <v>135</v>
      </c>
      <c r="C147" s="544"/>
      <c r="D147" s="1111" t="s">
        <v>242</v>
      </c>
      <c r="E147" s="119" t="str">
        <f t="shared" si="10"/>
        <v>02NETMT135</v>
      </c>
      <c r="F147" s="1111" t="s">
        <v>651</v>
      </c>
      <c r="G147" s="7"/>
      <c r="H147" s="1112">
        <v>12389265</v>
      </c>
      <c r="I147" s="1113">
        <v>1217658.21</v>
      </c>
      <c r="J147" s="1114">
        <v>13073</v>
      </c>
      <c r="L147" s="1114">
        <f t="shared" si="11"/>
        <v>1089.4166666666667</v>
      </c>
    </row>
    <row r="148" spans="1:13">
      <c r="A148" s="428" t="s">
        <v>628</v>
      </c>
      <c r="B148" s="428">
        <v>135</v>
      </c>
      <c r="C148" s="544"/>
      <c r="D148" s="1111" t="s">
        <v>627</v>
      </c>
      <c r="E148" s="119" t="str">
        <f t="shared" si="10"/>
        <v>02NETMT135</v>
      </c>
      <c r="F148" s="1111" t="s">
        <v>4</v>
      </c>
      <c r="G148" s="7"/>
      <c r="H148" s="1112">
        <v>12258608</v>
      </c>
      <c r="I148" s="1113">
        <v>-99907.63</v>
      </c>
      <c r="J148" s="1114">
        <v>13073</v>
      </c>
      <c r="L148" s="1114">
        <f t="shared" si="11"/>
        <v>1089.4166666666667</v>
      </c>
    </row>
    <row r="149" spans="1:13">
      <c r="A149" s="428">
        <v>24</v>
      </c>
      <c r="B149" s="428">
        <v>24</v>
      </c>
      <c r="C149" s="544"/>
      <c r="D149" s="1111" t="s">
        <v>692</v>
      </c>
      <c r="E149" s="119" t="str">
        <f t="shared" si="10"/>
        <v>02RGNSB024</v>
      </c>
      <c r="F149" s="1111" t="s">
        <v>651</v>
      </c>
      <c r="G149" s="7"/>
      <c r="H149" s="1112">
        <v>20979867</v>
      </c>
      <c r="I149" s="1113">
        <v>2480834.42</v>
      </c>
      <c r="J149" s="1114">
        <v>41208</v>
      </c>
      <c r="L149" s="1114">
        <f t="shared" si="11"/>
        <v>3434</v>
      </c>
    </row>
    <row r="150" spans="1:13">
      <c r="A150" s="428" t="s">
        <v>233</v>
      </c>
      <c r="B150" s="428">
        <v>24</v>
      </c>
      <c r="C150" s="544"/>
      <c r="D150" s="1111" t="s">
        <v>693</v>
      </c>
      <c r="E150" s="119" t="str">
        <f t="shared" si="10"/>
        <v>02RGNSB024</v>
      </c>
      <c r="F150" s="1111" t="s">
        <v>4</v>
      </c>
      <c r="G150" s="7"/>
      <c r="H150" s="1112">
        <v>20397218</v>
      </c>
      <c r="I150" s="1113">
        <v>-165846.76999999999</v>
      </c>
      <c r="J150" s="1114">
        <v>41208</v>
      </c>
      <c r="L150" s="1114">
        <f t="shared" si="11"/>
        <v>3434</v>
      </c>
    </row>
    <row r="151" spans="1:13">
      <c r="A151" s="428">
        <v>24</v>
      </c>
      <c r="B151" s="428">
        <v>24</v>
      </c>
      <c r="C151" s="544"/>
      <c r="D151" s="1111" t="s">
        <v>867</v>
      </c>
      <c r="E151" s="119" t="str">
        <f t="shared" si="10"/>
        <v>02RNM24135</v>
      </c>
      <c r="F151" s="1111" t="s">
        <v>651</v>
      </c>
      <c r="G151" s="7"/>
      <c r="H151" s="1112">
        <v>211636</v>
      </c>
      <c r="I151" s="1113">
        <v>22666.080000000002</v>
      </c>
      <c r="J151" s="1114">
        <v>307</v>
      </c>
      <c r="L151" s="1114">
        <f t="shared" si="11"/>
        <v>25.583333333333332</v>
      </c>
    </row>
    <row r="152" spans="1:13">
      <c r="A152" s="428" t="s">
        <v>233</v>
      </c>
      <c r="B152" s="428">
        <v>24</v>
      </c>
      <c r="C152" s="544"/>
      <c r="D152" s="1111" t="s">
        <v>869</v>
      </c>
      <c r="E152" s="119" t="str">
        <f t="shared" si="10"/>
        <v>02RNM24135</v>
      </c>
      <c r="F152" s="1111" t="s">
        <v>4</v>
      </c>
      <c r="G152" s="7"/>
      <c r="H152" s="1112">
        <v>211636</v>
      </c>
      <c r="I152" s="1113">
        <v>-1724.83</v>
      </c>
      <c r="J152" s="1114">
        <v>307</v>
      </c>
      <c r="L152" s="1114">
        <f t="shared" si="11"/>
        <v>25.583333333333332</v>
      </c>
    </row>
    <row r="153" spans="1:13">
      <c r="A153" s="428">
        <v>36</v>
      </c>
      <c r="B153" s="428">
        <v>36</v>
      </c>
      <c r="C153" s="544"/>
      <c r="D153" s="1111" t="s">
        <v>868</v>
      </c>
      <c r="E153" s="119" t="str">
        <f t="shared" si="10"/>
        <v>02RGNSB036</v>
      </c>
      <c r="F153" s="1111" t="s">
        <v>651</v>
      </c>
      <c r="G153" s="7"/>
      <c r="H153" s="1112">
        <v>1581480</v>
      </c>
      <c r="I153" s="1113">
        <v>119191.29</v>
      </c>
      <c r="J153" s="1114">
        <v>24</v>
      </c>
      <c r="L153" s="1114">
        <f t="shared" si="11"/>
        <v>2</v>
      </c>
    </row>
    <row r="154" spans="1:13">
      <c r="A154" s="428" t="s">
        <v>229</v>
      </c>
      <c r="B154" s="428">
        <v>36</v>
      </c>
      <c r="C154" s="544"/>
      <c r="D154" s="1111" t="s">
        <v>870</v>
      </c>
      <c r="E154" s="119" t="str">
        <f t="shared" si="10"/>
        <v>02RGNSB036</v>
      </c>
      <c r="F154" s="1111" t="s">
        <v>4</v>
      </c>
      <c r="G154" s="7"/>
      <c r="H154" s="1112">
        <v>1138200</v>
      </c>
      <c r="I154" s="1113">
        <v>-9276.36</v>
      </c>
      <c r="J154" s="1114">
        <v>12</v>
      </c>
      <c r="L154" s="1114">
        <f t="shared" si="11"/>
        <v>1</v>
      </c>
    </row>
    <row r="155" spans="1:13">
      <c r="C155" s="7"/>
      <c r="D155" s="1111" t="s">
        <v>802</v>
      </c>
      <c r="E155" s="119" t="str">
        <f t="shared" si="10"/>
        <v>CUSTOMER C</v>
      </c>
      <c r="F155" s="1111" t="s">
        <v>651</v>
      </c>
      <c r="G155" s="7"/>
      <c r="H155" s="1112"/>
      <c r="I155" s="1113"/>
      <c r="J155" s="1114">
        <v>0</v>
      </c>
      <c r="L155" s="1114">
        <f t="shared" si="11"/>
        <v>0</v>
      </c>
    </row>
    <row r="156" spans="1:13">
      <c r="A156" s="428"/>
      <c r="D156" s="1111" t="s">
        <v>803</v>
      </c>
      <c r="E156" s="119" t="str">
        <f t="shared" si="10"/>
        <v>CUSTOMER C</v>
      </c>
      <c r="F156" s="1111" t="s">
        <v>4</v>
      </c>
      <c r="G156" s="7"/>
      <c r="H156" s="1112"/>
      <c r="I156" s="1113"/>
      <c r="J156" s="1114">
        <v>0</v>
      </c>
      <c r="L156" s="1114">
        <f t="shared" si="11"/>
        <v>0</v>
      </c>
    </row>
    <row r="157" spans="1:13">
      <c r="C157" s="544" t="s">
        <v>136</v>
      </c>
      <c r="D157" s="7"/>
      <c r="E157" s="7"/>
      <c r="F157" s="108" t="s">
        <v>121</v>
      </c>
      <c r="G157" s="7"/>
      <c r="H157" s="567">
        <f>SUM(H125:H154)-H126-H135-H137-H139-H143-H146-H148-H150-H152-H154</f>
        <v>1608219052</v>
      </c>
      <c r="I157" s="105">
        <f>SUM(I125:I154)</f>
        <v>137100898.28999999</v>
      </c>
      <c r="J157" s="567">
        <f>SUM(J125:J154)-J126-J135-J137-J139-J143-J146-J148-J150-J152-J154</f>
        <v>1350390</v>
      </c>
      <c r="L157" s="567">
        <f>SUM(L125:L154)-L126-L135-L137-L139-L143-L146-L148-L150-L152-L154</f>
        <v>112532.50000000001</v>
      </c>
    </row>
    <row r="158" spans="1:13">
      <c r="C158" s="544"/>
      <c r="D158" s="7"/>
      <c r="E158" s="7"/>
      <c r="F158" s="7"/>
      <c r="G158" s="7"/>
      <c r="H158" s="567"/>
      <c r="I158" s="105"/>
      <c r="J158" s="567"/>
    </row>
    <row r="159" spans="1:13">
      <c r="C159" s="544"/>
      <c r="D159" s="7"/>
      <c r="E159" s="7"/>
      <c r="F159" s="7"/>
      <c r="G159" s="7"/>
      <c r="H159" s="567"/>
      <c r="I159" s="105"/>
      <c r="J159" s="567"/>
    </row>
    <row r="160" spans="1:13">
      <c r="C160" s="544"/>
      <c r="D160" s="7"/>
      <c r="E160" s="7"/>
      <c r="F160" s="7"/>
      <c r="G160" s="7"/>
      <c r="H160" s="336"/>
      <c r="J160" s="7"/>
      <c r="M160" s="107"/>
    </row>
    <row r="161" spans="3:13">
      <c r="C161" s="544"/>
      <c r="D161" s="7"/>
      <c r="E161" s="7"/>
      <c r="F161" s="7"/>
      <c r="G161" s="7"/>
      <c r="H161" s="7"/>
      <c r="I161" s="107"/>
      <c r="J161" s="7"/>
    </row>
    <row r="162" spans="3:13">
      <c r="C162" s="544"/>
      <c r="D162" s="7"/>
      <c r="E162" s="7"/>
      <c r="F162" s="7"/>
      <c r="G162" s="7"/>
      <c r="H162" s="7"/>
      <c r="I162" s="107"/>
      <c r="J162" s="7"/>
    </row>
    <row r="163" spans="3:13">
      <c r="C163" s="568"/>
      <c r="D163" s="110"/>
      <c r="E163" s="110"/>
      <c r="F163" s="110" t="s">
        <v>121</v>
      </c>
      <c r="G163" s="110"/>
      <c r="H163" s="111">
        <f>H157+H122+H108+H80+H49</f>
        <v>4107500610</v>
      </c>
      <c r="I163" s="569">
        <f>I157+I122+I108+I80+I49</f>
        <v>322988711.03000003</v>
      </c>
      <c r="J163" s="111">
        <f>J157+J122+J108+J80+J49</f>
        <v>1645966</v>
      </c>
      <c r="K163" s="645">
        <f>K49+K80+J108+J122+J157</f>
        <v>1645936</v>
      </c>
      <c r="L163" s="111">
        <f>L157+L122+L108+L80+L49</f>
        <v>137163.83333333334</v>
      </c>
      <c r="M163" s="645">
        <f>M49+M80+L108+L122+L157</f>
        <v>137161.33333333334</v>
      </c>
    </row>
    <row r="165" spans="3:13">
      <c r="F165" s="4" t="s">
        <v>161</v>
      </c>
    </row>
    <row r="166" spans="3:13">
      <c r="F166" s="4" t="s">
        <v>160</v>
      </c>
      <c r="H166" s="104">
        <f ca="1">SUMIF(F6:F159,"&lt;&gt;B",H6:H157)-H163</f>
        <v>4107500610</v>
      </c>
      <c r="I166" s="104">
        <f>SUMIF($F$7:$F$161,"&lt;&gt;B",I7:I161)-I163</f>
        <v>336988032.29000014</v>
      </c>
      <c r="J166" s="104">
        <f ca="1">SUMIF(F6:F159,"&lt;&gt;B",J6:J157)-J163</f>
        <v>1645966</v>
      </c>
      <c r="K166" s="58">
        <f ca="1">J166-J12-J58</f>
        <v>1645936</v>
      </c>
      <c r="L166" s="104">
        <f ca="1">SUMIF(H6:H159,"&lt;&gt;B",L6:L157)-L163</f>
        <v>253292.16666666666</v>
      </c>
      <c r="M166" s="58">
        <f ca="1">L166-L12-L58</f>
        <v>253289.66666666666</v>
      </c>
    </row>
    <row r="167" spans="3:13">
      <c r="F167" s="4" t="s">
        <v>97</v>
      </c>
      <c r="H167" s="111">
        <f ca="1">SUMIF(F6:F159,"=B",H6:H157)</f>
        <v>1798086394</v>
      </c>
      <c r="I167" s="570">
        <f>SUMIF($F$7:$F$156,"=B",I$7:I$156)</f>
        <v>-13999321.26</v>
      </c>
      <c r="J167" s="111">
        <f ca="1">SUMIF(F6:F159,"=B",J6:J157)</f>
        <v>1393540</v>
      </c>
      <c r="K167" s="111" t="s">
        <v>31</v>
      </c>
      <c r="L167" s="111">
        <f ca="1">SUMIF(F6:F159,"=B",L6:L157)</f>
        <v>116128.33333333334</v>
      </c>
      <c r="M167" s="111">
        <f t="shared" ref="M167" ca="1" si="12">SUMIF(I6:I159,"=B",M6:M157)</f>
        <v>0</v>
      </c>
    </row>
    <row r="168" spans="3:13">
      <c r="H168" s="85">
        <f ca="1">SUM(H166:H167)</f>
        <v>5905587004</v>
      </c>
      <c r="I168" s="571">
        <f>SUM(I166:I167)</f>
        <v>322988711.03000015</v>
      </c>
      <c r="J168" s="85">
        <f ca="1">SUM(J166:J167)</f>
        <v>3039506</v>
      </c>
      <c r="L168" s="85">
        <f ca="1">SUM(L166:L167)</f>
        <v>369420.5</v>
      </c>
    </row>
    <row r="170" spans="3:13">
      <c r="I170" s="421"/>
    </row>
    <row r="172" spans="3:13">
      <c r="F172" s="4" t="s">
        <v>168</v>
      </c>
      <c r="H172" s="31">
        <f ca="1">SUMIF($F$7:$F$156,"=regular",H$7:H$150)</f>
        <v>0</v>
      </c>
      <c r="I172" s="104">
        <f ca="1">SUMIF($F$7:$F$150,"=regular",I7:I149)</f>
        <v>0</v>
      </c>
      <c r="J172" s="31">
        <f ca="1">SUMIF($F$7:$F$159,"=regular",J$7:J$157)</f>
        <v>0</v>
      </c>
    </row>
    <row r="173" spans="3:13">
      <c r="F173" s="4" t="s">
        <v>192</v>
      </c>
      <c r="H173" s="31">
        <f ca="1">SUMIF($F$7:$F$159,"UNBILLED",H$7:H$157)</f>
        <v>0</v>
      </c>
      <c r="I173" s="572">
        <f ca="1">SUMIF(F7:F150,"=unbilled",I7:I149)</f>
        <v>0</v>
      </c>
      <c r="J173" s="5"/>
      <c r="K173" s="7"/>
    </row>
    <row r="174" spans="3:13">
      <c r="H174" s="104">
        <f ca="1">SUM(H172:H173)</f>
        <v>0</v>
      </c>
      <c r="I174" s="104">
        <f ca="1">SUM(I172:I173)</f>
        <v>0</v>
      </c>
      <c r="J174" s="58">
        <f ca="1">J172</f>
        <v>0</v>
      </c>
      <c r="K174" s="7"/>
    </row>
    <row r="175" spans="3:13">
      <c r="F175" s="7"/>
      <c r="G175" s="7"/>
      <c r="H175" s="7"/>
      <c r="I175" s="7"/>
      <c r="J175" s="7"/>
      <c r="K175" s="7"/>
    </row>
    <row r="176" spans="3:13">
      <c r="F176" s="7"/>
      <c r="G176" s="7"/>
      <c r="H176" s="558"/>
      <c r="I176" s="573"/>
      <c r="J176" s="558"/>
      <c r="K176" s="7"/>
    </row>
    <row r="177" spans="6:11">
      <c r="F177" s="7"/>
      <c r="G177" s="7"/>
      <c r="H177" s="7"/>
      <c r="I177" s="7"/>
      <c r="J177" s="7"/>
      <c r="K177" s="7"/>
    </row>
    <row r="178" spans="6:11">
      <c r="F178" s="7"/>
      <c r="G178" s="7"/>
      <c r="H178" s="336"/>
      <c r="I178" s="336"/>
      <c r="J178" s="7"/>
    </row>
    <row r="179" spans="6:11">
      <c r="F179" s="7"/>
      <c r="G179" s="7"/>
      <c r="H179" s="7"/>
      <c r="I179" s="574"/>
      <c r="J179" s="7"/>
    </row>
    <row r="180" spans="6:11">
      <c r="H180" s="85"/>
      <c r="I180" s="575"/>
    </row>
  </sheetData>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3:AI139"/>
  <sheetViews>
    <sheetView workbookViewId="0">
      <selection activeCell="B8" sqref="B8"/>
    </sheetView>
  </sheetViews>
  <sheetFormatPr defaultColWidth="9.625" defaultRowHeight="15.75"/>
  <cols>
    <col min="1" max="1" width="17.25" style="588" bestFit="1" customWidth="1"/>
    <col min="2" max="9" width="16.375" style="588" customWidth="1"/>
    <col min="10" max="10" width="12.375" style="588" bestFit="1" customWidth="1"/>
    <col min="11" max="11" width="18" style="588" bestFit="1" customWidth="1"/>
    <col min="12" max="12" width="14.5" style="588" bestFit="1" customWidth="1"/>
    <col min="13" max="13" width="9.625" style="588" customWidth="1"/>
    <col min="14" max="14" width="13.125" style="588" bestFit="1" customWidth="1"/>
    <col min="15" max="15" width="14.625" style="588" bestFit="1" customWidth="1"/>
    <col min="16" max="16" width="12" style="588" bestFit="1" customWidth="1"/>
    <col min="17" max="17" width="14.875" style="588" bestFit="1" customWidth="1"/>
    <col min="18" max="18" width="12.375" style="588" bestFit="1" customWidth="1"/>
    <col min="19" max="19" width="12" style="588" bestFit="1" customWidth="1"/>
    <col min="20" max="20" width="14.875" style="588" bestFit="1" customWidth="1"/>
    <col min="21" max="21" width="9.625" style="588" customWidth="1"/>
    <col min="22" max="23" width="9.625" style="588"/>
    <col min="24" max="24" width="19.625" style="588" bestFit="1" customWidth="1"/>
    <col min="25" max="25" width="13.25" style="588" bestFit="1" customWidth="1"/>
    <col min="26" max="16384" width="9.625" style="588"/>
  </cols>
  <sheetData>
    <row r="3" spans="1:27" ht="18.75">
      <c r="A3" s="585" t="s">
        <v>46</v>
      </c>
      <c r="B3" s="586"/>
      <c r="C3" s="586"/>
      <c r="D3" s="586"/>
      <c r="E3" s="586"/>
      <c r="F3" s="586"/>
      <c r="G3" s="586"/>
      <c r="H3" s="586"/>
      <c r="I3" s="586"/>
      <c r="J3" s="586"/>
      <c r="K3" s="586"/>
      <c r="L3" s="586"/>
      <c r="M3" s="586"/>
      <c r="N3" s="586"/>
      <c r="O3" s="586"/>
      <c r="P3" s="586"/>
      <c r="Q3" s="586"/>
      <c r="R3" s="586"/>
      <c r="S3" s="586"/>
      <c r="T3" s="586"/>
      <c r="U3" s="587"/>
      <c r="V3" s="587"/>
      <c r="W3" s="587"/>
      <c r="X3" s="587"/>
      <c r="Y3" s="587"/>
      <c r="Z3" s="587"/>
      <c r="AA3" s="587"/>
    </row>
    <row r="4" spans="1:27" ht="18.75">
      <c r="A4" s="585" t="s">
        <v>871</v>
      </c>
      <c r="B4" s="586"/>
      <c r="C4" s="586"/>
      <c r="D4" s="586"/>
      <c r="E4" s="586"/>
      <c r="F4" s="586"/>
      <c r="G4" s="586"/>
      <c r="H4" s="586"/>
      <c r="I4" s="586"/>
      <c r="J4" s="586"/>
      <c r="K4" s="586"/>
      <c r="L4" s="586"/>
      <c r="M4" s="586"/>
      <c r="N4" s="586"/>
      <c r="O4" s="586"/>
      <c r="P4" s="586"/>
      <c r="Q4" s="586"/>
      <c r="R4" s="586"/>
      <c r="S4" s="586"/>
      <c r="T4" s="586"/>
      <c r="U4" s="587"/>
      <c r="V4" s="587"/>
      <c r="W4" s="587"/>
      <c r="X4" s="587"/>
      <c r="Y4" s="587"/>
      <c r="Z4" s="587"/>
      <c r="AA4" s="587"/>
    </row>
    <row r="7" spans="1:27">
      <c r="A7" s="586" t="s">
        <v>66</v>
      </c>
      <c r="B7" s="589" t="s">
        <v>12</v>
      </c>
      <c r="C7" s="590" t="s">
        <v>198</v>
      </c>
      <c r="D7" s="589" t="s">
        <v>198</v>
      </c>
      <c r="E7" s="590"/>
      <c r="F7" s="589"/>
      <c r="G7" s="590" t="s">
        <v>1</v>
      </c>
      <c r="H7" s="591"/>
      <c r="I7" s="591"/>
      <c r="J7" s="592"/>
      <c r="K7" s="593"/>
      <c r="L7" s="593"/>
      <c r="M7" s="593"/>
      <c r="N7" s="593"/>
      <c r="O7" s="592"/>
      <c r="P7" s="591"/>
      <c r="Q7" s="591"/>
      <c r="R7" s="591"/>
      <c r="S7" s="591"/>
    </row>
    <row r="8" spans="1:27">
      <c r="A8" s="588" t="s">
        <v>17</v>
      </c>
      <c r="B8" s="589" t="s">
        <v>16</v>
      </c>
      <c r="C8" s="590" t="s">
        <v>199</v>
      </c>
      <c r="D8" s="589" t="s">
        <v>200</v>
      </c>
      <c r="E8" s="590" t="s">
        <v>199</v>
      </c>
      <c r="F8" s="589" t="s">
        <v>200</v>
      </c>
      <c r="G8" s="590" t="s">
        <v>26</v>
      </c>
      <c r="H8" s="592"/>
      <c r="K8" s="591" t="s">
        <v>201</v>
      </c>
      <c r="L8" s="591"/>
      <c r="M8" s="594"/>
      <c r="N8" s="594"/>
      <c r="O8" s="594"/>
      <c r="P8" s="595"/>
      <c r="Q8" s="592"/>
      <c r="R8" s="592"/>
      <c r="S8" s="592"/>
      <c r="T8" s="592"/>
      <c r="U8" s="592"/>
    </row>
    <row r="9" spans="1:27">
      <c r="A9" s="589" t="s">
        <v>24</v>
      </c>
      <c r="B9" s="596" t="s">
        <v>23</v>
      </c>
      <c r="C9" s="597" t="s">
        <v>23</v>
      </c>
      <c r="D9" s="596" t="s">
        <v>23</v>
      </c>
      <c r="E9" s="590" t="s">
        <v>38</v>
      </c>
      <c r="F9" s="595" t="s">
        <v>38</v>
      </c>
      <c r="G9" s="598" t="s">
        <v>191</v>
      </c>
      <c r="H9" s="592"/>
      <c r="I9" s="635"/>
      <c r="K9" s="776" t="s">
        <v>895</v>
      </c>
      <c r="L9" s="776"/>
      <c r="M9" s="592"/>
      <c r="N9" s="592"/>
      <c r="O9" s="592"/>
      <c r="P9" s="592"/>
      <c r="Q9" s="592"/>
    </row>
    <row r="10" spans="1:27">
      <c r="A10" s="599">
        <v>43282</v>
      </c>
      <c r="B10" s="600">
        <f>'Temp. Adjustments'!C5</f>
        <v>-5916.8851836873955</v>
      </c>
      <c r="C10" s="601">
        <f>$B10*$L$10/$L$12</f>
        <v>-2598.5557914344913</v>
      </c>
      <c r="D10" s="600">
        <f t="shared" ref="D10:D21" si="0">$B10*$L$11/$L$12</f>
        <v>-3318.3293922529042</v>
      </c>
      <c r="E10" s="763">
        <v>6.7169999999999994E-2</v>
      </c>
      <c r="F10" s="764">
        <v>0.10613</v>
      </c>
      <c r="G10" s="614">
        <f>ROUND((C10*E10+D10*F10)*1000,2)/1000</f>
        <v>-526.71929</v>
      </c>
      <c r="H10" s="592"/>
      <c r="I10" s="603"/>
      <c r="K10" s="777" t="s">
        <v>202</v>
      </c>
      <c r="L10" s="778">
        <v>663544356.77416396</v>
      </c>
      <c r="M10" s="592"/>
      <c r="N10" s="592"/>
      <c r="O10" s="604"/>
      <c r="P10" s="592"/>
      <c r="Q10" s="592"/>
    </row>
    <row r="11" spans="1:27">
      <c r="A11" s="599">
        <v>43313</v>
      </c>
      <c r="B11" s="600">
        <f>'Temp. Adjustments'!C6</f>
        <v>650.27333192590424</v>
      </c>
      <c r="C11" s="601">
        <f t="shared" ref="C11:C21" si="1">$B11*$L$10/$L$12</f>
        <v>285.58464128222249</v>
      </c>
      <c r="D11" s="600">
        <f t="shared" si="0"/>
        <v>364.68869064368175</v>
      </c>
      <c r="E11" s="765">
        <v>6.7169999999999994E-2</v>
      </c>
      <c r="F11" s="766">
        <v>0.10613</v>
      </c>
      <c r="G11" s="614">
        <f t="shared" ref="G11:G21" si="2">ROUND((C11*E11+D11*F11)*1000,2)/1000</f>
        <v>57.887129999999999</v>
      </c>
      <c r="H11" s="592"/>
      <c r="I11" s="603"/>
      <c r="K11" s="779" t="s">
        <v>203</v>
      </c>
      <c r="L11" s="605">
        <f>L12-L10</f>
        <v>847339414.22583604</v>
      </c>
      <c r="M11" s="592"/>
      <c r="N11" s="592"/>
      <c r="O11" s="604"/>
      <c r="P11" s="592"/>
      <c r="Q11" s="592"/>
    </row>
    <row r="12" spans="1:27">
      <c r="A12" s="599">
        <v>43344</v>
      </c>
      <c r="B12" s="600">
        <f>'Temp. Adjustments'!C7</f>
        <v>2754.91449611913</v>
      </c>
      <c r="C12" s="601">
        <f>$B12*$L$10/$L$12</f>
        <v>1209.8931780075281</v>
      </c>
      <c r="D12" s="600">
        <f t="shared" si="0"/>
        <v>1545.0213181116019</v>
      </c>
      <c r="E12" s="765">
        <v>6.7169999999999994E-2</v>
      </c>
      <c r="F12" s="766">
        <v>0.10613</v>
      </c>
      <c r="G12" s="614">
        <f t="shared" si="2"/>
        <v>245.24164000000002</v>
      </c>
      <c r="H12" s="592"/>
      <c r="I12" s="603"/>
      <c r="K12" s="606" t="s">
        <v>9</v>
      </c>
      <c r="L12" s="600">
        <v>1510883771</v>
      </c>
      <c r="M12" s="592"/>
      <c r="N12" s="592"/>
      <c r="O12" s="604"/>
      <c r="P12" s="592"/>
      <c r="Q12" s="592"/>
    </row>
    <row r="13" spans="1:27">
      <c r="A13" s="599">
        <v>43374</v>
      </c>
      <c r="B13" s="600">
        <f>'Temp. Adjustments'!C8</f>
        <v>-1212.7643976792206</v>
      </c>
      <c r="C13" s="601">
        <f t="shared" si="1"/>
        <v>-532.61739097511611</v>
      </c>
      <c r="D13" s="600">
        <f t="shared" si="0"/>
        <v>-680.14700670410446</v>
      </c>
      <c r="E13" s="765">
        <v>6.7169999999999994E-2</v>
      </c>
      <c r="F13" s="766">
        <v>0.10613</v>
      </c>
      <c r="G13" s="614">
        <f t="shared" si="2"/>
        <v>-107.95991000000001</v>
      </c>
      <c r="H13" s="592"/>
      <c r="I13" s="607"/>
      <c r="J13" s="600"/>
      <c r="K13" s="594"/>
      <c r="L13" s="600"/>
      <c r="M13" s="592"/>
      <c r="N13" s="592"/>
      <c r="O13" s="604"/>
      <c r="P13" s="592"/>
      <c r="Q13" s="592"/>
    </row>
    <row r="14" spans="1:27">
      <c r="A14" s="599">
        <v>43405</v>
      </c>
      <c r="B14" s="600">
        <f>'Temp. Adjustments'!C9</f>
        <v>-5757.9586088567057</v>
      </c>
      <c r="C14" s="601">
        <f t="shared" si="1"/>
        <v>-2528.7590050142135</v>
      </c>
      <c r="D14" s="600">
        <f t="shared" si="0"/>
        <v>-3229.1996038424923</v>
      </c>
      <c r="E14" s="765">
        <v>6.7169999999999994E-2</v>
      </c>
      <c r="F14" s="766">
        <v>0.10613</v>
      </c>
      <c r="G14" s="614">
        <f t="shared" si="2"/>
        <v>-512.57169999999996</v>
      </c>
      <c r="H14" s="592"/>
      <c r="I14" s="599"/>
      <c r="J14" s="600"/>
      <c r="K14" s="594"/>
      <c r="L14" s="600"/>
      <c r="M14" s="592"/>
      <c r="N14" s="592"/>
      <c r="O14" s="604"/>
      <c r="P14" s="592"/>
      <c r="Q14" s="592"/>
    </row>
    <row r="15" spans="1:27">
      <c r="A15" s="599">
        <v>43435</v>
      </c>
      <c r="B15" s="600">
        <f>'Temp. Adjustments'!C10</f>
        <v>22284.833693557586</v>
      </c>
      <c r="C15" s="601">
        <f t="shared" si="1"/>
        <v>9786.970991967115</v>
      </c>
      <c r="D15" s="600">
        <f t="shared" si="0"/>
        <v>12497.862701590471</v>
      </c>
      <c r="E15" s="765">
        <v>6.7169999999999994E-2</v>
      </c>
      <c r="F15" s="766">
        <v>0.10613</v>
      </c>
      <c r="G15" s="614">
        <f>ROUND((C15*E15+D15*F15)*1000,2)/1000</f>
        <v>1983.78901</v>
      </c>
      <c r="H15" s="592"/>
      <c r="I15" s="599"/>
      <c r="J15" s="600"/>
      <c r="K15" s="594"/>
      <c r="L15" s="600"/>
      <c r="M15" s="592"/>
      <c r="N15" s="592"/>
      <c r="O15" s="604"/>
      <c r="P15" s="592"/>
      <c r="Q15" s="592"/>
    </row>
    <row r="16" spans="1:27">
      <c r="A16" s="599">
        <v>43466</v>
      </c>
      <c r="B16" s="600">
        <f>'Temp. Adjustments'!C11</f>
        <v>8645.4179790129674</v>
      </c>
      <c r="C16" s="601">
        <f t="shared" si="1"/>
        <v>3796.8627514815976</v>
      </c>
      <c r="D16" s="600">
        <f t="shared" si="0"/>
        <v>4848.5552275313703</v>
      </c>
      <c r="E16" s="765">
        <v>6.7169999999999994E-2</v>
      </c>
      <c r="F16" s="766">
        <v>0.10613</v>
      </c>
      <c r="G16" s="614">
        <f>ROUND((C16*E16+D16*F16)*1000,2)/1000</f>
        <v>769.61243999999999</v>
      </c>
      <c r="H16" s="599"/>
      <c r="I16" s="599"/>
      <c r="J16" s="600"/>
      <c r="K16" s="594"/>
      <c r="L16" s="594"/>
      <c r="M16" s="592"/>
      <c r="N16" s="592"/>
      <c r="O16" s="604"/>
      <c r="P16" s="592"/>
      <c r="Q16" s="592"/>
    </row>
    <row r="17" spans="1:22">
      <c r="A17" s="599">
        <v>43497</v>
      </c>
      <c r="B17" s="600">
        <f>'Temp. Adjustments'!C12</f>
        <v>-50976.99417954059</v>
      </c>
      <c r="C17" s="601">
        <f t="shared" si="1"/>
        <v>-22387.888110516717</v>
      </c>
      <c r="D17" s="600">
        <f t="shared" si="0"/>
        <v>-28589.10606902387</v>
      </c>
      <c r="E17" s="765">
        <v>6.7169999999999994E-2</v>
      </c>
      <c r="F17" s="766">
        <v>0.10613</v>
      </c>
      <c r="G17" s="614">
        <f t="shared" si="2"/>
        <v>-4537.9562699999997</v>
      </c>
      <c r="H17" s="592" t="s">
        <v>31</v>
      </c>
      <c r="I17" s="599"/>
      <c r="J17" s="600"/>
      <c r="K17" s="594"/>
      <c r="L17" s="594"/>
      <c r="M17" s="592"/>
      <c r="N17" s="592"/>
      <c r="O17" s="604"/>
      <c r="P17" s="592"/>
      <c r="Q17" s="592"/>
    </row>
    <row r="18" spans="1:22">
      <c r="A18" s="599">
        <v>43525</v>
      </c>
      <c r="B18" s="600">
        <f>'Temp. Adjustments'!C13</f>
        <v>-34066.043198493178</v>
      </c>
      <c r="C18" s="601">
        <f t="shared" si="1"/>
        <v>-14960.999089310517</v>
      </c>
      <c r="D18" s="600">
        <f t="shared" si="0"/>
        <v>-19105.044109182661</v>
      </c>
      <c r="E18" s="765">
        <v>6.7169999999999994E-2</v>
      </c>
      <c r="F18" s="766">
        <v>0.10613</v>
      </c>
      <c r="G18" s="614">
        <f t="shared" si="2"/>
        <v>-3032.54864</v>
      </c>
      <c r="H18" s="592"/>
      <c r="I18" s="599"/>
      <c r="J18" s="600"/>
      <c r="K18" s="594"/>
      <c r="L18" s="594"/>
      <c r="M18" s="592"/>
      <c r="N18" s="592"/>
      <c r="O18" s="604"/>
      <c r="P18" s="592"/>
      <c r="Q18" s="592"/>
    </row>
    <row r="19" spans="1:22">
      <c r="A19" s="599">
        <v>43556</v>
      </c>
      <c r="B19" s="600">
        <f>'Temp. Adjustments'!C14</f>
        <v>6877.102210604151</v>
      </c>
      <c r="C19" s="601">
        <f t="shared" si="1"/>
        <v>3020.2603604546312</v>
      </c>
      <c r="D19" s="600">
        <f t="shared" si="0"/>
        <v>3856.8418501495198</v>
      </c>
      <c r="E19" s="765">
        <v>6.7169999999999994E-2</v>
      </c>
      <c r="F19" s="766">
        <v>0.10613</v>
      </c>
      <c r="G19" s="614">
        <f t="shared" si="2"/>
        <v>612.19750999999997</v>
      </c>
      <c r="H19" s="599"/>
      <c r="I19" s="599"/>
      <c r="J19" s="600"/>
      <c r="K19" s="594"/>
      <c r="L19" s="594"/>
      <c r="M19" s="592"/>
      <c r="N19" s="592"/>
      <c r="O19" s="604"/>
      <c r="P19" s="592"/>
      <c r="Q19" s="592"/>
    </row>
    <row r="20" spans="1:22">
      <c r="A20" s="599">
        <v>43586</v>
      </c>
      <c r="B20" s="600">
        <f>'Temp. Adjustments'!C15</f>
        <v>1878.1056123750395</v>
      </c>
      <c r="C20" s="601">
        <f t="shared" si="1"/>
        <v>824.81948938568814</v>
      </c>
      <c r="D20" s="600">
        <f t="shared" si="0"/>
        <v>1053.2861229893515</v>
      </c>
      <c r="E20" s="765">
        <v>6.7169999999999994E-2</v>
      </c>
      <c r="F20" s="766">
        <v>0.10613</v>
      </c>
      <c r="G20" s="614">
        <f t="shared" si="2"/>
        <v>167.18838</v>
      </c>
      <c r="H20" s="599"/>
      <c r="I20" s="603"/>
      <c r="J20" s="600"/>
      <c r="K20" s="594"/>
      <c r="L20" s="594"/>
      <c r="M20" s="592"/>
      <c r="N20" s="592"/>
      <c r="O20" s="604"/>
      <c r="P20" s="592"/>
      <c r="Q20" s="592"/>
    </row>
    <row r="21" spans="1:22">
      <c r="A21" s="599">
        <v>43617</v>
      </c>
      <c r="B21" s="626">
        <f>'Temp. Adjustments'!C16</f>
        <v>-1551.6376791642754</v>
      </c>
      <c r="C21" s="610">
        <f t="shared" si="1"/>
        <v>-681.44250770936083</v>
      </c>
      <c r="D21" s="609">
        <f t="shared" si="0"/>
        <v>-870.19517145491443</v>
      </c>
      <c r="E21" s="767">
        <v>6.7169999999999994E-2</v>
      </c>
      <c r="F21" s="768">
        <v>0.10613</v>
      </c>
      <c r="G21" s="732">
        <f t="shared" si="2"/>
        <v>-138.12630999999999</v>
      </c>
      <c r="H21" s="592"/>
      <c r="I21" s="603"/>
      <c r="J21" s="600"/>
      <c r="K21" s="594"/>
      <c r="L21" s="594"/>
      <c r="M21" s="592"/>
      <c r="N21" s="592"/>
      <c r="O21" s="592"/>
      <c r="P21" s="592"/>
      <c r="Q21" s="592"/>
    </row>
    <row r="22" spans="1:22">
      <c r="A22" s="592" t="s">
        <v>9</v>
      </c>
      <c r="B22" s="604">
        <f>SUM(B10:B21)</f>
        <v>-56391.635923826587</v>
      </c>
      <c r="C22" s="601">
        <f>SUM(C10:C21)</f>
        <v>-24765.870482381633</v>
      </c>
      <c r="D22" s="604">
        <f>SUM(D10:D21)</f>
        <v>-31625.76544144495</v>
      </c>
      <c r="E22" s="612" t="s">
        <v>31</v>
      </c>
      <c r="F22" s="588" t="s">
        <v>31</v>
      </c>
      <c r="G22" s="783">
        <f>SUM(G10:G21)</f>
        <v>-5019.9660100000001</v>
      </c>
      <c r="H22" s="614"/>
      <c r="I22" s="594"/>
      <c r="J22" s="600"/>
      <c r="K22" s="594"/>
      <c r="L22" s="615"/>
      <c r="M22" s="592"/>
      <c r="N22" s="592"/>
      <c r="O22" s="604"/>
      <c r="P22" s="592"/>
      <c r="Q22" s="616"/>
    </row>
    <row r="23" spans="1:22">
      <c r="A23" s="592"/>
      <c r="B23" s="604"/>
      <c r="C23" s="604"/>
      <c r="D23" s="604"/>
      <c r="E23" s="604"/>
      <c r="F23" s="604"/>
      <c r="G23" s="604"/>
      <c r="H23" s="604"/>
      <c r="I23" s="604"/>
      <c r="J23" s="604"/>
      <c r="L23" s="617"/>
      <c r="M23" s="592"/>
      <c r="N23" s="594"/>
      <c r="O23" s="600"/>
      <c r="P23" s="594"/>
      <c r="Q23" s="615"/>
      <c r="R23" s="592"/>
      <c r="S23" s="592"/>
      <c r="T23" s="604"/>
      <c r="U23" s="592"/>
      <c r="V23" s="616"/>
    </row>
    <row r="25" spans="1:22">
      <c r="A25" s="586" t="s">
        <v>694</v>
      </c>
      <c r="B25" s="589" t="s">
        <v>12</v>
      </c>
      <c r="C25" s="590" t="s">
        <v>198</v>
      </c>
      <c r="D25" s="589" t="s">
        <v>198</v>
      </c>
      <c r="E25" s="590"/>
      <c r="F25" s="589"/>
      <c r="G25" s="590" t="s">
        <v>1</v>
      </c>
      <c r="H25" s="591"/>
      <c r="I25" s="591"/>
      <c r="J25" s="592"/>
      <c r="K25" s="593"/>
      <c r="L25" s="593"/>
      <c r="M25" s="593"/>
      <c r="N25" s="593"/>
      <c r="O25" s="592"/>
      <c r="P25" s="591"/>
      <c r="Q25" s="591"/>
      <c r="R25" s="591"/>
      <c r="S25" s="591"/>
    </row>
    <row r="26" spans="1:22">
      <c r="A26" s="588" t="s">
        <v>17</v>
      </c>
      <c r="B26" s="589" t="s">
        <v>16</v>
      </c>
      <c r="C26" s="590" t="s">
        <v>199</v>
      </c>
      <c r="D26" s="589" t="s">
        <v>200</v>
      </c>
      <c r="E26" s="590" t="s">
        <v>199</v>
      </c>
      <c r="F26" s="589" t="s">
        <v>200</v>
      </c>
      <c r="G26" s="590" t="s">
        <v>26</v>
      </c>
      <c r="H26" s="592"/>
      <c r="K26" s="591" t="s">
        <v>201</v>
      </c>
      <c r="L26" s="591"/>
      <c r="M26" s="594"/>
      <c r="N26" s="594"/>
      <c r="O26" s="594"/>
      <c r="P26" s="595"/>
      <c r="Q26" s="592"/>
      <c r="R26" s="592"/>
      <c r="S26" s="592"/>
      <c r="T26" s="592"/>
      <c r="U26" s="592"/>
    </row>
    <row r="27" spans="1:22">
      <c r="A27" s="589" t="s">
        <v>24</v>
      </c>
      <c r="B27" s="596" t="s">
        <v>23</v>
      </c>
      <c r="C27" s="597" t="s">
        <v>23</v>
      </c>
      <c r="D27" s="596" t="s">
        <v>23</v>
      </c>
      <c r="E27" s="597" t="s">
        <v>38</v>
      </c>
      <c r="F27" s="596" t="s">
        <v>38</v>
      </c>
      <c r="G27" s="598" t="s">
        <v>191</v>
      </c>
      <c r="H27" s="592" t="s">
        <v>31</v>
      </c>
      <c r="K27" s="776" t="str">
        <f>K9</f>
        <v>June 19 Blocking</v>
      </c>
      <c r="L27" s="776"/>
      <c r="M27" s="592"/>
      <c r="N27" s="592"/>
      <c r="O27" s="592"/>
      <c r="P27" s="592"/>
      <c r="Q27" s="592"/>
    </row>
    <row r="28" spans="1:22">
      <c r="A28" s="599">
        <f>$A$10</f>
        <v>43282</v>
      </c>
      <c r="B28" s="600">
        <f>'Temp. Adjustments'!D5</f>
        <v>-228.32358922888247</v>
      </c>
      <c r="C28" s="601">
        <f>$B28*$L$28/$L$30</f>
        <v>-97.507656968663966</v>
      </c>
      <c r="D28" s="600">
        <f>$B28*$L$29/$L$30</f>
        <v>-130.81593226021852</v>
      </c>
      <c r="E28" s="763">
        <v>6.7169999999999994E-2</v>
      </c>
      <c r="F28" s="764">
        <v>0.10613</v>
      </c>
      <c r="G28" s="602">
        <f t="shared" ref="G28:G34" si="3">ROUND((C28*E28+D28*F28)*1000,2)/1000</f>
        <v>-20.43308</v>
      </c>
      <c r="H28" s="592"/>
      <c r="I28" s="603"/>
      <c r="K28" s="777" t="s">
        <v>202</v>
      </c>
      <c r="L28" s="778">
        <v>34008512</v>
      </c>
      <c r="M28" s="592"/>
      <c r="N28" s="592"/>
      <c r="O28" s="604"/>
      <c r="P28" s="592"/>
      <c r="Q28" s="592"/>
    </row>
    <row r="29" spans="1:22">
      <c r="A29" s="599">
        <f>$A$11</f>
        <v>43313</v>
      </c>
      <c r="B29" s="600">
        <f>'Temp. Adjustments'!D6</f>
        <v>23.969361147138191</v>
      </c>
      <c r="C29" s="601">
        <f t="shared" ref="C29:C39" si="4">$B29*$L$28/$L$30</f>
        <v>10.236332795864799</v>
      </c>
      <c r="D29" s="600">
        <f t="shared" ref="D29:D39" si="5">$B29*$L$29/$L$30</f>
        <v>13.733028351273393</v>
      </c>
      <c r="E29" s="765">
        <v>6.7169999999999994E-2</v>
      </c>
      <c r="F29" s="766">
        <v>0.10613</v>
      </c>
      <c r="G29" s="602">
        <f t="shared" si="3"/>
        <v>2.14506</v>
      </c>
      <c r="H29" s="592"/>
      <c r="I29" s="603"/>
      <c r="K29" s="779" t="s">
        <v>203</v>
      </c>
      <c r="L29" s="605">
        <f>L30-L28</f>
        <v>45625701</v>
      </c>
      <c r="M29" s="592"/>
      <c r="N29" s="592"/>
      <c r="O29" s="604"/>
      <c r="P29" s="592"/>
      <c r="Q29" s="592"/>
    </row>
    <row r="30" spans="1:22">
      <c r="A30" s="599">
        <f>$A$12</f>
        <v>43344</v>
      </c>
      <c r="B30" s="600">
        <f>'Temp. Adjustments'!D7</f>
        <v>106.78842978419114</v>
      </c>
      <c r="C30" s="601">
        <f t="shared" si="4"/>
        <v>45.604966244556493</v>
      </c>
      <c r="D30" s="600">
        <f t="shared" si="5"/>
        <v>61.183463539634644</v>
      </c>
      <c r="E30" s="765">
        <v>6.7169999999999994E-2</v>
      </c>
      <c r="F30" s="766">
        <v>0.10613</v>
      </c>
      <c r="G30" s="602">
        <f t="shared" si="3"/>
        <v>9.5566899999999997</v>
      </c>
      <c r="H30" s="592"/>
      <c r="I30" s="603"/>
      <c r="K30" s="606" t="s">
        <v>9</v>
      </c>
      <c r="L30" s="600">
        <v>79634213</v>
      </c>
      <c r="M30" s="592"/>
      <c r="N30" s="592"/>
      <c r="O30" s="604"/>
      <c r="P30" s="592"/>
      <c r="Q30" s="592"/>
    </row>
    <row r="31" spans="1:22">
      <c r="A31" s="599">
        <f>$A$13</f>
        <v>43374</v>
      </c>
      <c r="B31" s="600">
        <f>'Temp. Adjustments'!D8</f>
        <v>-56.757463050247324</v>
      </c>
      <c r="C31" s="601">
        <f t="shared" si="4"/>
        <v>-24.238788713010734</v>
      </c>
      <c r="D31" s="600">
        <f t="shared" si="5"/>
        <v>-32.51867433723659</v>
      </c>
      <c r="E31" s="765">
        <v>6.7169999999999994E-2</v>
      </c>
      <c r="F31" s="766">
        <v>0.10613</v>
      </c>
      <c r="G31" s="602">
        <f t="shared" si="3"/>
        <v>-5.0793299999999997</v>
      </c>
      <c r="H31" s="592"/>
      <c r="I31" s="607"/>
      <c r="J31" s="600"/>
      <c r="K31" s="594"/>
      <c r="L31" s="600"/>
      <c r="M31" s="592"/>
      <c r="N31" s="592"/>
      <c r="O31" s="604"/>
      <c r="P31" s="592"/>
      <c r="Q31" s="592"/>
    </row>
    <row r="32" spans="1:22">
      <c r="A32" s="599">
        <f>$A$14</f>
        <v>43405</v>
      </c>
      <c r="B32" s="600">
        <f>'Temp. Adjustments'!D9</f>
        <v>-307.19102152479473</v>
      </c>
      <c r="C32" s="601">
        <f t="shared" si="4"/>
        <v>-131.18870832337151</v>
      </c>
      <c r="D32" s="600">
        <f t="shared" si="5"/>
        <v>-176.00231320142322</v>
      </c>
      <c r="E32" s="765">
        <v>6.7169999999999994E-2</v>
      </c>
      <c r="F32" s="766">
        <v>0.10613</v>
      </c>
      <c r="G32" s="602">
        <f t="shared" si="3"/>
        <v>-27.491070000000001</v>
      </c>
      <c r="H32" s="592"/>
      <c r="I32" s="603"/>
      <c r="J32" s="600"/>
      <c r="K32" s="594"/>
      <c r="L32" s="600"/>
      <c r="M32" s="592"/>
      <c r="N32" s="592"/>
      <c r="O32" s="604"/>
      <c r="P32" s="592"/>
      <c r="Q32" s="592"/>
    </row>
    <row r="33" spans="1:21">
      <c r="A33" s="599">
        <f>$A$15</f>
        <v>43435</v>
      </c>
      <c r="B33" s="600">
        <f>'Temp. Adjustments'!D10</f>
        <v>1271.8865606757847</v>
      </c>
      <c r="C33" s="601">
        <f t="shared" si="4"/>
        <v>543.17067667110803</v>
      </c>
      <c r="D33" s="600">
        <f t="shared" si="5"/>
        <v>728.7158840046767</v>
      </c>
      <c r="E33" s="765">
        <v>6.7169999999999994E-2</v>
      </c>
      <c r="F33" s="766">
        <v>0.10613</v>
      </c>
      <c r="G33" s="608">
        <f t="shared" si="3"/>
        <v>113.82339</v>
      </c>
      <c r="H33" s="592"/>
      <c r="I33" s="603"/>
      <c r="J33" s="600"/>
      <c r="K33" s="594"/>
      <c r="L33" s="600"/>
      <c r="M33" s="592"/>
      <c r="N33" s="592"/>
      <c r="O33" s="604"/>
      <c r="P33" s="592"/>
      <c r="Q33" s="592"/>
    </row>
    <row r="34" spans="1:21">
      <c r="A34" s="599">
        <f>$A$16</f>
        <v>43466</v>
      </c>
      <c r="B34" s="600">
        <f>'Temp. Adjustments'!D11</f>
        <v>521.1558456376282</v>
      </c>
      <c r="C34" s="601">
        <f t="shared" si="4"/>
        <v>222.56432458543199</v>
      </c>
      <c r="D34" s="600">
        <f t="shared" si="5"/>
        <v>298.59152105219624</v>
      </c>
      <c r="E34" s="765">
        <v>6.7169999999999994E-2</v>
      </c>
      <c r="F34" s="766">
        <v>0.10613</v>
      </c>
      <c r="G34" s="602">
        <f t="shared" si="3"/>
        <v>46.639160000000004</v>
      </c>
      <c r="H34" s="599"/>
      <c r="I34" s="603"/>
      <c r="J34" s="600"/>
      <c r="K34" s="594"/>
      <c r="L34" s="594"/>
      <c r="M34" s="592"/>
      <c r="N34" s="592"/>
      <c r="O34" s="604"/>
      <c r="P34" s="592"/>
      <c r="Q34" s="592"/>
    </row>
    <row r="35" spans="1:21">
      <c r="A35" s="599">
        <f>$A$17</f>
        <v>43497</v>
      </c>
      <c r="B35" s="600">
        <f>'Temp. Adjustments'!D12</f>
        <v>-3293.6876909134367</v>
      </c>
      <c r="C35" s="601">
        <f t="shared" si="4"/>
        <v>-1406.5991631094778</v>
      </c>
      <c r="D35" s="600">
        <f t="shared" si="5"/>
        <v>-1887.0885278039589</v>
      </c>
      <c r="E35" s="765">
        <v>6.7169999999999994E-2</v>
      </c>
      <c r="F35" s="766">
        <v>0.10613</v>
      </c>
      <c r="G35" s="602">
        <f>ROUND((C35*E35+D35*F35)*1000,2)/1000</f>
        <v>-294.75797</v>
      </c>
      <c r="H35" s="592"/>
      <c r="I35" s="603"/>
      <c r="J35" s="600"/>
      <c r="K35" s="594"/>
      <c r="L35" s="594"/>
      <c r="M35" s="592"/>
      <c r="N35" s="592"/>
      <c r="O35" s="604"/>
      <c r="P35" s="592"/>
      <c r="Q35" s="592"/>
    </row>
    <row r="36" spans="1:21">
      <c r="A36" s="599">
        <f>$A$18</f>
        <v>43525</v>
      </c>
      <c r="B36" s="600">
        <f>'Temp. Adjustments'!D13</f>
        <v>-1987.101215273743</v>
      </c>
      <c r="C36" s="601">
        <f t="shared" si="4"/>
        <v>-848.60957343612699</v>
      </c>
      <c r="D36" s="600">
        <f t="shared" si="5"/>
        <v>-1138.4916418376163</v>
      </c>
      <c r="E36" s="765">
        <v>6.7169999999999994E-2</v>
      </c>
      <c r="F36" s="766">
        <v>0.10613</v>
      </c>
      <c r="G36" s="602">
        <f>ROUND((C36*E36+D36*F36)*1000,2)/1000</f>
        <v>-177.82921999999999</v>
      </c>
      <c r="H36" s="592"/>
      <c r="I36" s="603"/>
      <c r="J36" s="600"/>
      <c r="K36" s="594"/>
      <c r="L36" s="594"/>
      <c r="M36" s="592"/>
      <c r="N36" s="592"/>
      <c r="O36" s="604"/>
      <c r="P36" s="592"/>
      <c r="Q36" s="592"/>
    </row>
    <row r="37" spans="1:21">
      <c r="A37" s="599">
        <f>$A$19</f>
        <v>43556</v>
      </c>
      <c r="B37" s="600">
        <f>'Temp. Adjustments'!D14</f>
        <v>380.98597093047238</v>
      </c>
      <c r="C37" s="601">
        <f t="shared" si="4"/>
        <v>162.70350991251237</v>
      </c>
      <c r="D37" s="600">
        <f t="shared" si="5"/>
        <v>218.28246101796</v>
      </c>
      <c r="E37" s="765">
        <v>6.7169999999999994E-2</v>
      </c>
      <c r="F37" s="766">
        <v>0.10613</v>
      </c>
      <c r="G37" s="602">
        <f>ROUND((C37*E37+D37*F37)*1000,2)/1000</f>
        <v>34.095109999999998</v>
      </c>
      <c r="H37" s="599"/>
      <c r="I37" s="603"/>
      <c r="J37" s="600"/>
      <c r="K37" s="594"/>
      <c r="L37" s="594"/>
      <c r="M37" s="592"/>
      <c r="N37" s="592"/>
      <c r="O37" s="604"/>
      <c r="P37" s="592"/>
      <c r="Q37" s="592"/>
    </row>
    <row r="38" spans="1:21">
      <c r="A38" s="599">
        <f>$A$20</f>
        <v>43586</v>
      </c>
      <c r="B38" s="600">
        <f>'Temp. Adjustments'!D15</f>
        <v>94.657565509963405</v>
      </c>
      <c r="C38" s="601">
        <f t="shared" si="4"/>
        <v>40.424370773104478</v>
      </c>
      <c r="D38" s="600">
        <f t="shared" si="5"/>
        <v>54.233194736858927</v>
      </c>
      <c r="E38" s="765">
        <v>6.7169999999999994E-2</v>
      </c>
      <c r="F38" s="766">
        <v>0.10613</v>
      </c>
      <c r="G38" s="602">
        <f>ROUND((C38*E38+D38*F38)*1000,2)/1000</f>
        <v>8.4710699999999992</v>
      </c>
      <c r="H38" s="599"/>
      <c r="I38" s="603"/>
      <c r="J38" s="600"/>
      <c r="K38" s="594"/>
      <c r="L38" s="594"/>
      <c r="M38" s="592"/>
      <c r="N38" s="592"/>
      <c r="O38" s="604"/>
      <c r="P38" s="592"/>
      <c r="Q38" s="592"/>
    </row>
    <row r="39" spans="1:21">
      <c r="A39" s="599">
        <f>$A$21</f>
        <v>43617</v>
      </c>
      <c r="B39" s="626">
        <f>'Temp. Adjustments'!D16</f>
        <v>-71.159248992110179</v>
      </c>
      <c r="C39" s="610">
        <f t="shared" si="4"/>
        <v>-30.389201852966973</v>
      </c>
      <c r="D39" s="618">
        <f t="shared" si="5"/>
        <v>-40.770047139143202</v>
      </c>
      <c r="E39" s="767">
        <v>6.7169999999999994E-2</v>
      </c>
      <c r="F39" s="768">
        <v>0.10613</v>
      </c>
      <c r="G39" s="611">
        <f>ROUND((C39*E39+D39*F39)*1000,2)/1000</f>
        <v>-6.3681700000000001</v>
      </c>
      <c r="H39" s="592"/>
      <c r="I39" s="603"/>
      <c r="J39" s="600"/>
      <c r="K39" s="594"/>
      <c r="L39" s="594"/>
      <c r="M39" s="592"/>
      <c r="N39" s="592"/>
      <c r="O39" s="592"/>
      <c r="P39" s="592"/>
      <c r="Q39" s="592"/>
    </row>
    <row r="40" spans="1:21">
      <c r="A40" s="592" t="s">
        <v>9</v>
      </c>
      <c r="B40" s="604">
        <f>SUM(B28:B39)</f>
        <v>-3544.7764952980369</v>
      </c>
      <c r="C40" s="601">
        <f>SUM(C28:C39)</f>
        <v>-1513.8289114210397</v>
      </c>
      <c r="D40" s="604">
        <f>SUM(D28:D39)</f>
        <v>-2030.9475838769968</v>
      </c>
      <c r="E40" s="612" t="s">
        <v>31</v>
      </c>
      <c r="F40" s="588" t="s">
        <v>31</v>
      </c>
      <c r="G40" s="613">
        <f>SUM(G28:G39)</f>
        <v>-317.22836000000007</v>
      </c>
      <c r="H40" s="614"/>
      <c r="I40" s="594"/>
      <c r="J40" s="600"/>
      <c r="K40" s="594"/>
      <c r="L40" s="615"/>
      <c r="M40" s="592"/>
      <c r="N40" s="592"/>
      <c r="O40" s="604"/>
      <c r="P40" s="592"/>
      <c r="Q40" s="616"/>
    </row>
    <row r="41" spans="1:21">
      <c r="A41" s="592"/>
      <c r="B41" s="604"/>
      <c r="C41" s="601"/>
      <c r="D41" s="604"/>
      <c r="E41" s="612"/>
      <c r="G41" s="613"/>
      <c r="H41" s="614"/>
      <c r="I41" s="594"/>
      <c r="J41" s="600"/>
      <c r="K41" s="594"/>
      <c r="L41" s="615"/>
      <c r="M41" s="592"/>
      <c r="N41" s="592"/>
      <c r="O41" s="604"/>
      <c r="P41" s="592"/>
      <c r="Q41" s="616"/>
    </row>
    <row r="42" spans="1:21">
      <c r="A42" s="592"/>
      <c r="B42" s="604"/>
      <c r="C42" s="601"/>
      <c r="D42" s="604"/>
      <c r="E42" s="612"/>
      <c r="G42" s="613"/>
      <c r="H42" s="614"/>
      <c r="I42" s="594"/>
      <c r="J42" s="600"/>
      <c r="K42" s="594"/>
      <c r="L42" s="615"/>
      <c r="M42" s="592"/>
      <c r="N42" s="592"/>
      <c r="O42" s="604"/>
      <c r="P42" s="592"/>
      <c r="Q42" s="616"/>
    </row>
    <row r="43" spans="1:21">
      <c r="A43" s="586" t="s">
        <v>235</v>
      </c>
      <c r="B43" s="589" t="s">
        <v>12</v>
      </c>
      <c r="C43" s="590" t="s">
        <v>198</v>
      </c>
      <c r="D43" s="589" t="s">
        <v>198</v>
      </c>
      <c r="E43" s="590"/>
      <c r="F43" s="589"/>
      <c r="G43" s="590" t="s">
        <v>1</v>
      </c>
      <c r="H43" s="591"/>
      <c r="I43" s="591"/>
      <c r="J43" s="592"/>
      <c r="K43" s="593"/>
      <c r="L43" s="593"/>
      <c r="M43" s="593"/>
      <c r="N43" s="593"/>
      <c r="O43" s="592"/>
      <c r="P43" s="591"/>
      <c r="Q43" s="591"/>
      <c r="R43" s="591"/>
      <c r="S43" s="591"/>
    </row>
    <row r="44" spans="1:21">
      <c r="A44" s="588" t="s">
        <v>17</v>
      </c>
      <c r="B44" s="589" t="s">
        <v>16</v>
      </c>
      <c r="C44" s="590" t="s">
        <v>199</v>
      </c>
      <c r="D44" s="589" t="s">
        <v>200</v>
      </c>
      <c r="E44" s="590" t="s">
        <v>199</v>
      </c>
      <c r="F44" s="589" t="s">
        <v>200</v>
      </c>
      <c r="G44" s="590" t="s">
        <v>26</v>
      </c>
      <c r="H44" s="592"/>
      <c r="K44" s="591" t="s">
        <v>201</v>
      </c>
      <c r="L44" s="591"/>
      <c r="M44" s="594"/>
      <c r="N44" s="594"/>
      <c r="O44" s="594"/>
      <c r="P44" s="595"/>
      <c r="Q44" s="592"/>
      <c r="R44" s="592"/>
      <c r="S44" s="592"/>
      <c r="T44" s="592"/>
      <c r="U44" s="592"/>
    </row>
    <row r="45" spans="1:21">
      <c r="A45" s="589" t="s">
        <v>24</v>
      </c>
      <c r="B45" s="596" t="s">
        <v>23</v>
      </c>
      <c r="C45" s="597" t="s">
        <v>23</v>
      </c>
      <c r="D45" s="596" t="s">
        <v>23</v>
      </c>
      <c r="E45" s="597" t="s">
        <v>38</v>
      </c>
      <c r="F45" s="596" t="s">
        <v>38</v>
      </c>
      <c r="G45" s="598" t="s">
        <v>191</v>
      </c>
      <c r="H45" s="592"/>
      <c r="K45" s="776" t="str">
        <f>K27</f>
        <v>June 19 Blocking</v>
      </c>
      <c r="L45" s="776"/>
      <c r="M45" s="592"/>
      <c r="N45" s="592"/>
      <c r="O45" s="592"/>
      <c r="P45" s="592"/>
      <c r="Q45" s="592"/>
    </row>
    <row r="46" spans="1:21">
      <c r="A46" s="599">
        <f>$A$10</f>
        <v>43282</v>
      </c>
      <c r="B46" s="600">
        <f>'Temp. Adjustments'!E5</f>
        <v>-11.881252983722208</v>
      </c>
      <c r="C46" s="601">
        <f>$B46*$L$46/$L$48</f>
        <v>-3.0320113848826042</v>
      </c>
      <c r="D46" s="604">
        <f>$B46*$L$47/$L$48</f>
        <v>-8.8492415988396047</v>
      </c>
      <c r="E46" s="763">
        <v>6.7169999999999994E-2</v>
      </c>
      <c r="F46" s="764">
        <v>0.10613</v>
      </c>
      <c r="G46" s="602">
        <f>ROUND((C46*E46+D46*F46)*1000,2)/1000</f>
        <v>-1.14283</v>
      </c>
      <c r="H46" s="592"/>
      <c r="K46" s="777" t="s">
        <v>202</v>
      </c>
      <c r="L46" s="778">
        <v>621477.64516128995</v>
      </c>
      <c r="M46" s="592"/>
      <c r="N46" s="592"/>
      <c r="O46" s="604"/>
      <c r="P46" s="592"/>
      <c r="Q46" s="592"/>
    </row>
    <row r="47" spans="1:21">
      <c r="A47" s="599">
        <f>$A$11</f>
        <v>43313</v>
      </c>
      <c r="B47" s="600">
        <f>'Temp. Adjustments'!E6</f>
        <v>1.128025726957524</v>
      </c>
      <c r="C47" s="601">
        <f t="shared" ref="C47:C57" si="6">$B47*$L$46/$L$48</f>
        <v>0.28786415466967008</v>
      </c>
      <c r="D47" s="604">
        <f t="shared" ref="D47:D57" si="7">$B47*$L$47/$L$48</f>
        <v>0.84016157228785393</v>
      </c>
      <c r="E47" s="765">
        <v>6.7169999999999994E-2</v>
      </c>
      <c r="F47" s="766">
        <v>0.10613</v>
      </c>
      <c r="G47" s="602">
        <f t="shared" ref="G47:G57" si="8">ROUND((C47*E47+D47*F47)*1000,2)/1000</f>
        <v>0.1085</v>
      </c>
      <c r="H47" s="592"/>
      <c r="K47" s="779" t="s">
        <v>203</v>
      </c>
      <c r="L47" s="605">
        <f>L48-L46</f>
        <v>1813847.35483871</v>
      </c>
      <c r="M47" s="592"/>
      <c r="N47" s="592"/>
      <c r="O47" s="604"/>
      <c r="P47" s="592"/>
      <c r="Q47" s="592"/>
    </row>
    <row r="48" spans="1:21">
      <c r="A48" s="599">
        <f>$A$12</f>
        <v>43344</v>
      </c>
      <c r="B48" s="600">
        <f>'Temp. Adjustments'!E7</f>
        <v>5.0557582966790067</v>
      </c>
      <c r="C48" s="601">
        <f t="shared" si="6"/>
        <v>1.2901936130597449</v>
      </c>
      <c r="D48" s="604">
        <f t="shared" si="7"/>
        <v>3.7655646836192616</v>
      </c>
      <c r="E48" s="765">
        <v>6.7169999999999994E-2</v>
      </c>
      <c r="F48" s="766">
        <v>0.10613</v>
      </c>
      <c r="G48" s="602">
        <f t="shared" si="8"/>
        <v>0.48630000000000001</v>
      </c>
      <c r="H48" s="592"/>
      <c r="K48" s="606" t="s">
        <v>9</v>
      </c>
      <c r="L48" s="600">
        <v>2435325</v>
      </c>
      <c r="M48" s="592"/>
      <c r="N48" s="592"/>
      <c r="O48" s="604"/>
      <c r="P48" s="592"/>
      <c r="Q48" s="592"/>
    </row>
    <row r="49" spans="1:35">
      <c r="A49" s="599">
        <f>$A$13</f>
        <v>43374</v>
      </c>
      <c r="B49" s="600">
        <f>'Temp. Adjustments'!E8</f>
        <v>-2.3194202705320821</v>
      </c>
      <c r="C49" s="601">
        <f t="shared" si="6"/>
        <v>-0.59189958131651443</v>
      </c>
      <c r="D49" s="604">
        <f t="shared" si="7"/>
        <v>-1.7275206892155679</v>
      </c>
      <c r="E49" s="765">
        <v>6.7169999999999994E-2</v>
      </c>
      <c r="F49" s="766">
        <v>0.10613</v>
      </c>
      <c r="G49" s="602">
        <f t="shared" si="8"/>
        <v>-0.22309999999999999</v>
      </c>
      <c r="H49" s="592"/>
      <c r="I49" s="606"/>
      <c r="J49" s="600"/>
      <c r="K49" s="594"/>
      <c r="L49" s="594"/>
      <c r="M49" s="592"/>
      <c r="N49" s="592"/>
      <c r="O49" s="604"/>
      <c r="P49" s="592"/>
      <c r="Q49" s="592"/>
    </row>
    <row r="50" spans="1:35">
      <c r="A50" s="599">
        <f>$A$14</f>
        <v>43405</v>
      </c>
      <c r="B50" s="600">
        <f>'Temp. Adjustments'!E9</f>
        <v>-8.1991384184992242</v>
      </c>
      <c r="C50" s="601">
        <f t="shared" si="6"/>
        <v>-2.0923618969461408</v>
      </c>
      <c r="D50" s="604">
        <f t="shared" si="7"/>
        <v>-6.1067765215530834</v>
      </c>
      <c r="E50" s="765">
        <v>6.7169999999999994E-2</v>
      </c>
      <c r="F50" s="766">
        <v>0.10613</v>
      </c>
      <c r="G50" s="602">
        <f t="shared" si="8"/>
        <v>-0.78865999999999992</v>
      </c>
      <c r="H50" s="592"/>
      <c r="I50" s="606"/>
      <c r="J50" s="600"/>
      <c r="K50" s="594"/>
      <c r="L50" s="600"/>
      <c r="M50" s="592"/>
      <c r="N50" s="592"/>
      <c r="O50" s="604"/>
      <c r="P50" s="592"/>
      <c r="Q50" s="592"/>
    </row>
    <row r="51" spans="1:35">
      <c r="A51" s="599">
        <f>$A$15</f>
        <v>43435</v>
      </c>
      <c r="B51" s="600">
        <f>'Temp. Adjustments'!E10</f>
        <v>32.608008566627873</v>
      </c>
      <c r="C51" s="601">
        <f t="shared" si="6"/>
        <v>8.3213322153663523</v>
      </c>
      <c r="D51" s="604">
        <f t="shared" si="7"/>
        <v>24.286676351261523</v>
      </c>
      <c r="E51" s="765">
        <v>6.7169999999999994E-2</v>
      </c>
      <c r="F51" s="766">
        <v>0.10613</v>
      </c>
      <c r="G51" s="602">
        <f t="shared" si="8"/>
        <v>3.1364899999999998</v>
      </c>
      <c r="H51" s="592"/>
      <c r="I51" s="606"/>
      <c r="J51" s="600"/>
      <c r="K51" s="594"/>
      <c r="L51" s="600"/>
      <c r="M51" s="592"/>
      <c r="N51" s="592"/>
      <c r="O51" s="604"/>
      <c r="P51" s="592"/>
      <c r="Q51" s="592"/>
    </row>
    <row r="52" spans="1:35">
      <c r="A52" s="599">
        <f>$A$16</f>
        <v>43466</v>
      </c>
      <c r="B52" s="600">
        <f>'Temp. Adjustments'!E11</f>
        <v>11.864212349404113</v>
      </c>
      <c r="C52" s="601">
        <f t="shared" si="6"/>
        <v>3.0276627360213375</v>
      </c>
      <c r="D52" s="604">
        <f t="shared" si="7"/>
        <v>8.8365496133827754</v>
      </c>
      <c r="E52" s="765">
        <v>6.7169999999999994E-2</v>
      </c>
      <c r="F52" s="766">
        <v>0.10613</v>
      </c>
      <c r="G52" s="602">
        <f t="shared" si="8"/>
        <v>1.1411900000000001</v>
      </c>
      <c r="H52" s="592"/>
      <c r="I52" s="606"/>
      <c r="J52" s="600"/>
      <c r="K52" s="594"/>
      <c r="L52" s="594"/>
      <c r="M52" s="592"/>
      <c r="N52" s="592"/>
      <c r="O52" s="604"/>
      <c r="P52" s="592"/>
      <c r="Q52" s="592"/>
    </row>
    <row r="53" spans="1:35">
      <c r="A53" s="599">
        <f>$A$17</f>
        <v>43497</v>
      </c>
      <c r="B53" s="600">
        <f>'Temp. Adjustments'!E12</f>
        <v>-73.944792245970334</v>
      </c>
      <c r="C53" s="601">
        <f t="shared" si="6"/>
        <v>-18.870185850745365</v>
      </c>
      <c r="D53" s="604">
        <f t="shared" si="7"/>
        <v>-55.074606395224968</v>
      </c>
      <c r="E53" s="765">
        <v>6.7169999999999994E-2</v>
      </c>
      <c r="F53" s="766">
        <v>0.10613</v>
      </c>
      <c r="G53" s="602">
        <f t="shared" si="8"/>
        <v>-7.1125800000000003</v>
      </c>
      <c r="H53" s="592"/>
      <c r="I53" s="606"/>
      <c r="J53" s="600"/>
      <c r="K53" s="594"/>
      <c r="L53" s="594"/>
      <c r="M53" s="592"/>
      <c r="N53" s="592"/>
      <c r="O53" s="604"/>
      <c r="P53" s="592"/>
      <c r="Q53" s="592"/>
    </row>
    <row r="54" spans="1:35">
      <c r="A54" s="599">
        <f>$A$18</f>
        <v>43525</v>
      </c>
      <c r="B54" s="600">
        <f>'Temp. Adjustments'!E13</f>
        <v>-46.848889733076582</v>
      </c>
      <c r="C54" s="601">
        <f t="shared" si="6"/>
        <v>-11.955503955214752</v>
      </c>
      <c r="D54" s="604">
        <f t="shared" si="7"/>
        <v>-34.89338577786183</v>
      </c>
      <c r="E54" s="765">
        <v>6.7169999999999994E-2</v>
      </c>
      <c r="F54" s="766">
        <v>0.10613</v>
      </c>
      <c r="G54" s="602">
        <f t="shared" si="8"/>
        <v>-4.5062899999999999</v>
      </c>
      <c r="H54" s="592"/>
      <c r="I54" s="606"/>
      <c r="J54" s="600"/>
      <c r="K54" s="594"/>
      <c r="L54" s="594"/>
      <c r="M54" s="592"/>
      <c r="N54" s="592"/>
      <c r="O54" s="604"/>
      <c r="P54" s="592"/>
      <c r="Q54" s="592"/>
    </row>
    <row r="55" spans="1:35">
      <c r="A55" s="599">
        <f>$A$19</f>
        <v>43556</v>
      </c>
      <c r="B55" s="600">
        <f>'Temp. Adjustments'!E14</f>
        <v>11.576455765377112</v>
      </c>
      <c r="C55" s="601">
        <f t="shared" si="6"/>
        <v>2.9542292993257191</v>
      </c>
      <c r="D55" s="604">
        <f t="shared" si="7"/>
        <v>8.6222264660513925</v>
      </c>
      <c r="E55" s="765">
        <v>6.7169999999999994E-2</v>
      </c>
      <c r="F55" s="766">
        <v>0.10613</v>
      </c>
      <c r="G55" s="602">
        <f t="shared" si="8"/>
        <v>1.11351</v>
      </c>
      <c r="H55" s="592"/>
      <c r="I55" s="606"/>
      <c r="J55" s="600"/>
      <c r="K55" s="594"/>
      <c r="L55" s="594"/>
      <c r="M55" s="592"/>
      <c r="N55" s="592"/>
      <c r="O55" s="604"/>
      <c r="P55" s="592"/>
      <c r="Q55" s="592"/>
    </row>
    <row r="56" spans="1:35">
      <c r="A56" s="599">
        <f>$A$20</f>
        <v>43586</v>
      </c>
      <c r="B56" s="600">
        <f>'Temp. Adjustments'!E15</f>
        <v>3.2693679149971411</v>
      </c>
      <c r="C56" s="601">
        <f t="shared" si="6"/>
        <v>0.834319473983267</v>
      </c>
      <c r="D56" s="604">
        <f t="shared" si="7"/>
        <v>2.4350484410138744</v>
      </c>
      <c r="E56" s="765">
        <v>6.7169999999999994E-2</v>
      </c>
      <c r="F56" s="766">
        <v>0.10613</v>
      </c>
      <c r="G56" s="602">
        <f t="shared" si="8"/>
        <v>0.31447000000000003</v>
      </c>
      <c r="H56" s="592"/>
      <c r="I56" s="606"/>
      <c r="J56" s="600"/>
      <c r="K56" s="594"/>
      <c r="L56" s="594"/>
      <c r="M56" s="592"/>
      <c r="N56" s="592"/>
      <c r="O56" s="604"/>
      <c r="P56" s="592"/>
      <c r="Q56" s="592"/>
    </row>
    <row r="57" spans="1:35">
      <c r="A57" s="599">
        <f>$A$21</f>
        <v>43617</v>
      </c>
      <c r="B57" s="626">
        <f>'Temp. Adjustments'!E16</f>
        <v>-2.8497692436144804</v>
      </c>
      <c r="C57" s="610">
        <f t="shared" si="6"/>
        <v>-0.72724087289154338</v>
      </c>
      <c r="D57" s="618">
        <f t="shared" si="7"/>
        <v>-2.1225283707229368</v>
      </c>
      <c r="E57" s="767">
        <v>6.7169999999999994E-2</v>
      </c>
      <c r="F57" s="768">
        <v>0.10613</v>
      </c>
      <c r="G57" s="619">
        <f t="shared" si="8"/>
        <v>-0.27411000000000002</v>
      </c>
      <c r="H57" s="592"/>
      <c r="I57" s="606"/>
      <c r="J57" s="600"/>
      <c r="K57" s="594"/>
      <c r="L57" s="594"/>
      <c r="M57" s="592"/>
      <c r="N57" s="592"/>
      <c r="O57" s="592"/>
      <c r="P57" s="592"/>
      <c r="Q57" s="592"/>
    </row>
    <row r="58" spans="1:35">
      <c r="A58" s="592" t="s">
        <v>9</v>
      </c>
      <c r="B58" s="604">
        <f>SUM(B46:B57)</f>
        <v>-80.541434275372112</v>
      </c>
      <c r="C58" s="601">
        <f>SUM(C46:C57)</f>
        <v>-20.553602049570831</v>
      </c>
      <c r="D58" s="604">
        <f>SUM(D46:D57)</f>
        <v>-59.987832225801313</v>
      </c>
      <c r="E58" s="612" t="s">
        <v>31</v>
      </c>
      <c r="F58" s="588" t="s">
        <v>31</v>
      </c>
      <c r="G58" s="613">
        <f>SUM(G46:G57)</f>
        <v>-7.7471100000000011</v>
      </c>
      <c r="H58" s="614"/>
      <c r="I58" s="594"/>
      <c r="J58" s="600"/>
      <c r="K58" s="594"/>
      <c r="L58" s="615"/>
      <c r="M58" s="592"/>
      <c r="N58" s="592"/>
      <c r="O58" s="604"/>
      <c r="P58" s="592"/>
      <c r="Q58" s="616"/>
    </row>
    <row r="59" spans="1:35">
      <c r="A59" s="592"/>
      <c r="B59" s="604"/>
      <c r="C59" s="604"/>
      <c r="D59" s="604"/>
      <c r="E59" s="604"/>
      <c r="F59" s="604"/>
      <c r="G59" s="604"/>
      <c r="H59" s="604"/>
      <c r="I59" s="604"/>
      <c r="J59" s="604"/>
      <c r="L59" s="617"/>
      <c r="M59" s="592"/>
      <c r="N59" s="594"/>
      <c r="O59" s="600"/>
      <c r="P59" s="594"/>
      <c r="Q59" s="615"/>
      <c r="R59" s="592"/>
      <c r="S59" s="592"/>
      <c r="T59" s="604"/>
      <c r="U59" s="592"/>
      <c r="V59" s="616"/>
    </row>
    <row r="60" spans="1:35">
      <c r="A60" s="586" t="s">
        <v>67</v>
      </c>
      <c r="B60" s="589" t="s">
        <v>12</v>
      </c>
      <c r="C60" s="620" t="s">
        <v>198</v>
      </c>
      <c r="D60" s="589" t="s">
        <v>198</v>
      </c>
      <c r="E60" s="589" t="s">
        <v>198</v>
      </c>
      <c r="F60" s="620"/>
      <c r="G60" s="589"/>
      <c r="H60" s="589"/>
      <c r="I60" s="590" t="s">
        <v>1</v>
      </c>
      <c r="J60" s="604"/>
      <c r="L60" s="617"/>
      <c r="M60" s="617"/>
      <c r="N60" s="586" t="s">
        <v>67</v>
      </c>
      <c r="O60" s="589" t="s">
        <v>12</v>
      </c>
      <c r="P60" s="620" t="s">
        <v>198</v>
      </c>
      <c r="Q60" s="589" t="s">
        <v>198</v>
      </c>
      <c r="R60" s="589" t="s">
        <v>198</v>
      </c>
      <c r="S60" s="620"/>
      <c r="T60" s="589"/>
      <c r="U60" s="589"/>
      <c r="V60" s="590" t="s">
        <v>1</v>
      </c>
      <c r="W60" s="604"/>
      <c r="Y60" s="617"/>
      <c r="Z60" s="592"/>
      <c r="AA60" s="594"/>
      <c r="AB60" s="600"/>
      <c r="AC60" s="594"/>
      <c r="AD60" s="615"/>
      <c r="AE60" s="592"/>
      <c r="AF60" s="592"/>
      <c r="AG60" s="604"/>
      <c r="AH60" s="592"/>
      <c r="AI60" s="616"/>
    </row>
    <row r="61" spans="1:35">
      <c r="A61" s="588" t="s">
        <v>18</v>
      </c>
      <c r="B61" s="589" t="s">
        <v>16</v>
      </c>
      <c r="C61" s="620" t="s">
        <v>199</v>
      </c>
      <c r="D61" s="589" t="s">
        <v>200</v>
      </c>
      <c r="E61" s="589" t="s">
        <v>204</v>
      </c>
      <c r="F61" s="620" t="s">
        <v>199</v>
      </c>
      <c r="G61" s="589" t="s">
        <v>200</v>
      </c>
      <c r="H61" s="589" t="s">
        <v>204</v>
      </c>
      <c r="I61" s="590" t="s">
        <v>26</v>
      </c>
      <c r="J61" s="604"/>
      <c r="K61" s="591" t="s">
        <v>201</v>
      </c>
      <c r="L61" s="591"/>
      <c r="M61" s="591"/>
      <c r="N61" s="588" t="s">
        <v>17</v>
      </c>
      <c r="O61" s="589" t="s">
        <v>16</v>
      </c>
      <c r="P61" s="620" t="s">
        <v>199</v>
      </c>
      <c r="Q61" s="589" t="s">
        <v>200</v>
      </c>
      <c r="R61" s="589" t="s">
        <v>204</v>
      </c>
      <c r="S61" s="620" t="s">
        <v>199</v>
      </c>
      <c r="T61" s="589" t="s">
        <v>200</v>
      </c>
      <c r="U61" s="589" t="s">
        <v>204</v>
      </c>
      <c r="V61" s="590" t="s">
        <v>26</v>
      </c>
      <c r="W61" s="604"/>
      <c r="X61" s="591" t="s">
        <v>201</v>
      </c>
      <c r="Y61" s="591"/>
      <c r="Z61" s="592"/>
      <c r="AA61" s="594"/>
      <c r="AB61" s="600"/>
      <c r="AC61" s="594"/>
      <c r="AD61" s="615"/>
      <c r="AE61" s="592"/>
      <c r="AF61" s="592"/>
      <c r="AG61" s="604"/>
      <c r="AH61" s="592"/>
      <c r="AI61" s="616"/>
    </row>
    <row r="62" spans="1:35">
      <c r="A62" s="589" t="s">
        <v>24</v>
      </c>
      <c r="B62" s="621" t="s">
        <v>23</v>
      </c>
      <c r="C62" s="622" t="s">
        <v>23</v>
      </c>
      <c r="D62" s="621" t="s">
        <v>23</v>
      </c>
      <c r="E62" s="621" t="s">
        <v>23</v>
      </c>
      <c r="F62" s="622" t="s">
        <v>38</v>
      </c>
      <c r="G62" s="621" t="s">
        <v>38</v>
      </c>
      <c r="H62" s="621" t="s">
        <v>38</v>
      </c>
      <c r="I62" s="598" t="s">
        <v>191</v>
      </c>
      <c r="J62" s="604"/>
      <c r="K62" s="776" t="str">
        <f>K45</f>
        <v>June 19 Blocking</v>
      </c>
      <c r="L62" s="776"/>
      <c r="M62" s="593"/>
      <c r="N62" s="589" t="s">
        <v>24</v>
      </c>
      <c r="O62" s="621" t="s">
        <v>23</v>
      </c>
      <c r="P62" s="622" t="s">
        <v>23</v>
      </c>
      <c r="Q62" s="621" t="s">
        <v>23</v>
      </c>
      <c r="R62" s="621" t="s">
        <v>23</v>
      </c>
      <c r="S62" s="622" t="s">
        <v>38</v>
      </c>
      <c r="T62" s="621" t="s">
        <v>38</v>
      </c>
      <c r="U62" s="621" t="s">
        <v>38</v>
      </c>
      <c r="V62" s="598" t="s">
        <v>191</v>
      </c>
      <c r="W62" s="604"/>
      <c r="X62" s="776" t="str">
        <f>K62</f>
        <v>June 19 Blocking</v>
      </c>
      <c r="Y62" s="776"/>
      <c r="Z62" s="592"/>
      <c r="AA62" s="594"/>
      <c r="AB62" s="600"/>
      <c r="AC62" s="594"/>
      <c r="AD62" s="615"/>
      <c r="AE62" s="592"/>
      <c r="AF62" s="592"/>
      <c r="AG62" s="604"/>
      <c r="AH62" s="592"/>
      <c r="AI62" s="616"/>
    </row>
    <row r="63" spans="1:35">
      <c r="A63" s="599">
        <f>$A$10</f>
        <v>43282</v>
      </c>
      <c r="B63" s="604">
        <f>'Temp. Adjustments'!F5*($L$66/($L$66+$Y$66))</f>
        <v>-1092.6018537331856</v>
      </c>
      <c r="C63" s="623">
        <f>$B63*$L$63/$L$66</f>
        <v>-255.02225859394846</v>
      </c>
      <c r="D63" s="604">
        <f>$B63*$L$64/$L$66</f>
        <v>-587.60531468683155</v>
      </c>
      <c r="E63" s="604">
        <f>$B63*$L$65/$L$66</f>
        <v>-249.97428045240562</v>
      </c>
      <c r="F63" s="769">
        <v>0.10878</v>
      </c>
      <c r="G63" s="770">
        <v>7.5139999999999998E-2</v>
      </c>
      <c r="H63" s="766">
        <v>6.472E-2</v>
      </c>
      <c r="I63" s="608">
        <f>ROUND((C63*F63+D63*G63+E63*H63)*1000,2)/1000</f>
        <v>-88.072320000000005</v>
      </c>
      <c r="J63" s="604"/>
      <c r="K63" s="777" t="s">
        <v>202</v>
      </c>
      <c r="L63" s="778">
        <v>120628256.66666651</v>
      </c>
      <c r="M63" s="600"/>
      <c r="N63" s="599">
        <f>$A$10</f>
        <v>43282</v>
      </c>
      <c r="O63" s="604">
        <f>'Temp. Adjustments'!F5*(Temperature!$Y$66/(Temperature!$L$66+Temperature!$Y$66))</f>
        <v>-44.47359450302357</v>
      </c>
      <c r="P63" s="623">
        <f>$O63*$Y$63/$Y$66</f>
        <v>-27.543154326959446</v>
      </c>
      <c r="Q63" s="604">
        <f t="shared" ref="Q63:Q74" si="9">$O63*$Y$64/$Y$66</f>
        <v>-14.883002341988668</v>
      </c>
      <c r="R63" s="604">
        <f>$O63*$Y$65/$Y$66</f>
        <v>-2.0474378340754562</v>
      </c>
      <c r="S63" s="769">
        <v>0.10878</v>
      </c>
      <c r="T63" s="770">
        <v>7.5139999999999998E-2</v>
      </c>
      <c r="U63" s="766">
        <v>6.472E-2</v>
      </c>
      <c r="V63" s="608">
        <f>ROUND((P63*S63+Q63*T63+R63*U63)*1000,2)/1000</f>
        <v>-4.2469599999999996</v>
      </c>
      <c r="W63" s="604"/>
      <c r="X63" s="777" t="s">
        <v>202</v>
      </c>
      <c r="Y63" s="778">
        <v>13028206.66666667</v>
      </c>
      <c r="Z63" s="592"/>
      <c r="AA63" s="594"/>
      <c r="AB63" s="600"/>
      <c r="AC63" s="594"/>
      <c r="AD63" s="615"/>
      <c r="AE63" s="592"/>
      <c r="AF63" s="592"/>
      <c r="AG63" s="604"/>
      <c r="AH63" s="592"/>
      <c r="AI63" s="616"/>
    </row>
    <row r="64" spans="1:35">
      <c r="A64" s="599">
        <f>$A$11</f>
        <v>43313</v>
      </c>
      <c r="B64" s="604">
        <f>'Temp. Adjustments'!F6*($L$66/($L$66+$Y$66))</f>
        <v>51.259715095811529</v>
      </c>
      <c r="C64" s="623">
        <f t="shared" ref="C64:C74" si="10">$B64*$L$63/$L$66</f>
        <v>11.964439080851546</v>
      </c>
      <c r="D64" s="604">
        <f t="shared" ref="D64:D74" si="11">$B64*$L$64/$L$66</f>
        <v>27.567664210633044</v>
      </c>
      <c r="E64" s="604">
        <f t="shared" ref="E64:E74" si="12">$B64*$L$65/$L$66</f>
        <v>11.727611804326935</v>
      </c>
      <c r="F64" s="769">
        <v>0.10878</v>
      </c>
      <c r="G64" s="770">
        <v>7.5139999999999998E-2</v>
      </c>
      <c r="H64" s="766">
        <v>6.472E-2</v>
      </c>
      <c r="I64" s="608">
        <f t="shared" ref="I64:I74" si="13">ROUND((C64*F64+D64*G64+E64*H64)*1000,2)/1000</f>
        <v>4.1319399999999993</v>
      </c>
      <c r="J64" s="604"/>
      <c r="K64" s="777" t="s">
        <v>203</v>
      </c>
      <c r="L64" s="600">
        <v>277943600.33333361</v>
      </c>
      <c r="M64" s="600"/>
      <c r="N64" s="599">
        <f>$A$11</f>
        <v>43313</v>
      </c>
      <c r="O64" s="604">
        <f>'Temp. Adjustments'!F6*(Temperature!$Y$66/(Temperature!$L$66+Temperature!$Y$66))</f>
        <v>2.0864908619021469</v>
      </c>
      <c r="P64" s="623">
        <f t="shared" ref="P64:P74" si="14">$O64*$Y$63/$Y$66</f>
        <v>1.2921946258977206</v>
      </c>
      <c r="Q64" s="604">
        <f t="shared" si="9"/>
        <v>0.69824012947989678</v>
      </c>
      <c r="R64" s="604">
        <f t="shared" ref="R64:R74" si="15">$O64*$Y$65/$Y$66</f>
        <v>9.6056106524529547E-2</v>
      </c>
      <c r="S64" s="769">
        <v>0.10878</v>
      </c>
      <c r="T64" s="770">
        <v>7.5139999999999998E-2</v>
      </c>
      <c r="U64" s="766">
        <v>6.472E-2</v>
      </c>
      <c r="V64" s="608">
        <f t="shared" ref="V64:V74" si="16">ROUND((P64*S64+Q64*T64+R64*U64)*1000,2)/1000</f>
        <v>0.19925000000000001</v>
      </c>
      <c r="W64" s="604"/>
      <c r="X64" s="777" t="s">
        <v>203</v>
      </c>
      <c r="Y64" s="600">
        <v>7039819.33333332</v>
      </c>
      <c r="Z64" s="592"/>
      <c r="AA64" s="594"/>
      <c r="AB64" s="600"/>
      <c r="AC64" s="594"/>
      <c r="AD64" s="615"/>
      <c r="AE64" s="592"/>
      <c r="AF64" s="592"/>
      <c r="AG64" s="604"/>
      <c r="AH64" s="592"/>
      <c r="AI64" s="616"/>
    </row>
    <row r="65" spans="1:35">
      <c r="A65" s="599">
        <f>$A$12</f>
        <v>43344</v>
      </c>
      <c r="B65" s="604">
        <f>'Temp. Adjustments'!F7*($L$66/($L$66+$Y$66))</f>
        <v>654.98352885686506</v>
      </c>
      <c r="C65" s="623">
        <f t="shared" si="10"/>
        <v>152.87854244452208</v>
      </c>
      <c r="D65" s="604">
        <f t="shared" si="11"/>
        <v>352.25256233421663</v>
      </c>
      <c r="E65" s="604">
        <f t="shared" si="12"/>
        <v>149.85242407812635</v>
      </c>
      <c r="F65" s="769">
        <v>0.10878</v>
      </c>
      <c r="G65" s="770">
        <v>7.5139999999999998E-2</v>
      </c>
      <c r="H65" s="766">
        <v>6.472E-2</v>
      </c>
      <c r="I65" s="608">
        <f t="shared" si="13"/>
        <v>52.79683</v>
      </c>
      <c r="J65" s="604"/>
      <c r="K65" s="780" t="s">
        <v>205</v>
      </c>
      <c r="L65" s="605">
        <f>L66-L63-L64</f>
        <v>118240508.99999988</v>
      </c>
      <c r="M65" s="600"/>
      <c r="N65" s="599">
        <f>$A$12</f>
        <v>43344</v>
      </c>
      <c r="O65" s="604">
        <f>'Temp. Adjustments'!F7*(Temperature!$Y$66/(Temperature!$L$66+Temperature!$Y$66))</f>
        <v>26.660646574056699</v>
      </c>
      <c r="P65" s="623">
        <f t="shared" si="14"/>
        <v>16.511332426612</v>
      </c>
      <c r="Q65" s="604">
        <f t="shared" si="9"/>
        <v>8.9219337864323496</v>
      </c>
      <c r="R65" s="604">
        <f t="shared" si="15"/>
        <v>1.227380361012349</v>
      </c>
      <c r="S65" s="769">
        <v>0.10878</v>
      </c>
      <c r="T65" s="770">
        <v>7.5139999999999998E-2</v>
      </c>
      <c r="U65" s="766">
        <v>6.472E-2</v>
      </c>
      <c r="V65" s="608">
        <f t="shared" si="16"/>
        <v>2.5459299999999998</v>
      </c>
      <c r="W65" s="604"/>
      <c r="X65" s="780" t="s">
        <v>205</v>
      </c>
      <c r="Y65" s="605">
        <f>Y66-Y63-Y64</f>
        <v>968460.00000001024</v>
      </c>
      <c r="Z65" s="592"/>
      <c r="AA65" s="594"/>
      <c r="AB65" s="600"/>
      <c r="AC65" s="594"/>
      <c r="AD65" s="615"/>
      <c r="AE65" s="592"/>
      <c r="AF65" s="592"/>
      <c r="AG65" s="604"/>
      <c r="AH65" s="592"/>
      <c r="AI65" s="616"/>
    </row>
    <row r="66" spans="1:35">
      <c r="A66" s="599">
        <f>$A$13</f>
        <v>43374</v>
      </c>
      <c r="B66" s="604">
        <f>'Temp. Adjustments'!F8*($L$66/($L$66+$Y$66))</f>
        <v>291.04730619611598</v>
      </c>
      <c r="C66" s="623">
        <f t="shared" si="10"/>
        <v>67.932834939106229</v>
      </c>
      <c r="D66" s="604">
        <f t="shared" si="11"/>
        <v>156.52631684797308</v>
      </c>
      <c r="E66" s="604">
        <f t="shared" si="12"/>
        <v>66.588154409036676</v>
      </c>
      <c r="F66" s="769">
        <v>0.10878</v>
      </c>
      <c r="G66" s="770">
        <v>7.5139999999999998E-2</v>
      </c>
      <c r="H66" s="766">
        <v>6.472E-2</v>
      </c>
      <c r="I66" s="608">
        <f t="shared" si="13"/>
        <v>23.460709999999999</v>
      </c>
      <c r="J66" s="604"/>
      <c r="K66" s="606" t="s">
        <v>9</v>
      </c>
      <c r="L66" s="600">
        <v>516812366</v>
      </c>
      <c r="M66" s="600"/>
      <c r="N66" s="599">
        <f>$A$13</f>
        <v>43374</v>
      </c>
      <c r="O66" s="604">
        <f>'Temp. Adjustments'!F8*(Temperature!$Y$66/(Temperature!$L$66+Temperature!$Y$66))</f>
        <v>11.846877096846223</v>
      </c>
      <c r="P66" s="623">
        <f t="shared" si="14"/>
        <v>7.3369460646760416</v>
      </c>
      <c r="Q66" s="604">
        <f t="shared" si="9"/>
        <v>3.9645344962082429</v>
      </c>
      <c r="R66" s="604">
        <f t="shared" si="15"/>
        <v>0.54539653596193849</v>
      </c>
      <c r="S66" s="769">
        <v>0.10878</v>
      </c>
      <c r="T66" s="770">
        <v>7.5139999999999998E-2</v>
      </c>
      <c r="U66" s="766">
        <v>6.472E-2</v>
      </c>
      <c r="V66" s="608">
        <f t="shared" si="16"/>
        <v>1.13131</v>
      </c>
      <c r="W66" s="604"/>
      <c r="X66" s="606" t="s">
        <v>9</v>
      </c>
      <c r="Y66" s="600">
        <v>21036486</v>
      </c>
      <c r="Z66" s="592"/>
      <c r="AA66" s="594"/>
      <c r="AB66" s="600"/>
      <c r="AC66" s="594"/>
      <c r="AD66" s="615"/>
      <c r="AE66" s="592"/>
      <c r="AF66" s="592"/>
      <c r="AG66" s="604"/>
      <c r="AH66" s="592"/>
      <c r="AI66" s="616"/>
    </row>
    <row r="67" spans="1:35">
      <c r="A67" s="599">
        <f>$A$14</f>
        <v>43405</v>
      </c>
      <c r="B67" s="604">
        <f>'Temp. Adjustments'!F9*($L$66/($L$66+$Y$66))</f>
        <v>-344.3971335323418</v>
      </c>
      <c r="C67" s="623">
        <f t="shared" si="10"/>
        <v>-80.385123406670857</v>
      </c>
      <c r="D67" s="604">
        <f t="shared" si="11"/>
        <v>-185.21805114558529</v>
      </c>
      <c r="E67" s="604">
        <f t="shared" si="12"/>
        <v>-78.793958980085662</v>
      </c>
      <c r="F67" s="769">
        <v>0.10878</v>
      </c>
      <c r="G67" s="770">
        <v>7.5139999999999998E-2</v>
      </c>
      <c r="H67" s="766">
        <v>6.472E-2</v>
      </c>
      <c r="I67" s="608">
        <f t="shared" si="13"/>
        <v>-27.761119999999998</v>
      </c>
      <c r="J67" s="604"/>
      <c r="L67" s="617"/>
      <c r="M67" s="617"/>
      <c r="N67" s="599">
        <f>$A$14</f>
        <v>43405</v>
      </c>
      <c r="O67" s="604">
        <f>'Temp. Adjustments'!F9*(Temperature!$Y$66/(Temperature!$L$66+Temperature!$Y$66))</f>
        <v>-14.018444516076531</v>
      </c>
      <c r="P67" s="623">
        <f t="shared" si="14"/>
        <v>-8.6818298598275909</v>
      </c>
      <c r="Q67" s="604">
        <f t="shared" si="9"/>
        <v>-4.691245330970963</v>
      </c>
      <c r="R67" s="604">
        <f t="shared" si="15"/>
        <v>-0.64536932527797752</v>
      </c>
      <c r="S67" s="769">
        <v>0.10878</v>
      </c>
      <c r="T67" s="770">
        <v>7.5139999999999998E-2</v>
      </c>
      <c r="U67" s="766">
        <v>6.472E-2</v>
      </c>
      <c r="V67" s="608">
        <f t="shared" si="16"/>
        <v>-1.3386800000000001</v>
      </c>
      <c r="W67" s="604"/>
      <c r="Y67" s="617"/>
      <c r="Z67" s="592"/>
      <c r="AA67" s="594"/>
      <c r="AB67" s="600"/>
      <c r="AC67" s="594"/>
      <c r="AD67" s="615"/>
      <c r="AE67" s="592"/>
      <c r="AF67" s="592"/>
      <c r="AG67" s="604"/>
      <c r="AH67" s="592"/>
      <c r="AI67" s="616"/>
    </row>
    <row r="68" spans="1:35">
      <c r="A68" s="599">
        <f>$A$15</f>
        <v>43435</v>
      </c>
      <c r="B68" s="604">
        <f>'Temp. Adjustments'!F10*($L$66/($L$66+$Y$66))</f>
        <v>1405.7432104853069</v>
      </c>
      <c r="C68" s="623">
        <f t="shared" si="10"/>
        <v>328.11202664188068</v>
      </c>
      <c r="D68" s="604">
        <f t="shared" si="11"/>
        <v>756.01389357317623</v>
      </c>
      <c r="E68" s="604">
        <f t="shared" si="12"/>
        <v>321.61729027024995</v>
      </c>
      <c r="F68" s="769">
        <v>0.10878</v>
      </c>
      <c r="G68" s="770">
        <v>7.5139999999999998E-2</v>
      </c>
      <c r="H68" s="766">
        <v>6.472E-2</v>
      </c>
      <c r="I68" s="614">
        <f t="shared" si="13"/>
        <v>113.31398</v>
      </c>
      <c r="J68" s="604"/>
      <c r="K68" s="594"/>
      <c r="L68" s="600"/>
      <c r="M68" s="600"/>
      <c r="N68" s="599">
        <f>$A$15</f>
        <v>43435</v>
      </c>
      <c r="O68" s="604">
        <f>'Temp. Adjustments'!F10*(Temperature!$Y$66/(Temperature!$L$66+Temperature!$Y$66))</f>
        <v>57.219794479471126</v>
      </c>
      <c r="P68" s="623">
        <f t="shared" si="14"/>
        <v>35.437064341579784</v>
      </c>
      <c r="Q68" s="604">
        <f t="shared" si="9"/>
        <v>19.148493499624415</v>
      </c>
      <c r="R68" s="604">
        <f t="shared" si="15"/>
        <v>2.6342366382669229</v>
      </c>
      <c r="S68" s="769">
        <v>0.10878</v>
      </c>
      <c r="T68" s="770">
        <v>7.5139999999999998E-2</v>
      </c>
      <c r="U68" s="766">
        <v>6.472E-2</v>
      </c>
      <c r="V68" s="614">
        <f t="shared" si="16"/>
        <v>5.4641500000000001</v>
      </c>
      <c r="W68" s="604"/>
      <c r="X68" s="594"/>
      <c r="Y68" s="600"/>
      <c r="Z68" s="592"/>
      <c r="AA68" s="594"/>
      <c r="AB68" s="600"/>
      <c r="AC68" s="594"/>
      <c r="AD68" s="615"/>
      <c r="AE68" s="592"/>
      <c r="AF68" s="592"/>
      <c r="AG68" s="604"/>
      <c r="AH68" s="592"/>
      <c r="AI68" s="616"/>
    </row>
    <row r="69" spans="1:35">
      <c r="A69" s="599">
        <f>$A$16</f>
        <v>43466</v>
      </c>
      <c r="B69" s="604">
        <f>'Temp. Adjustments'!F11*($L$66/($L$66+$Y$66))</f>
        <v>505.35212884568784</v>
      </c>
      <c r="C69" s="623">
        <f t="shared" si="10"/>
        <v>117.95334306192657</v>
      </c>
      <c r="D69" s="604">
        <f t="shared" si="11"/>
        <v>271.78024244002933</v>
      </c>
      <c r="E69" s="604">
        <f t="shared" si="12"/>
        <v>115.61854334373194</v>
      </c>
      <c r="F69" s="769">
        <v>0.10878</v>
      </c>
      <c r="G69" s="770">
        <v>7.5139999999999998E-2</v>
      </c>
      <c r="H69" s="766">
        <v>6.472E-2</v>
      </c>
      <c r="I69" s="608">
        <f t="shared" si="13"/>
        <v>40.73536</v>
      </c>
      <c r="J69" s="604"/>
      <c r="K69" s="594"/>
      <c r="L69" s="600"/>
      <c r="M69" s="600"/>
      <c r="N69" s="599">
        <f>$A$16</f>
        <v>43466</v>
      </c>
      <c r="O69" s="604">
        <f>'Temp. Adjustments'!F11*(Temperature!$Y$66/(Temperature!$L$66+Temperature!$Y$66))</f>
        <v>20.570005059694154</v>
      </c>
      <c r="P69" s="623">
        <f t="shared" si="14"/>
        <v>12.739308126465346</v>
      </c>
      <c r="Q69" s="604">
        <f t="shared" si="9"/>
        <v>6.8837123893220156</v>
      </c>
      <c r="R69" s="604">
        <f t="shared" si="15"/>
        <v>0.94698454390679176</v>
      </c>
      <c r="S69" s="769">
        <v>0.10878</v>
      </c>
      <c r="T69" s="770">
        <v>7.5139999999999998E-2</v>
      </c>
      <c r="U69" s="766">
        <v>6.472E-2</v>
      </c>
      <c r="V69" s="608">
        <f t="shared" si="16"/>
        <v>1.96431</v>
      </c>
      <c r="W69" s="604"/>
      <c r="X69" s="594"/>
      <c r="Y69" s="600"/>
      <c r="Z69" s="592"/>
      <c r="AA69" s="594"/>
      <c r="AB69" s="600"/>
      <c r="AC69" s="594"/>
      <c r="AD69" s="615"/>
      <c r="AE69" s="592"/>
      <c r="AF69" s="592"/>
      <c r="AG69" s="604"/>
      <c r="AH69" s="592"/>
      <c r="AI69" s="616"/>
    </row>
    <row r="70" spans="1:35">
      <c r="A70" s="599">
        <f>$A$17</f>
        <v>43497</v>
      </c>
      <c r="B70" s="604">
        <f>'Temp. Adjustments'!F12*($L$66/($L$66+$Y$66))</f>
        <v>-3130.7682806690245</v>
      </c>
      <c r="C70" s="623">
        <f t="shared" si="10"/>
        <v>-730.7470652209613</v>
      </c>
      <c r="D70" s="604">
        <f t="shared" si="11"/>
        <v>-1683.7387512096593</v>
      </c>
      <c r="E70" s="604">
        <f t="shared" si="12"/>
        <v>-716.28246423840392</v>
      </c>
      <c r="F70" s="769">
        <v>0.10878</v>
      </c>
      <c r="G70" s="770">
        <v>7.5139999999999998E-2</v>
      </c>
      <c r="H70" s="766">
        <v>6.472E-2</v>
      </c>
      <c r="I70" s="608">
        <f t="shared" si="13"/>
        <v>-252.3646</v>
      </c>
      <c r="J70" s="604"/>
      <c r="L70" s="617"/>
      <c r="M70" s="617"/>
      <c r="N70" s="599">
        <f>$A$17</f>
        <v>43497</v>
      </c>
      <c r="O70" s="604">
        <f>'Temp. Adjustments'!F12*(Temperature!$Y$66/(Temperature!$L$66+Temperature!$Y$66))</f>
        <v>-127.43573381434531</v>
      </c>
      <c r="P70" s="623">
        <f t="shared" si="14"/>
        <v>-78.922833255117453</v>
      </c>
      <c r="Q70" s="604">
        <f t="shared" si="9"/>
        <v>-42.646121726972218</v>
      </c>
      <c r="R70" s="604">
        <f t="shared" si="15"/>
        <v>-5.8667788322556422</v>
      </c>
      <c r="S70" s="769">
        <v>0.10878</v>
      </c>
      <c r="T70" s="770">
        <v>7.5139999999999998E-2</v>
      </c>
      <c r="U70" s="766">
        <v>6.472E-2</v>
      </c>
      <c r="V70" s="608">
        <f t="shared" si="16"/>
        <v>-12.16935</v>
      </c>
      <c r="W70" s="604"/>
      <c r="Y70" s="617"/>
      <c r="Z70" s="592"/>
      <c r="AA70" s="594"/>
      <c r="AB70" s="600"/>
      <c r="AC70" s="594"/>
      <c r="AD70" s="615"/>
      <c r="AE70" s="592"/>
      <c r="AF70" s="592"/>
      <c r="AG70" s="604"/>
      <c r="AH70" s="592"/>
      <c r="AI70" s="616"/>
    </row>
    <row r="71" spans="1:35">
      <c r="A71" s="599">
        <f>$A$18</f>
        <v>43525</v>
      </c>
      <c r="B71" s="604">
        <f>'Temp. Adjustments'!F13*($L$66/($L$66+$Y$66))</f>
        <v>-2039.0388013788513</v>
      </c>
      <c r="C71" s="623">
        <f t="shared" si="10"/>
        <v>-475.92842599671872</v>
      </c>
      <c r="D71" s="604">
        <f t="shared" si="11"/>
        <v>-1096.6026027221706</v>
      </c>
      <c r="E71" s="604">
        <f t="shared" si="12"/>
        <v>-466.50777265996192</v>
      </c>
      <c r="F71" s="769">
        <v>0.10878</v>
      </c>
      <c r="G71" s="770">
        <v>7.5139999999999998E-2</v>
      </c>
      <c r="H71" s="766">
        <v>6.472E-2</v>
      </c>
      <c r="I71" s="608">
        <f t="shared" si="13"/>
        <v>-164.36260000000001</v>
      </c>
      <c r="J71" s="604"/>
      <c r="L71" s="617"/>
      <c r="M71" s="617"/>
      <c r="N71" s="599">
        <f>$A$18</f>
        <v>43525</v>
      </c>
      <c r="O71" s="604">
        <f>'Temp. Adjustments'!F13*(Temperature!$Y$66/(Temperature!$L$66+Temperature!$Y$66))</f>
        <v>-82.997648703055575</v>
      </c>
      <c r="P71" s="623">
        <f t="shared" si="14"/>
        <v>-51.401670419232893</v>
      </c>
      <c r="Q71" s="604">
        <f t="shared" si="9"/>
        <v>-27.775002534214973</v>
      </c>
      <c r="R71" s="604">
        <f t="shared" si="15"/>
        <v>-3.8209757496077077</v>
      </c>
      <c r="S71" s="769">
        <v>0.10878</v>
      </c>
      <c r="T71" s="770">
        <v>7.5139999999999998E-2</v>
      </c>
      <c r="U71" s="766">
        <v>6.472E-2</v>
      </c>
      <c r="V71" s="608">
        <f t="shared" si="16"/>
        <v>-7.9257799999999996</v>
      </c>
      <c r="W71" s="604"/>
      <c r="Y71" s="617"/>
      <c r="Z71" s="592"/>
      <c r="AA71" s="594"/>
      <c r="AB71" s="600"/>
      <c r="AC71" s="594"/>
      <c r="AD71" s="615"/>
      <c r="AE71" s="592"/>
      <c r="AF71" s="592"/>
      <c r="AG71" s="604"/>
      <c r="AH71" s="592"/>
      <c r="AI71" s="616"/>
    </row>
    <row r="72" spans="1:35">
      <c r="A72" s="599">
        <f>$A$19</f>
        <v>43556</v>
      </c>
      <c r="B72" s="604">
        <f>'Temp. Adjustments'!F14*($L$66/($L$66+$Y$66))</f>
        <v>32.022869053186604</v>
      </c>
      <c r="C72" s="623">
        <f t="shared" si="10"/>
        <v>7.4744010040790032</v>
      </c>
      <c r="D72" s="604">
        <f t="shared" si="11"/>
        <v>17.222017318458619</v>
      </c>
      <c r="E72" s="604">
        <f t="shared" si="12"/>
        <v>7.3264507306489799</v>
      </c>
      <c r="F72" s="769">
        <v>0.10878</v>
      </c>
      <c r="G72" s="770">
        <v>7.5139999999999998E-2</v>
      </c>
      <c r="H72" s="766">
        <v>6.472E-2</v>
      </c>
      <c r="I72" s="608">
        <f t="shared" si="13"/>
        <v>2.5813000000000001</v>
      </c>
      <c r="J72" s="604"/>
      <c r="L72" s="617"/>
      <c r="M72" s="617"/>
      <c r="N72" s="599">
        <f>$A$19</f>
        <v>43556</v>
      </c>
      <c r="O72" s="604">
        <f>'Temp. Adjustments'!F14*(Temperature!$Y$66/(Temperature!$L$66+Temperature!$Y$66))</f>
        <v>1.3034684942449561</v>
      </c>
      <c r="P72" s="623">
        <f t="shared" si="14"/>
        <v>0.80725730174289112</v>
      </c>
      <c r="Q72" s="604">
        <f t="shared" si="9"/>
        <v>0.43620320932766593</v>
      </c>
      <c r="R72" s="604">
        <f t="shared" si="15"/>
        <v>6.0007983174399163E-2</v>
      </c>
      <c r="S72" s="769">
        <v>0.10878</v>
      </c>
      <c r="T72" s="770">
        <v>7.5139999999999998E-2</v>
      </c>
      <c r="U72" s="766">
        <v>6.472E-2</v>
      </c>
      <c r="V72" s="608">
        <f t="shared" si="16"/>
        <v>0.12447</v>
      </c>
      <c r="W72" s="604"/>
      <c r="Y72" s="617"/>
      <c r="Z72" s="592"/>
      <c r="AA72" s="594"/>
      <c r="AB72" s="600"/>
      <c r="AC72" s="594"/>
      <c r="AD72" s="615"/>
      <c r="AE72" s="592"/>
      <c r="AF72" s="592"/>
      <c r="AG72" s="604"/>
      <c r="AH72" s="592"/>
      <c r="AI72" s="616"/>
    </row>
    <row r="73" spans="1:35">
      <c r="A73" s="599">
        <f>$A$20</f>
        <v>43586</v>
      </c>
      <c r="B73" s="604">
        <f>'Temp. Adjustments'!F15*($L$66/($L$66+$Y$66))</f>
        <v>-1020.397318967542</v>
      </c>
      <c r="C73" s="623">
        <f t="shared" si="10"/>
        <v>-238.16912634477293</v>
      </c>
      <c r="D73" s="604">
        <f t="shared" si="11"/>
        <v>-548.77344905543464</v>
      </c>
      <c r="E73" s="604">
        <f t="shared" si="12"/>
        <v>-233.45474356733445</v>
      </c>
      <c r="F73" s="769">
        <v>0.10878</v>
      </c>
      <c r="G73" s="770">
        <v>7.5139999999999998E-2</v>
      </c>
      <c r="H73" s="766">
        <v>6.472E-2</v>
      </c>
      <c r="I73" s="608">
        <f t="shared" si="13"/>
        <v>-82.252070000000003</v>
      </c>
      <c r="J73" s="604"/>
      <c r="L73" s="617"/>
      <c r="M73" s="617"/>
      <c r="N73" s="599">
        <f>$A$20</f>
        <v>43586</v>
      </c>
      <c r="O73" s="604">
        <f>'Temp. Adjustments'!F15*(Temperature!$Y$66/(Temperature!$L$66+Temperature!$Y$66))</f>
        <v>-41.534559401193256</v>
      </c>
      <c r="P73" s="623">
        <f t="shared" si="14"/>
        <v>-25.722966453983275</v>
      </c>
      <c r="Q73" s="604">
        <f t="shared" si="9"/>
        <v>-13.899459932329073</v>
      </c>
      <c r="R73" s="604">
        <f t="shared" si="15"/>
        <v>-1.9121330148809095</v>
      </c>
      <c r="S73" s="769">
        <v>0.10878</v>
      </c>
      <c r="T73" s="770">
        <v>7.5139999999999998E-2</v>
      </c>
      <c r="U73" s="766">
        <v>6.472E-2</v>
      </c>
      <c r="V73" s="608">
        <f t="shared" si="16"/>
        <v>-3.9663000000000004</v>
      </c>
      <c r="W73" s="604"/>
      <c r="Y73" s="617"/>
      <c r="Z73" s="592"/>
      <c r="AA73" s="594"/>
      <c r="AB73" s="600"/>
      <c r="AC73" s="594"/>
      <c r="AD73" s="615"/>
      <c r="AE73" s="592"/>
      <c r="AF73" s="592"/>
      <c r="AG73" s="604"/>
      <c r="AH73" s="592"/>
      <c r="AI73" s="616"/>
    </row>
    <row r="74" spans="1:35">
      <c r="A74" s="599">
        <f>$A$21</f>
        <v>43617</v>
      </c>
      <c r="B74" s="624">
        <f>'Temp. Adjustments'!F16*($L$66/($L$66+$Y$66))</f>
        <v>-458.08619493940876</v>
      </c>
      <c r="C74" s="625">
        <f t="shared" si="10"/>
        <v>-106.92108535693906</v>
      </c>
      <c r="D74" s="605">
        <f t="shared" si="11"/>
        <v>-246.36044851228766</v>
      </c>
      <c r="E74" s="626">
        <f t="shared" si="12"/>
        <v>-104.80466107018201</v>
      </c>
      <c r="F74" s="771">
        <v>0.10878</v>
      </c>
      <c r="G74" s="772">
        <v>7.5139999999999998E-2</v>
      </c>
      <c r="H74" s="768">
        <v>6.472E-2</v>
      </c>
      <c r="I74" s="627">
        <f t="shared" si="13"/>
        <v>-36.925359999999998</v>
      </c>
      <c r="J74" s="604"/>
      <c r="L74" s="617"/>
      <c r="M74" s="617"/>
      <c r="N74" s="599">
        <f>$A$21</f>
        <v>43617</v>
      </c>
      <c r="O74" s="624">
        <f>'Temp. Adjustments'!F16*(Temperature!$Y$66/(Temperature!$L$66+Temperature!$Y$66))</f>
        <v>-18.646078268638298</v>
      </c>
      <c r="P74" s="625">
        <f t="shared" si="14"/>
        <v>-11.547791832089352</v>
      </c>
      <c r="Q74" s="605">
        <f t="shared" si="9"/>
        <v>-6.239874011581886</v>
      </c>
      <c r="R74" s="626">
        <f t="shared" si="15"/>
        <v>-0.85841242496706127</v>
      </c>
      <c r="S74" s="771">
        <v>0.10878</v>
      </c>
      <c r="T74" s="772">
        <v>7.5139999999999998E-2</v>
      </c>
      <c r="U74" s="768">
        <v>6.472E-2</v>
      </c>
      <c r="V74" s="627">
        <f t="shared" si="16"/>
        <v>-1.7805899999999999</v>
      </c>
      <c r="W74" s="604"/>
      <c r="Y74" s="617"/>
      <c r="Z74" s="592"/>
      <c r="AA74" s="594"/>
      <c r="AB74" s="600"/>
      <c r="AC74" s="594"/>
      <c r="AD74" s="615"/>
      <c r="AE74" s="592"/>
      <c r="AF74" s="592"/>
      <c r="AG74" s="604"/>
      <c r="AH74" s="592"/>
      <c r="AI74" s="616"/>
    </row>
    <row r="75" spans="1:35">
      <c r="A75" s="592" t="s">
        <v>9</v>
      </c>
      <c r="B75" s="604">
        <f>SUM(B63:B74)</f>
        <v>-5144.8808246873796</v>
      </c>
      <c r="C75" s="623">
        <f>SUM(C63:C74)</f>
        <v>-1200.8574977476453</v>
      </c>
      <c r="D75" s="604">
        <f>SUM(D63:D74)</f>
        <v>-2766.9359206074823</v>
      </c>
      <c r="E75" s="604">
        <f>SUM(E63:E74)</f>
        <v>-1177.0874063322526</v>
      </c>
      <c r="F75" s="628" t="s">
        <v>31</v>
      </c>
      <c r="G75" s="629" t="s">
        <v>31</v>
      </c>
      <c r="H75" s="629" t="s">
        <v>31</v>
      </c>
      <c r="I75" s="630">
        <f>SUM(I63:I74)</f>
        <v>-414.71795000000003</v>
      </c>
      <c r="J75" s="614"/>
      <c r="L75" s="617"/>
      <c r="M75" s="617"/>
      <c r="N75" s="592" t="s">
        <v>9</v>
      </c>
      <c r="O75" s="604">
        <f>SUM(O63:O74)</f>
        <v>-209.41877664011724</v>
      </c>
      <c r="P75" s="623">
        <f>SUM(P63:P74)</f>
        <v>-129.69614326023623</v>
      </c>
      <c r="Q75" s="604">
        <f>SUM(Q63:Q74)</f>
        <v>-70.081588367663201</v>
      </c>
      <c r="R75" s="604">
        <f>SUM(R63:R74)</f>
        <v>-9.6410450122178233</v>
      </c>
      <c r="S75" s="628" t="s">
        <v>31</v>
      </c>
      <c r="T75" s="629" t="s">
        <v>31</v>
      </c>
      <c r="U75" s="629" t="s">
        <v>31</v>
      </c>
      <c r="V75" s="630">
        <f>SUM(V63:V74)</f>
        <v>-19.998239999999999</v>
      </c>
      <c r="W75" s="614"/>
      <c r="Y75" s="617"/>
      <c r="Z75" s="592"/>
      <c r="AA75" s="594"/>
      <c r="AB75" s="600"/>
      <c r="AC75" s="594"/>
      <c r="AD75" s="615"/>
      <c r="AE75" s="592"/>
      <c r="AF75" s="592"/>
      <c r="AG75" s="604"/>
      <c r="AH75" s="592"/>
      <c r="AI75" s="616"/>
    </row>
    <row r="76" spans="1:35">
      <c r="A76" s="592"/>
      <c r="B76" s="604"/>
      <c r="C76" s="604"/>
      <c r="D76" s="604"/>
      <c r="E76" s="604"/>
      <c r="F76" s="604"/>
      <c r="G76" s="604"/>
      <c r="H76" s="604"/>
      <c r="I76" s="604"/>
      <c r="J76" s="604"/>
      <c r="L76" s="617"/>
      <c r="M76" s="592"/>
      <c r="N76" s="594"/>
      <c r="O76" s="600"/>
      <c r="P76" s="594"/>
      <c r="Q76" s="615"/>
      <c r="R76" s="592"/>
      <c r="S76" s="592"/>
      <c r="T76" s="604"/>
      <c r="U76" s="592"/>
      <c r="V76" s="616"/>
    </row>
    <row r="77" spans="1:35">
      <c r="A77" s="586" t="s">
        <v>702</v>
      </c>
      <c r="B77" s="589" t="s">
        <v>12</v>
      </c>
      <c r="C77" s="590"/>
      <c r="D77" s="590" t="s">
        <v>1</v>
      </c>
      <c r="E77" s="604"/>
      <c r="F77" s="604"/>
      <c r="G77" s="604"/>
      <c r="H77" s="604"/>
      <c r="J77" s="617"/>
      <c r="K77" s="592"/>
      <c r="L77" s="594"/>
      <c r="M77" s="600"/>
      <c r="N77" s="594"/>
      <c r="O77" s="615"/>
      <c r="P77" s="592"/>
      <c r="Q77" s="592"/>
      <c r="R77" s="604"/>
      <c r="S77" s="592"/>
      <c r="T77" s="616"/>
      <c r="X77" s="588" t="s">
        <v>31</v>
      </c>
    </row>
    <row r="78" spans="1:35">
      <c r="A78" s="588" t="s">
        <v>18</v>
      </c>
      <c r="B78" s="589" t="s">
        <v>16</v>
      </c>
      <c r="C78" s="590" t="s">
        <v>199</v>
      </c>
      <c r="D78" s="590" t="s">
        <v>26</v>
      </c>
      <c r="H78" s="591"/>
      <c r="I78" s="591"/>
      <c r="V78" s="617"/>
    </row>
    <row r="79" spans="1:35">
      <c r="A79" s="589" t="s">
        <v>24</v>
      </c>
      <c r="B79" s="596" t="s">
        <v>23</v>
      </c>
      <c r="C79" s="597" t="s">
        <v>38</v>
      </c>
      <c r="D79" s="598" t="s">
        <v>191</v>
      </c>
      <c r="E79" s="592"/>
      <c r="H79" s="591"/>
      <c r="I79" s="591"/>
      <c r="J79" s="592"/>
      <c r="K79" s="593"/>
      <c r="L79" s="593"/>
      <c r="M79" s="593"/>
      <c r="N79" s="593"/>
    </row>
    <row r="80" spans="1:35">
      <c r="A80" s="599">
        <f>$A$10</f>
        <v>43282</v>
      </c>
      <c r="B80" s="600">
        <f>'Temp. Adjustments'!I5</f>
        <v>-1297.8321335000001</v>
      </c>
      <c r="C80" s="769">
        <v>7.2029999999999997E-2</v>
      </c>
      <c r="D80" s="602">
        <f>ROUND((B80*C80)*1000,2)/1000</f>
        <v>-93.482849999999999</v>
      </c>
      <c r="E80" s="604"/>
      <c r="H80" s="591"/>
      <c r="I80" s="591"/>
      <c r="J80" s="592"/>
      <c r="K80" s="594"/>
      <c r="L80" s="594"/>
      <c r="M80" s="594"/>
      <c r="N80" s="595"/>
    </row>
    <row r="81" spans="1:21">
      <c r="A81" s="599">
        <f>$A$11</f>
        <v>43313</v>
      </c>
      <c r="B81" s="600">
        <f>'Temp. Adjustments'!I6</f>
        <v>95.333755400000001</v>
      </c>
      <c r="C81" s="769">
        <v>7.2029999999999997E-2</v>
      </c>
      <c r="D81" s="602">
        <f t="shared" ref="D81:D91" si="17">ROUND((B81*C81)*1000,2)/1000</f>
        <v>6.8668900000000006</v>
      </c>
      <c r="E81" s="604"/>
      <c r="H81" s="591"/>
      <c r="I81" s="591"/>
      <c r="J81" s="592"/>
      <c r="K81" s="595"/>
      <c r="L81" s="595"/>
      <c r="M81" s="595"/>
      <c r="N81" s="595"/>
    </row>
    <row r="82" spans="1:21">
      <c r="A82" s="599">
        <f>$A$12</f>
        <v>43344</v>
      </c>
      <c r="B82" s="600">
        <f>'Temp. Adjustments'!I7</f>
        <v>1622.0781869</v>
      </c>
      <c r="C82" s="769">
        <v>7.2029999999999997E-2</v>
      </c>
      <c r="D82" s="602">
        <f t="shared" si="17"/>
        <v>116.83829</v>
      </c>
      <c r="E82" s="604"/>
      <c r="H82" s="591"/>
      <c r="I82" s="591"/>
      <c r="J82" s="592"/>
      <c r="K82" s="606"/>
      <c r="L82" s="600"/>
      <c r="M82" s="594"/>
      <c r="N82" s="594"/>
    </row>
    <row r="83" spans="1:21">
      <c r="A83" s="599">
        <f>$A$13</f>
        <v>43374</v>
      </c>
      <c r="B83" s="600">
        <f>'Temp. Adjustments'!I8</f>
        <v>455.6066849</v>
      </c>
      <c r="C83" s="769">
        <v>7.2029999999999997E-2</v>
      </c>
      <c r="D83" s="602">
        <f t="shared" si="17"/>
        <v>32.817349999999998</v>
      </c>
      <c r="E83" s="604"/>
      <c r="H83" s="591"/>
      <c r="I83" s="591"/>
      <c r="J83" s="592"/>
      <c r="K83" s="606"/>
      <c r="L83" s="600"/>
      <c r="M83" s="594"/>
      <c r="N83" s="594"/>
    </row>
    <row r="84" spans="1:21">
      <c r="A84" s="599">
        <f>$A$14</f>
        <v>43405</v>
      </c>
      <c r="B84" s="600">
        <f>'Temp. Adjustments'!I9</f>
        <v>0</v>
      </c>
      <c r="C84" s="769">
        <v>7.2029999999999997E-2</v>
      </c>
      <c r="D84" s="602">
        <f t="shared" si="17"/>
        <v>0</v>
      </c>
      <c r="E84" s="604"/>
      <c r="G84" s="631"/>
      <c r="H84" s="594"/>
      <c r="I84" s="600"/>
      <c r="J84" s="592"/>
      <c r="K84" s="606"/>
      <c r="L84" s="600"/>
      <c r="M84" s="594"/>
      <c r="N84" s="594"/>
    </row>
    <row r="85" spans="1:21">
      <c r="A85" s="599">
        <f>$A$15</f>
        <v>43435</v>
      </c>
      <c r="B85" s="600">
        <f>'Temp. Adjustments'!I10</f>
        <v>0</v>
      </c>
      <c r="C85" s="769">
        <v>7.2029999999999997E-2</v>
      </c>
      <c r="D85" s="602">
        <f t="shared" si="17"/>
        <v>0</v>
      </c>
      <c r="E85" s="604"/>
      <c r="H85" s="594"/>
      <c r="I85" s="600"/>
      <c r="J85" s="592"/>
      <c r="K85" s="606"/>
      <c r="L85" s="600"/>
      <c r="M85" s="594"/>
      <c r="N85" s="594"/>
    </row>
    <row r="86" spans="1:21">
      <c r="A86" s="599">
        <f>$A$16</f>
        <v>43466</v>
      </c>
      <c r="B86" s="600">
        <f>'Temp. Adjustments'!I11</f>
        <v>0</v>
      </c>
      <c r="C86" s="769">
        <v>7.2029999999999997E-2</v>
      </c>
      <c r="D86" s="602">
        <f t="shared" si="17"/>
        <v>0</v>
      </c>
      <c r="E86" s="604"/>
      <c r="J86" s="592"/>
      <c r="K86" s="606"/>
      <c r="L86" s="600"/>
      <c r="M86" s="594"/>
      <c r="N86" s="594"/>
    </row>
    <row r="87" spans="1:21">
      <c r="A87" s="599">
        <f>$A$17</f>
        <v>43497</v>
      </c>
      <c r="B87" s="600">
        <f>'Temp. Adjustments'!I12</f>
        <v>0</v>
      </c>
      <c r="C87" s="769">
        <v>7.2029999999999997E-2</v>
      </c>
      <c r="D87" s="602">
        <f t="shared" si="17"/>
        <v>0</v>
      </c>
      <c r="E87" s="604"/>
      <c r="J87" s="592"/>
      <c r="K87" s="606"/>
      <c r="L87" s="600"/>
      <c r="M87" s="594"/>
      <c r="N87" s="594"/>
    </row>
    <row r="88" spans="1:21">
      <c r="A88" s="599">
        <f>$A$18</f>
        <v>43525</v>
      </c>
      <c r="B88" s="600">
        <f>'Temp. Adjustments'!I13</f>
        <v>0</v>
      </c>
      <c r="C88" s="769">
        <v>7.2029999999999997E-2</v>
      </c>
      <c r="D88" s="602">
        <f t="shared" si="17"/>
        <v>0</v>
      </c>
      <c r="E88" s="604"/>
      <c r="J88" s="592"/>
      <c r="K88" s="606"/>
      <c r="L88" s="600"/>
      <c r="M88" s="594"/>
      <c r="N88" s="594"/>
    </row>
    <row r="89" spans="1:21">
      <c r="A89" s="599">
        <f>$A$19</f>
        <v>43556</v>
      </c>
      <c r="B89" s="600">
        <f>'Temp. Adjustments'!I14</f>
        <v>0</v>
      </c>
      <c r="C89" s="769">
        <v>7.2029999999999997E-2</v>
      </c>
      <c r="D89" s="602">
        <f t="shared" si="17"/>
        <v>0</v>
      </c>
      <c r="E89" s="604"/>
      <c r="J89" s="592"/>
      <c r="K89" s="606"/>
      <c r="L89" s="600"/>
      <c r="M89" s="594"/>
      <c r="N89" s="594"/>
    </row>
    <row r="90" spans="1:21">
      <c r="A90" s="599">
        <f>$A$20</f>
        <v>43586</v>
      </c>
      <c r="B90" s="600">
        <f>'Temp. Adjustments'!I15</f>
        <v>-2325.4486441000004</v>
      </c>
      <c r="C90" s="769">
        <v>7.2029999999999997E-2</v>
      </c>
      <c r="D90" s="602">
        <f t="shared" si="17"/>
        <v>-167.50207</v>
      </c>
      <c r="E90" s="604"/>
      <c r="J90" s="592"/>
      <c r="K90" s="606"/>
      <c r="L90" s="600"/>
      <c r="M90" s="594"/>
      <c r="N90" s="594"/>
    </row>
    <row r="91" spans="1:21">
      <c r="A91" s="599">
        <f>$A$21</f>
        <v>43617</v>
      </c>
      <c r="B91" s="626">
        <f>'Temp. Adjustments'!I16</f>
        <v>-920.85300940000002</v>
      </c>
      <c r="C91" s="773">
        <v>7.2029999999999997E-2</v>
      </c>
      <c r="D91" s="611">
        <f t="shared" si="17"/>
        <v>-66.329039999999992</v>
      </c>
      <c r="E91" s="604"/>
      <c r="J91" s="592"/>
      <c r="K91" s="606"/>
      <c r="L91" s="600"/>
      <c r="M91" s="594"/>
      <c r="N91" s="594"/>
    </row>
    <row r="92" spans="1:21">
      <c r="A92" s="592" t="s">
        <v>9</v>
      </c>
      <c r="B92" s="604">
        <f>SUM(B80:B91)</f>
        <v>-2371.1151598000006</v>
      </c>
      <c r="C92" s="612" t="s">
        <v>31</v>
      </c>
      <c r="D92" s="613">
        <f>SUM(D80:D91)</f>
        <v>-170.79142999999999</v>
      </c>
      <c r="E92" s="614"/>
      <c r="J92" s="592"/>
      <c r="K92" s="606"/>
      <c r="L92" s="600"/>
      <c r="M92" s="594"/>
      <c r="N92" s="594"/>
    </row>
    <row r="93" spans="1:21">
      <c r="A93" s="632"/>
      <c r="K93" s="592"/>
      <c r="P93" s="592"/>
      <c r="Q93" s="606"/>
      <c r="R93" s="600"/>
      <c r="S93" s="594"/>
      <c r="T93" s="594"/>
    </row>
    <row r="95" spans="1:21">
      <c r="A95" s="586" t="s">
        <v>68</v>
      </c>
      <c r="B95" s="589" t="s">
        <v>12</v>
      </c>
      <c r="C95" s="590" t="s">
        <v>198</v>
      </c>
      <c r="D95" s="589" t="s">
        <v>198</v>
      </c>
      <c r="E95" s="590"/>
      <c r="F95" s="589"/>
      <c r="G95" s="590" t="s">
        <v>1</v>
      </c>
      <c r="H95" s="591"/>
      <c r="I95" s="591"/>
      <c r="J95" s="592"/>
      <c r="K95" s="593"/>
      <c r="L95" s="593"/>
      <c r="M95" s="593"/>
      <c r="N95" s="593"/>
      <c r="O95" s="592"/>
      <c r="P95" s="591"/>
      <c r="Q95" s="591"/>
      <c r="R95" s="591"/>
      <c r="S95" s="591"/>
    </row>
    <row r="96" spans="1:21">
      <c r="A96" s="588" t="s">
        <v>18</v>
      </c>
      <c r="B96" s="589" t="s">
        <v>16</v>
      </c>
      <c r="C96" s="590" t="s">
        <v>199</v>
      </c>
      <c r="D96" s="589" t="s">
        <v>200</v>
      </c>
      <c r="E96" s="590" t="s">
        <v>199</v>
      </c>
      <c r="F96" s="589" t="s">
        <v>200</v>
      </c>
      <c r="G96" s="590" t="s">
        <v>26</v>
      </c>
      <c r="H96" s="592"/>
      <c r="K96" s="591" t="s">
        <v>201</v>
      </c>
      <c r="L96" s="591"/>
      <c r="M96" s="594"/>
      <c r="N96" s="594"/>
      <c r="O96" s="594"/>
      <c r="P96" s="595"/>
      <c r="Q96" s="592"/>
      <c r="R96" s="592"/>
      <c r="S96" s="592"/>
      <c r="T96" s="592"/>
      <c r="U96" s="592"/>
    </row>
    <row r="97" spans="1:24">
      <c r="A97" s="589" t="s">
        <v>24</v>
      </c>
      <c r="B97" s="596" t="s">
        <v>23</v>
      </c>
      <c r="C97" s="597" t="s">
        <v>23</v>
      </c>
      <c r="D97" s="596" t="s">
        <v>23</v>
      </c>
      <c r="E97" s="597" t="s">
        <v>38</v>
      </c>
      <c r="F97" s="596" t="s">
        <v>38</v>
      </c>
      <c r="G97" s="598" t="s">
        <v>191</v>
      </c>
      <c r="H97" s="592"/>
      <c r="K97" s="781" t="str">
        <f>K9</f>
        <v>June 19 Blocking</v>
      </c>
      <c r="L97" s="776"/>
      <c r="M97" s="592"/>
      <c r="N97" s="592"/>
      <c r="O97" s="592"/>
      <c r="P97" s="592"/>
      <c r="Q97" s="592"/>
    </row>
    <row r="98" spans="1:24">
      <c r="A98" s="599">
        <f>$A$10</f>
        <v>43282</v>
      </c>
      <c r="B98" s="600">
        <f>'Temp. Adjustments'!G5</f>
        <v>-1777.4638022374959</v>
      </c>
      <c r="C98" s="601">
        <f>$B98*$L$10/$L$12</f>
        <v>-780.61999075178301</v>
      </c>
      <c r="D98" s="600">
        <f t="shared" ref="D98:D109" si="18">$B98*$L$11/$L$12</f>
        <v>-996.84381148571299</v>
      </c>
      <c r="E98" s="769">
        <v>5.9119999999999999E-2</v>
      </c>
      <c r="F98" s="774">
        <v>5.4100000000000002E-2</v>
      </c>
      <c r="G98" s="602">
        <f>ROUND((C98*E98+D98*F98)*1000,2)/1000</f>
        <v>-100.0795</v>
      </c>
      <c r="H98" s="592"/>
      <c r="I98" s="603"/>
      <c r="K98" s="777" t="s">
        <v>202</v>
      </c>
      <c r="L98" s="778">
        <v>373650571.33333403</v>
      </c>
      <c r="M98" s="592"/>
      <c r="N98" s="592"/>
      <c r="O98" s="604"/>
      <c r="P98" s="592"/>
      <c r="Q98" s="592"/>
    </row>
    <row r="99" spans="1:24">
      <c r="A99" s="599">
        <f>$A$11</f>
        <v>43313</v>
      </c>
      <c r="B99" s="600">
        <f>'Temp. Adjustments'!G6</f>
        <v>77.021396356856499</v>
      </c>
      <c r="C99" s="601">
        <f t="shared" ref="C99:C109" si="19">$B99*$L$10/$L$12</f>
        <v>33.825972509872358</v>
      </c>
      <c r="D99" s="600">
        <f t="shared" si="18"/>
        <v>43.195423846984141</v>
      </c>
      <c r="E99" s="769">
        <v>5.9119999999999999E-2</v>
      </c>
      <c r="F99" s="774">
        <v>5.4100000000000002E-2</v>
      </c>
      <c r="G99" s="602">
        <f t="shared" ref="G99:G102" si="20">ROUND((C99*E99+D99*F99)*1000,2)/1000</f>
        <v>4.3366600000000002</v>
      </c>
      <c r="H99" s="592"/>
      <c r="I99" s="603"/>
      <c r="K99" s="779" t="s">
        <v>203</v>
      </c>
      <c r="L99" s="605">
        <f>L100-L98</f>
        <v>471409345.66666597</v>
      </c>
      <c r="M99" s="592"/>
      <c r="N99" s="592"/>
      <c r="O99" s="604"/>
      <c r="P99" s="592"/>
      <c r="Q99" s="592"/>
    </row>
    <row r="100" spans="1:24">
      <c r="A100" s="599">
        <f>$A$12</f>
        <v>43344</v>
      </c>
      <c r="B100" s="600">
        <f>'Temp. Adjustments'!G7</f>
        <v>1194.7763627682634</v>
      </c>
      <c r="C100" s="601">
        <f>$B100*$L$10/$L$12</f>
        <v>524.71747220987424</v>
      </c>
      <c r="D100" s="600">
        <f t="shared" si="18"/>
        <v>670.05889055838918</v>
      </c>
      <c r="E100" s="769">
        <v>5.9119999999999999E-2</v>
      </c>
      <c r="F100" s="774">
        <v>5.4100000000000002E-2</v>
      </c>
      <c r="G100" s="602">
        <f t="shared" si="20"/>
        <v>67.271479999999997</v>
      </c>
      <c r="H100" s="592"/>
      <c r="I100" s="603"/>
      <c r="K100" s="606" t="s">
        <v>9</v>
      </c>
      <c r="L100" s="600">
        <v>845059917</v>
      </c>
      <c r="M100" s="592"/>
      <c r="N100" s="592"/>
      <c r="O100" s="604"/>
      <c r="P100" s="592"/>
      <c r="Q100" s="592"/>
    </row>
    <row r="101" spans="1:24">
      <c r="A101" s="599">
        <f>$A$13</f>
        <v>43374</v>
      </c>
      <c r="B101" s="600">
        <f>'Temp. Adjustments'!G8</f>
        <v>613.68204753404495</v>
      </c>
      <c r="C101" s="601">
        <f t="shared" si="19"/>
        <v>269.51461608811587</v>
      </c>
      <c r="D101" s="600">
        <f t="shared" si="18"/>
        <v>344.16743144592908</v>
      </c>
      <c r="E101" s="769">
        <v>5.9119999999999999E-2</v>
      </c>
      <c r="F101" s="774">
        <v>5.4100000000000002E-2</v>
      </c>
      <c r="G101" s="602">
        <f t="shared" si="20"/>
        <v>34.553160000000005</v>
      </c>
      <c r="H101" s="592"/>
      <c r="I101" s="607"/>
      <c r="J101" s="600"/>
      <c r="K101" s="594"/>
      <c r="L101" s="600"/>
      <c r="M101" s="592"/>
      <c r="N101" s="592"/>
      <c r="O101" s="604"/>
      <c r="P101" s="592"/>
      <c r="Q101" s="592"/>
    </row>
    <row r="102" spans="1:24">
      <c r="A102" s="599">
        <f>$A$14</f>
        <v>43405</v>
      </c>
      <c r="B102" s="600">
        <f>'Temp. Adjustments'!G9</f>
        <v>-685.78108901805115</v>
      </c>
      <c r="C102" s="601">
        <f t="shared" si="19"/>
        <v>-301.17880695693066</v>
      </c>
      <c r="D102" s="600">
        <f t="shared" si="18"/>
        <v>-384.60228206112055</v>
      </c>
      <c r="E102" s="769">
        <v>5.9119999999999999E-2</v>
      </c>
      <c r="F102" s="774">
        <v>5.4100000000000002E-2</v>
      </c>
      <c r="G102" s="602">
        <f t="shared" si="20"/>
        <v>-38.612670000000001</v>
      </c>
      <c r="H102" s="592"/>
      <c r="I102" s="599"/>
      <c r="J102" s="600"/>
      <c r="K102" s="594"/>
      <c r="L102" s="600"/>
      <c r="M102" s="592"/>
      <c r="N102" s="592"/>
      <c r="O102" s="604"/>
      <c r="P102" s="592"/>
      <c r="Q102" s="592"/>
    </row>
    <row r="103" spans="1:24">
      <c r="A103" s="599">
        <f>$A$15</f>
        <v>43435</v>
      </c>
      <c r="B103" s="600">
        <f>'Temp. Adjustments'!G10</f>
        <v>2447.0756589426724</v>
      </c>
      <c r="C103" s="601">
        <f t="shared" si="19"/>
        <v>1074.697653953971</v>
      </c>
      <c r="D103" s="600">
        <f t="shared" si="18"/>
        <v>1372.3780049887012</v>
      </c>
      <c r="E103" s="769">
        <v>5.9119999999999999E-2</v>
      </c>
      <c r="F103" s="774">
        <v>5.4100000000000002E-2</v>
      </c>
      <c r="G103" s="608">
        <f>ROUND((C103*E103+D103*F103)*1000,2)/1000</f>
        <v>137.78178</v>
      </c>
      <c r="H103" s="592"/>
      <c r="I103" s="599"/>
      <c r="J103" s="600"/>
      <c r="K103" s="594"/>
      <c r="L103" s="600"/>
      <c r="M103" s="592"/>
      <c r="N103" s="592"/>
      <c r="O103" s="604"/>
      <c r="P103" s="592"/>
      <c r="Q103" s="592"/>
    </row>
    <row r="104" spans="1:24">
      <c r="A104" s="599">
        <f>$A$16</f>
        <v>43466</v>
      </c>
      <c r="B104" s="600">
        <f>'Temp. Adjustments'!G11</f>
        <v>808.18377362902515</v>
      </c>
      <c r="C104" s="601">
        <f t="shared" si="19"/>
        <v>354.93516610682292</v>
      </c>
      <c r="D104" s="600">
        <f t="shared" si="18"/>
        <v>453.24860752220218</v>
      </c>
      <c r="E104" s="769">
        <v>5.9119999999999999E-2</v>
      </c>
      <c r="F104" s="774">
        <v>5.4100000000000002E-2</v>
      </c>
      <c r="G104" s="602">
        <f>ROUND((C104*E104+D104*F104)*1000,2)/1000</f>
        <v>45.504519999999999</v>
      </c>
      <c r="H104" s="599"/>
      <c r="I104" s="599"/>
      <c r="J104" s="600"/>
      <c r="K104" s="594"/>
      <c r="L104" s="594"/>
      <c r="M104" s="592"/>
      <c r="N104" s="592"/>
      <c r="O104" s="604"/>
      <c r="P104" s="592"/>
      <c r="Q104" s="592"/>
    </row>
    <row r="105" spans="1:24">
      <c r="A105" s="599">
        <f>$A$17</f>
        <v>43497</v>
      </c>
      <c r="B105" s="600">
        <f>'Temp. Adjustments'!G12</f>
        <v>-4936.2920721378796</v>
      </c>
      <c r="C105" s="601">
        <f t="shared" si="19"/>
        <v>-2167.902528788321</v>
      </c>
      <c r="D105" s="600">
        <f t="shared" si="18"/>
        <v>-2768.3895433495586</v>
      </c>
      <c r="E105" s="769">
        <v>5.9119999999999999E-2</v>
      </c>
      <c r="F105" s="774">
        <v>5.4100000000000002E-2</v>
      </c>
      <c r="G105" s="602">
        <f t="shared" ref="G105:G109" si="21">ROUND((C105*E105+D105*F105)*1000,2)/1000</f>
        <v>-277.93627000000004</v>
      </c>
      <c r="H105" s="592" t="s">
        <v>31</v>
      </c>
      <c r="I105" s="599"/>
      <c r="J105" s="600"/>
      <c r="K105" s="594"/>
      <c r="L105" s="594"/>
      <c r="M105" s="592"/>
      <c r="N105" s="592"/>
      <c r="O105" s="604"/>
      <c r="P105" s="592"/>
      <c r="Q105" s="592"/>
    </row>
    <row r="106" spans="1:24">
      <c r="A106" s="599">
        <f>$A$18</f>
        <v>43525</v>
      </c>
      <c r="B106" s="600">
        <f>'Temp. Adjustments'!G13</f>
        <v>-2943.697468782334</v>
      </c>
      <c r="C106" s="601">
        <f t="shared" si="19"/>
        <v>-1292.8021870061561</v>
      </c>
      <c r="D106" s="600">
        <f t="shared" si="18"/>
        <v>-1650.8952817761779</v>
      </c>
      <c r="E106" s="769">
        <v>5.9119999999999999E-2</v>
      </c>
      <c r="F106" s="774">
        <v>5.4100000000000002E-2</v>
      </c>
      <c r="G106" s="602">
        <f t="shared" si="21"/>
        <v>-165.7439</v>
      </c>
      <c r="H106" s="592"/>
      <c r="I106" s="599"/>
      <c r="J106" s="600"/>
      <c r="K106" s="594"/>
      <c r="L106" s="594"/>
      <c r="M106" s="592"/>
      <c r="N106" s="592"/>
      <c r="O106" s="604"/>
      <c r="P106" s="592"/>
      <c r="Q106" s="592"/>
    </row>
    <row r="107" spans="1:24">
      <c r="A107" s="599">
        <f>$A$19</f>
        <v>43556</v>
      </c>
      <c r="B107" s="600">
        <f>'Temp. Adjustments'!G14</f>
        <v>55.782309445673889</v>
      </c>
      <c r="C107" s="601">
        <f t="shared" si="19"/>
        <v>24.498268729174832</v>
      </c>
      <c r="D107" s="600">
        <f t="shared" si="18"/>
        <v>31.284040716499053</v>
      </c>
      <c r="E107" s="769">
        <v>5.9119999999999999E-2</v>
      </c>
      <c r="F107" s="774">
        <v>5.4100000000000002E-2</v>
      </c>
      <c r="G107" s="602">
        <f t="shared" si="21"/>
        <v>3.1408</v>
      </c>
      <c r="H107" s="599"/>
      <c r="I107" s="599"/>
      <c r="J107" s="600"/>
      <c r="K107" s="594"/>
      <c r="L107" s="594"/>
      <c r="M107" s="592"/>
      <c r="N107" s="592"/>
      <c r="O107" s="604"/>
      <c r="P107" s="592"/>
      <c r="Q107" s="592"/>
    </row>
    <row r="108" spans="1:24">
      <c r="A108" s="599">
        <f>$A$20</f>
        <v>43586</v>
      </c>
      <c r="B108" s="600">
        <f>'Temp. Adjustments'!G15</f>
        <v>-1770.805080576203</v>
      </c>
      <c r="C108" s="601">
        <f t="shared" si="19"/>
        <v>-777.69563795477302</v>
      </c>
      <c r="D108" s="600">
        <f t="shared" si="18"/>
        <v>-993.10944262142993</v>
      </c>
      <c r="E108" s="769">
        <v>5.9119999999999999E-2</v>
      </c>
      <c r="F108" s="774">
        <v>5.4100000000000002E-2</v>
      </c>
      <c r="G108" s="602">
        <f t="shared" si="21"/>
        <v>-99.704589999999996</v>
      </c>
      <c r="H108" s="599"/>
      <c r="I108" s="603"/>
      <c r="J108" s="600"/>
      <c r="K108" s="594"/>
      <c r="L108" s="594"/>
      <c r="M108" s="592"/>
      <c r="N108" s="592"/>
      <c r="O108" s="604"/>
      <c r="P108" s="592"/>
      <c r="Q108" s="592"/>
    </row>
    <row r="109" spans="1:24">
      <c r="A109" s="599">
        <f>$A$21</f>
        <v>43617</v>
      </c>
      <c r="B109" s="626">
        <f>'Temp. Adjustments'!G16</f>
        <v>-755.09898885095083</v>
      </c>
      <c r="C109" s="610">
        <f t="shared" si="19"/>
        <v>-331.62158630263411</v>
      </c>
      <c r="D109" s="609">
        <f t="shared" si="18"/>
        <v>-423.47740254831666</v>
      </c>
      <c r="E109" s="771">
        <v>5.9119999999999999E-2</v>
      </c>
      <c r="F109" s="775">
        <v>5.4100000000000002E-2</v>
      </c>
      <c r="G109" s="611">
        <f t="shared" si="21"/>
        <v>-42.515599999999999</v>
      </c>
      <c r="H109" s="592"/>
      <c r="I109" s="603"/>
      <c r="J109" s="600"/>
      <c r="K109" s="594"/>
      <c r="L109" s="594"/>
      <c r="M109" s="592"/>
      <c r="N109" s="592"/>
      <c r="O109" s="592"/>
      <c r="P109" s="592"/>
      <c r="Q109" s="592"/>
    </row>
    <row r="110" spans="1:24">
      <c r="A110" s="592" t="s">
        <v>9</v>
      </c>
      <c r="B110" s="604">
        <f>SUM(B98:B109)</f>
        <v>-7672.6169529263789</v>
      </c>
      <c r="C110" s="601">
        <f>SUM(C98:C109)</f>
        <v>-3369.6315881627665</v>
      </c>
      <c r="D110" s="604">
        <f>SUM(D98:D109)</f>
        <v>-4302.9853647636119</v>
      </c>
      <c r="E110" s="612" t="s">
        <v>31</v>
      </c>
      <c r="F110" s="588" t="s">
        <v>31</v>
      </c>
      <c r="G110" s="613">
        <f>SUM(G98:G109)</f>
        <v>-432.00413000000003</v>
      </c>
      <c r="H110" s="614"/>
      <c r="I110" s="594"/>
      <c r="J110" s="600"/>
      <c r="K110" s="594"/>
      <c r="L110" s="615"/>
      <c r="M110" s="592"/>
      <c r="N110" s="592"/>
      <c r="O110" s="604"/>
      <c r="P110" s="592"/>
      <c r="Q110" s="616"/>
    </row>
    <row r="111" spans="1:24">
      <c r="A111" s="592"/>
      <c r="B111" s="604"/>
      <c r="C111" s="604"/>
      <c r="D111" s="604"/>
      <c r="E111" s="604"/>
      <c r="F111" s="604"/>
      <c r="G111" s="604"/>
      <c r="H111" s="604"/>
      <c r="I111" s="604"/>
      <c r="J111" s="604"/>
      <c r="L111" s="617"/>
      <c r="M111" s="592"/>
      <c r="N111" s="594"/>
      <c r="O111" s="600"/>
      <c r="P111" s="594"/>
      <c r="Q111" s="615"/>
      <c r="R111" s="592"/>
      <c r="S111" s="592"/>
      <c r="T111" s="604"/>
      <c r="U111" s="592"/>
      <c r="V111" s="616"/>
    </row>
    <row r="112" spans="1:24" ht="16.5" customHeight="1">
      <c r="A112" s="586" t="s">
        <v>749</v>
      </c>
      <c r="B112" s="589" t="s">
        <v>12</v>
      </c>
      <c r="C112" s="590"/>
      <c r="D112" s="590" t="s">
        <v>1</v>
      </c>
      <c r="E112" s="586" t="s">
        <v>749</v>
      </c>
      <c r="F112" s="589" t="s">
        <v>12</v>
      </c>
      <c r="G112" s="590"/>
      <c r="H112" s="590" t="s">
        <v>1</v>
      </c>
      <c r="J112" s="617"/>
      <c r="K112" s="592"/>
      <c r="L112" s="594"/>
      <c r="M112" s="600"/>
      <c r="N112" s="594"/>
      <c r="O112" s="615"/>
      <c r="P112" s="592"/>
      <c r="Q112" s="592"/>
      <c r="R112" s="604"/>
      <c r="S112" s="592"/>
      <c r="T112" s="616"/>
      <c r="X112" s="588" t="s">
        <v>31</v>
      </c>
    </row>
    <row r="113" spans="1:20">
      <c r="A113" s="588" t="s">
        <v>750</v>
      </c>
      <c r="B113" s="589" t="s">
        <v>16</v>
      </c>
      <c r="C113" s="590" t="s">
        <v>199</v>
      </c>
      <c r="D113" s="590" t="s">
        <v>26</v>
      </c>
      <c r="E113" s="588" t="s">
        <v>751</v>
      </c>
      <c r="F113" s="589" t="s">
        <v>16</v>
      </c>
      <c r="G113" s="590" t="s">
        <v>199</v>
      </c>
      <c r="H113" s="590" t="s">
        <v>26</v>
      </c>
      <c r="I113" s="591"/>
    </row>
    <row r="114" spans="1:20">
      <c r="A114" s="589" t="s">
        <v>24</v>
      </c>
      <c r="B114" s="596" t="s">
        <v>23</v>
      </c>
      <c r="C114" s="597" t="s">
        <v>38</v>
      </c>
      <c r="D114" s="598" t="s">
        <v>191</v>
      </c>
      <c r="E114" s="592"/>
      <c r="F114" s="596" t="s">
        <v>23</v>
      </c>
      <c r="G114" s="597" t="s">
        <v>38</v>
      </c>
      <c r="H114" s="598" t="s">
        <v>191</v>
      </c>
      <c r="I114" s="591"/>
      <c r="J114" s="592"/>
      <c r="K114" s="839" t="str">
        <f>K9</f>
        <v>June 19 Blocking</v>
      </c>
      <c r="L114" s="839"/>
      <c r="M114" s="593"/>
      <c r="N114" s="593"/>
    </row>
    <row r="115" spans="1:20">
      <c r="A115" s="599">
        <f>$A$10</f>
        <v>43282</v>
      </c>
      <c r="B115" s="600">
        <f>'Temp. Adjustments'!H5*$L$115/$L$117</f>
        <v>-302.57230589078335</v>
      </c>
      <c r="C115" s="769">
        <v>4.8520000000000001E-2</v>
      </c>
      <c r="D115" s="602">
        <f>ROUND((B115*C115)*1000,2)/1000</f>
        <v>-14.680809999999999</v>
      </c>
      <c r="E115" s="604"/>
      <c r="F115" s="600">
        <f>'Temp. Adjustments'!H5*Temperature!$L$116/Temperature!$L$117</f>
        <v>-155.66960433551151</v>
      </c>
      <c r="G115" s="769">
        <v>4.7980000000000002E-2</v>
      </c>
      <c r="H115" s="602">
        <f>ROUND((F115*G115)*1000,2)/1000</f>
        <v>-7.4690300000000001</v>
      </c>
      <c r="I115" s="591"/>
      <c r="J115" s="592"/>
      <c r="K115" s="594" t="s">
        <v>706</v>
      </c>
      <c r="L115" s="600">
        <v>128374601</v>
      </c>
      <c r="M115" s="594"/>
      <c r="N115" s="595"/>
    </row>
    <row r="116" spans="1:20">
      <c r="A116" s="599">
        <f>$A$11</f>
        <v>43313</v>
      </c>
      <c r="B116" s="600">
        <f>'Temp. Adjustments'!H6*$L$115/$L$117</f>
        <v>12.45003181309743</v>
      </c>
      <c r="C116" s="769">
        <v>4.8520000000000001E-2</v>
      </c>
      <c r="D116" s="602">
        <f t="shared" ref="D116:D126" si="22">ROUND((B116*C116)*1000,2)/1000</f>
        <v>0.60408000000000006</v>
      </c>
      <c r="E116" s="604"/>
      <c r="F116" s="600">
        <f>'Temp. Adjustments'!H6*Temperature!$L$116/Temperature!$L$117</f>
        <v>6.4053830723324108</v>
      </c>
      <c r="G116" s="769">
        <v>4.7980000000000002E-2</v>
      </c>
      <c r="H116" s="602">
        <f t="shared" ref="H116:H126" si="23">ROUND((F116*G116)*1000,2)/1000</f>
        <v>0.30732999999999999</v>
      </c>
      <c r="I116" s="591"/>
      <c r="J116" s="592"/>
      <c r="K116" s="782" t="s">
        <v>707</v>
      </c>
      <c r="L116" s="605">
        <f>L117-L115</f>
        <v>66047100</v>
      </c>
      <c r="M116" s="595"/>
      <c r="N116" s="595"/>
    </row>
    <row r="117" spans="1:20">
      <c r="A117" s="599">
        <f>$A$12</f>
        <v>43344</v>
      </c>
      <c r="B117" s="600">
        <f>'Temp. Adjustments'!H7*$L$115/$L$117</f>
        <v>194.66518327148842</v>
      </c>
      <c r="C117" s="769">
        <v>4.8520000000000001E-2</v>
      </c>
      <c r="D117" s="602">
        <f t="shared" si="22"/>
        <v>9.4451499999999999</v>
      </c>
      <c r="E117" s="604"/>
      <c r="F117" s="600">
        <f>'Temp. Adjustments'!H7*Temperature!$L$116/Temperature!$L$117</f>
        <v>100.15276172932622</v>
      </c>
      <c r="G117" s="769">
        <v>4.7980000000000002E-2</v>
      </c>
      <c r="H117" s="602">
        <f t="shared" si="23"/>
        <v>4.8053299999999997</v>
      </c>
      <c r="I117" s="591"/>
      <c r="J117" s="592"/>
      <c r="K117" s="606"/>
      <c r="L117" s="600">
        <v>194421701</v>
      </c>
      <c r="M117" s="594"/>
      <c r="N117" s="594"/>
    </row>
    <row r="118" spans="1:20">
      <c r="A118" s="599">
        <f>$A$13</f>
        <v>43374</v>
      </c>
      <c r="B118" s="600">
        <f>'Temp. Adjustments'!H8*$L$115/$L$117</f>
        <v>94.934945936041856</v>
      </c>
      <c r="C118" s="769">
        <v>4.8520000000000001E-2</v>
      </c>
      <c r="D118" s="602">
        <f t="shared" si="22"/>
        <v>4.6062399999999997</v>
      </c>
      <c r="E118" s="604"/>
      <c r="F118" s="600">
        <f>'Temp. Adjustments'!H8*Temperature!$L$116/Temperature!$L$117</f>
        <v>48.842822636950984</v>
      </c>
      <c r="G118" s="769">
        <v>4.7980000000000002E-2</v>
      </c>
      <c r="H118" s="602">
        <f t="shared" si="23"/>
        <v>2.34348</v>
      </c>
      <c r="I118" s="591"/>
      <c r="J118" s="592"/>
      <c r="K118" s="606"/>
      <c r="L118" s="600"/>
      <c r="M118" s="594"/>
      <c r="N118" s="594"/>
    </row>
    <row r="119" spans="1:20">
      <c r="A119" s="599">
        <f>$A$14</f>
        <v>43405</v>
      </c>
      <c r="B119" s="600">
        <f>'Temp. Adjustments'!H9*$L$115/$L$117</f>
        <v>-103.23690533882723</v>
      </c>
      <c r="C119" s="769">
        <v>4.8520000000000001E-2</v>
      </c>
      <c r="D119" s="602">
        <f t="shared" si="22"/>
        <v>-5.0090500000000002</v>
      </c>
      <c r="E119" s="604"/>
      <c r="F119" s="600">
        <f>'Temp. Adjustments'!H9*Temperature!$L$116/Temperature!$L$117</f>
        <v>-53.114075194703474</v>
      </c>
      <c r="G119" s="769">
        <v>4.7980000000000002E-2</v>
      </c>
      <c r="H119" s="602">
        <f t="shared" si="23"/>
        <v>-2.5484100000000001</v>
      </c>
      <c r="I119" s="600"/>
      <c r="J119" s="592"/>
      <c r="K119" s="606"/>
      <c r="L119" s="600"/>
      <c r="M119" s="594"/>
      <c r="N119" s="594"/>
    </row>
    <row r="120" spans="1:20">
      <c r="A120" s="599">
        <f>$A$15</f>
        <v>43435</v>
      </c>
      <c r="B120" s="600">
        <f>'Temp. Adjustments'!H10*$L$115/$L$117</f>
        <v>348.25374113760421</v>
      </c>
      <c r="C120" s="769">
        <v>4.8520000000000001E-2</v>
      </c>
      <c r="D120" s="602">
        <f t="shared" si="22"/>
        <v>16.897269999999999</v>
      </c>
      <c r="E120" s="604"/>
      <c r="F120" s="600">
        <f>'Temp. Adjustments'!H10*Temperature!$L$116/Temperature!$L$117</f>
        <v>179.17212195494542</v>
      </c>
      <c r="G120" s="769">
        <v>4.7980000000000002E-2</v>
      </c>
      <c r="H120" s="602">
        <f t="shared" si="23"/>
        <v>8.596680000000001</v>
      </c>
      <c r="I120" s="600"/>
      <c r="J120" s="592"/>
      <c r="K120" s="606"/>
      <c r="L120" s="600"/>
      <c r="M120" s="594"/>
      <c r="N120" s="594"/>
    </row>
    <row r="121" spans="1:20">
      <c r="A121" s="599">
        <f>$A$16</f>
        <v>43466</v>
      </c>
      <c r="B121" s="600">
        <f>'Temp. Adjustments'!H11*$L$115/$L$117</f>
        <v>113.95390698492515</v>
      </c>
      <c r="C121" s="769">
        <v>4.8520000000000001E-2</v>
      </c>
      <c r="D121" s="602">
        <f t="shared" si="22"/>
        <v>5.5290400000000002</v>
      </c>
      <c r="E121" s="604"/>
      <c r="F121" s="600">
        <f>'Temp. Adjustments'!H11*Temperature!$L$116/Temperature!$L$117</f>
        <v>58.627836280667786</v>
      </c>
      <c r="G121" s="769">
        <v>4.7980000000000002E-2</v>
      </c>
      <c r="H121" s="602">
        <f t="shared" si="23"/>
        <v>2.8129599999999999</v>
      </c>
      <c r="J121" s="592"/>
      <c r="K121" s="606"/>
      <c r="L121" s="600"/>
      <c r="M121" s="594"/>
      <c r="N121" s="594"/>
    </row>
    <row r="122" spans="1:20">
      <c r="A122" s="599">
        <f>$A$17</f>
        <v>43497</v>
      </c>
      <c r="B122" s="600">
        <f>'Temp. Adjustments'!H12*$L$115/$L$117</f>
        <v>-673.46498258591976</v>
      </c>
      <c r="C122" s="769">
        <v>4.8520000000000001E-2</v>
      </c>
      <c r="D122" s="602">
        <f t="shared" si="22"/>
        <v>-32.676520000000004</v>
      </c>
      <c r="E122" s="604"/>
      <c r="F122" s="600">
        <f>'Temp. Adjustments'!H12*Temperature!$L$116/Temperature!$L$117</f>
        <v>-346.48917079283075</v>
      </c>
      <c r="G122" s="769">
        <v>4.7980000000000002E-2</v>
      </c>
      <c r="H122" s="602">
        <f t="shared" si="23"/>
        <v>-16.624549999999999</v>
      </c>
      <c r="J122" s="592"/>
      <c r="K122" s="606"/>
      <c r="L122" s="600"/>
      <c r="M122" s="594"/>
      <c r="N122" s="594"/>
    </row>
    <row r="123" spans="1:20">
      <c r="A123" s="599">
        <f>$A$18</f>
        <v>43525</v>
      </c>
      <c r="B123" s="600">
        <f>'Temp. Adjustments'!H13*$L$115/$L$117</f>
        <v>-419.80181934085113</v>
      </c>
      <c r="C123" s="769">
        <v>4.8520000000000001E-2</v>
      </c>
      <c r="D123" s="602">
        <f t="shared" si="22"/>
        <v>-20.368779999999997</v>
      </c>
      <c r="E123" s="604"/>
      <c r="F123" s="600">
        <f>'Temp. Adjustments'!H13*Temperature!$L$116/Temperature!$L$117</f>
        <v>-215.98269849490811</v>
      </c>
      <c r="G123" s="769">
        <v>4.7980000000000002E-2</v>
      </c>
      <c r="H123" s="602">
        <f t="shared" si="23"/>
        <v>-10.36285</v>
      </c>
      <c r="J123" s="592"/>
      <c r="K123" s="606"/>
      <c r="L123" s="600"/>
      <c r="M123" s="594"/>
      <c r="N123" s="594"/>
    </row>
    <row r="124" spans="1:20">
      <c r="A124" s="599">
        <f>$A$19</f>
        <v>43556</v>
      </c>
      <c r="B124" s="600">
        <f>'Temp. Adjustments'!H14*$L$115/$L$117</f>
        <v>8.2358863795258745</v>
      </c>
      <c r="C124" s="769">
        <v>4.8520000000000001E-2</v>
      </c>
      <c r="D124" s="602">
        <f t="shared" si="22"/>
        <v>0.39961000000000002</v>
      </c>
      <c r="E124" s="604"/>
      <c r="F124" s="600">
        <f>'Temp. Adjustments'!H14*Temperature!$L$116/Temperature!$L$117</f>
        <v>4.2372588273686889</v>
      </c>
      <c r="G124" s="769">
        <v>4.7980000000000002E-2</v>
      </c>
      <c r="H124" s="602">
        <f t="shared" si="23"/>
        <v>0.20330000000000001</v>
      </c>
      <c r="J124" s="592"/>
      <c r="K124" s="606"/>
      <c r="L124" s="600"/>
      <c r="M124" s="594"/>
      <c r="N124" s="594"/>
    </row>
    <row r="125" spans="1:20">
      <c r="A125" s="599">
        <f>$A$20</f>
        <v>43586</v>
      </c>
      <c r="B125" s="600">
        <f>'Temp. Adjustments'!H15*$L$115/$L$117</f>
        <v>-266.86897685810192</v>
      </c>
      <c r="C125" s="769">
        <v>4.8520000000000001E-2</v>
      </c>
      <c r="D125" s="602">
        <f t="shared" si="22"/>
        <v>-12.94848</v>
      </c>
      <c r="E125" s="604"/>
      <c r="F125" s="600">
        <f>'Temp. Adjustments'!H15*Temperature!$L$116/Temperature!$L$117</f>
        <v>-137.30069549696003</v>
      </c>
      <c r="G125" s="769">
        <v>4.7980000000000002E-2</v>
      </c>
      <c r="H125" s="602">
        <f t="shared" si="23"/>
        <v>-6.5876899999999994</v>
      </c>
      <c r="J125" s="592"/>
      <c r="K125" s="606"/>
      <c r="L125" s="600"/>
      <c r="M125" s="594"/>
      <c r="N125" s="594"/>
    </row>
    <row r="126" spans="1:20">
      <c r="A126" s="599">
        <f>$A$21</f>
        <v>43617</v>
      </c>
      <c r="B126" s="785">
        <f>'Temp. Adjustments'!H16*$L$115/$L$117</f>
        <v>-120.42888645096372</v>
      </c>
      <c r="C126" s="773">
        <v>4.8520000000000001E-2</v>
      </c>
      <c r="D126" s="611">
        <f t="shared" si="22"/>
        <v>-5.84321</v>
      </c>
      <c r="E126" s="604"/>
      <c r="F126" s="605">
        <f>'Temp. Adjustments'!H16*Temperature!$L$116/Temperature!$L$117</f>
        <v>-61.959130890038331</v>
      </c>
      <c r="G126" s="773">
        <v>4.7980000000000002E-2</v>
      </c>
      <c r="H126" s="611">
        <f t="shared" si="23"/>
        <v>-2.9728000000000003</v>
      </c>
      <c r="J126" s="592"/>
      <c r="K126" s="606"/>
      <c r="L126" s="600"/>
      <c r="M126" s="594"/>
      <c r="N126" s="594"/>
    </row>
    <row r="127" spans="1:20">
      <c r="A127" s="592" t="s">
        <v>9</v>
      </c>
      <c r="B127" s="604">
        <f>SUM(B115:B126)</f>
        <v>-1113.8801809427644</v>
      </c>
      <c r="C127" s="612" t="s">
        <v>31</v>
      </c>
      <c r="D127" s="613">
        <f>SUM(D115:D126)</f>
        <v>-54.045459999999991</v>
      </c>
      <c r="E127" s="614"/>
      <c r="F127" s="604">
        <f>SUM(F115:F126)</f>
        <v>-573.07719070336066</v>
      </c>
      <c r="G127" s="612" t="s">
        <v>31</v>
      </c>
      <c r="H127" s="613">
        <f>SUM(H115:H126)</f>
        <v>-27.49625</v>
      </c>
      <c r="J127" s="592"/>
      <c r="K127" s="606"/>
      <c r="L127" s="600"/>
      <c r="M127" s="594"/>
      <c r="N127" s="594"/>
    </row>
    <row r="128" spans="1:20">
      <c r="A128" s="632"/>
      <c r="K128" s="592"/>
      <c r="P128" s="592"/>
      <c r="Q128" s="606"/>
      <c r="R128" s="600"/>
      <c r="S128" s="594"/>
      <c r="T128" s="594"/>
    </row>
    <row r="129" spans="1:20">
      <c r="B129" s="633"/>
      <c r="K129" s="592"/>
      <c r="P129" s="592"/>
      <c r="Q129" s="594"/>
      <c r="R129" s="600"/>
      <c r="S129" s="634"/>
      <c r="T129" s="576"/>
    </row>
    <row r="130" spans="1:20">
      <c r="J130" s="577" t="s">
        <v>31</v>
      </c>
      <c r="Q130" s="635"/>
      <c r="R130" s="635"/>
      <c r="S130" s="635"/>
      <c r="T130" s="635"/>
    </row>
    <row r="131" spans="1:20">
      <c r="A131" s="592"/>
      <c r="B131" s="592" t="s">
        <v>25</v>
      </c>
      <c r="C131" s="592" t="s">
        <v>1</v>
      </c>
      <c r="D131" s="592"/>
      <c r="E131" s="592"/>
      <c r="G131" s="592"/>
      <c r="H131" s="592"/>
      <c r="J131" s="592"/>
      <c r="K131" s="592"/>
      <c r="L131" s="592"/>
      <c r="M131" s="592"/>
      <c r="N131" s="592"/>
      <c r="O131" s="592"/>
      <c r="P131" s="592"/>
      <c r="Q131" s="592"/>
      <c r="R131" s="592"/>
      <c r="S131" s="592"/>
    </row>
    <row r="132" spans="1:20">
      <c r="A132" s="592" t="s">
        <v>27</v>
      </c>
      <c r="B132" s="604">
        <f>(B22+B40+B58+O75)*1000</f>
        <v>-60226372.630040109</v>
      </c>
      <c r="C132" s="636">
        <f>(G22+G40+G58+V75)*1000</f>
        <v>-5364939.7200000007</v>
      </c>
      <c r="D132" s="604">
        <f>B132+B134+B136</f>
        <v>-77101942.939099997</v>
      </c>
      <c r="E132" s="636">
        <f>C132+C134+C136</f>
        <v>-6463994.9400000004</v>
      </c>
      <c r="G132" s="604"/>
      <c r="H132" s="604"/>
      <c r="J132" s="592"/>
      <c r="K132" s="592" t="s">
        <v>31</v>
      </c>
      <c r="L132" s="592"/>
      <c r="M132" s="592"/>
      <c r="N132" s="592"/>
      <c r="O132" s="592"/>
      <c r="P132" s="592"/>
      <c r="Q132" s="592"/>
      <c r="R132" s="592"/>
      <c r="S132" s="592"/>
    </row>
    <row r="134" spans="1:20">
      <c r="A134" s="592" t="s">
        <v>28</v>
      </c>
      <c r="B134" s="604">
        <f>(B75+B110+B127+F127)*1000</f>
        <v>-14504455.149259884</v>
      </c>
      <c r="C134" s="636">
        <f>(I75+G110+D127+H127)*1000</f>
        <v>-928263.79</v>
      </c>
      <c r="D134" s="592"/>
      <c r="E134" s="592"/>
      <c r="G134" s="604"/>
      <c r="H134" s="604"/>
      <c r="J134" s="592"/>
      <c r="K134" s="592"/>
      <c r="L134" s="592"/>
      <c r="M134" s="592"/>
      <c r="N134" s="592"/>
      <c r="O134" s="592"/>
      <c r="P134" s="592"/>
      <c r="Q134" s="592"/>
      <c r="R134" s="592"/>
      <c r="S134" s="592"/>
    </row>
    <row r="135" spans="1:20">
      <c r="A135" s="592"/>
      <c r="B135" s="604"/>
      <c r="C135" s="636"/>
      <c r="D135" s="592"/>
      <c r="E135" s="592"/>
      <c r="G135" s="604"/>
      <c r="H135" s="604"/>
      <c r="J135" s="592"/>
      <c r="K135" s="592"/>
      <c r="L135" s="592"/>
      <c r="M135" s="592"/>
      <c r="N135" s="592"/>
      <c r="O135" s="592"/>
      <c r="P135" s="592"/>
      <c r="Q135" s="592"/>
      <c r="R135" s="592"/>
      <c r="S135" s="592"/>
    </row>
    <row r="136" spans="1:20">
      <c r="A136" s="592" t="s">
        <v>207</v>
      </c>
      <c r="B136" s="604">
        <f>(B92)*1000</f>
        <v>-2371115.1598000005</v>
      </c>
      <c r="C136" s="636">
        <f>(D92)*1000</f>
        <v>-170791.43</v>
      </c>
      <c r="D136" s="592"/>
      <c r="E136" s="592"/>
      <c r="G136" s="604"/>
      <c r="H136" s="604"/>
      <c r="J136" s="592"/>
      <c r="K136" s="592"/>
      <c r="L136" s="592"/>
      <c r="M136" s="592"/>
      <c r="N136" s="592"/>
      <c r="O136" s="592"/>
      <c r="P136" s="592"/>
      <c r="Q136" s="592"/>
      <c r="R136" s="592"/>
      <c r="S136" s="592"/>
    </row>
    <row r="138" spans="1:20">
      <c r="A138" s="588" t="s">
        <v>206</v>
      </c>
      <c r="B138" s="592"/>
      <c r="C138" s="592"/>
      <c r="D138" s="592"/>
      <c r="E138" s="592"/>
      <c r="F138" s="592"/>
      <c r="G138" s="592"/>
      <c r="H138" s="592"/>
      <c r="I138" s="592"/>
      <c r="J138" s="592"/>
      <c r="K138" s="592"/>
      <c r="L138" s="592"/>
      <c r="M138" s="592"/>
      <c r="N138" s="592"/>
      <c r="O138" s="592"/>
      <c r="P138" s="592"/>
      <c r="Q138" s="592"/>
      <c r="R138" s="592"/>
      <c r="S138" s="592"/>
      <c r="T138" s="592"/>
    </row>
    <row r="139" spans="1:20">
      <c r="A139" s="592" t="s">
        <v>31</v>
      </c>
      <c r="B139" s="592"/>
      <c r="C139" s="592"/>
      <c r="D139" s="592"/>
      <c r="E139" s="592"/>
      <c r="F139" s="592"/>
      <c r="G139" s="592"/>
      <c r="H139" s="592"/>
      <c r="I139" s="592"/>
      <c r="J139" s="592"/>
      <c r="K139" s="592"/>
      <c r="L139" s="592"/>
      <c r="M139" s="592"/>
      <c r="N139" s="592"/>
      <c r="O139" s="592"/>
      <c r="P139" s="592"/>
      <c r="Q139" s="592"/>
      <c r="R139" s="592"/>
      <c r="S139" s="592"/>
      <c r="T139" s="592"/>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workbookViewId="0">
      <selection activeCell="B8" sqref="B8"/>
    </sheetView>
  </sheetViews>
  <sheetFormatPr defaultRowHeight="12.75"/>
  <cols>
    <col min="1" max="1" width="9" style="711"/>
    <col min="2" max="2" width="6.375" style="711" customWidth="1"/>
    <col min="3" max="3" width="11.75" style="711" bestFit="1" customWidth="1"/>
    <col min="4" max="4" width="9.875" style="711" customWidth="1"/>
    <col min="5" max="5" width="10.125" style="711" customWidth="1"/>
    <col min="6" max="8" width="10.75" style="711" bestFit="1" customWidth="1"/>
    <col min="9" max="11" width="9.5" style="711" customWidth="1"/>
    <col min="12" max="12" width="5.125" style="711" customWidth="1"/>
    <col min="13" max="21" width="9" style="711"/>
    <col min="22" max="22" width="9.125" style="711" customWidth="1"/>
    <col min="23" max="23" width="9" style="711"/>
    <col min="24" max="24" width="4.25" style="711" customWidth="1"/>
    <col min="25" max="257" width="9" style="711"/>
    <col min="258" max="258" width="6.375" style="711" customWidth="1"/>
    <col min="259" max="259" width="11.75" style="711" bestFit="1" customWidth="1"/>
    <col min="260" max="260" width="9.875" style="711" customWidth="1"/>
    <col min="261" max="261" width="10.125" style="711" customWidth="1"/>
    <col min="262" max="264" width="10.75" style="711" bestFit="1" customWidth="1"/>
    <col min="265" max="267" width="9.5" style="711" customWidth="1"/>
    <col min="268" max="268" width="5.125" style="711" customWidth="1"/>
    <col min="269" max="277" width="9" style="711"/>
    <col min="278" max="278" width="9.125" style="711" customWidth="1"/>
    <col min="279" max="279" width="9" style="711"/>
    <col min="280" max="280" width="4.25" style="711" customWidth="1"/>
    <col min="281" max="513" width="9" style="711"/>
    <col min="514" max="514" width="6.375" style="711" customWidth="1"/>
    <col min="515" max="515" width="11.75" style="711" bestFit="1" customWidth="1"/>
    <col min="516" max="516" width="9.875" style="711" customWidth="1"/>
    <col min="517" max="517" width="10.125" style="711" customWidth="1"/>
    <col min="518" max="520" width="10.75" style="711" bestFit="1" customWidth="1"/>
    <col min="521" max="523" width="9.5" style="711" customWidth="1"/>
    <col min="524" max="524" width="5.125" style="711" customWidth="1"/>
    <col min="525" max="533" width="9" style="711"/>
    <col min="534" max="534" width="9.125" style="711" customWidth="1"/>
    <col min="535" max="535" width="9" style="711"/>
    <col min="536" max="536" width="4.25" style="711" customWidth="1"/>
    <col min="537" max="769" width="9" style="711"/>
    <col min="770" max="770" width="6.375" style="711" customWidth="1"/>
    <col min="771" max="771" width="11.75" style="711" bestFit="1" customWidth="1"/>
    <col min="772" max="772" width="9.875" style="711" customWidth="1"/>
    <col min="773" max="773" width="10.125" style="711" customWidth="1"/>
    <col min="774" max="776" width="10.75" style="711" bestFit="1" customWidth="1"/>
    <col min="777" max="779" width="9.5" style="711" customWidth="1"/>
    <col min="780" max="780" width="5.125" style="711" customWidth="1"/>
    <col min="781" max="789" width="9" style="711"/>
    <col min="790" max="790" width="9.125" style="711" customWidth="1"/>
    <col min="791" max="791" width="9" style="711"/>
    <col min="792" max="792" width="4.25" style="711" customWidth="1"/>
    <col min="793" max="1025" width="9" style="711"/>
    <col min="1026" max="1026" width="6.375" style="711" customWidth="1"/>
    <col min="1027" max="1027" width="11.75" style="711" bestFit="1" customWidth="1"/>
    <col min="1028" max="1028" width="9.875" style="711" customWidth="1"/>
    <col min="1029" max="1029" width="10.125" style="711" customWidth="1"/>
    <col min="1030" max="1032" width="10.75" style="711" bestFit="1" customWidth="1"/>
    <col min="1033" max="1035" width="9.5" style="711" customWidth="1"/>
    <col min="1036" max="1036" width="5.125" style="711" customWidth="1"/>
    <col min="1037" max="1045" width="9" style="711"/>
    <col min="1046" max="1046" width="9.125" style="711" customWidth="1"/>
    <col min="1047" max="1047" width="9" style="711"/>
    <col min="1048" max="1048" width="4.25" style="711" customWidth="1"/>
    <col min="1049" max="1281" width="9" style="711"/>
    <col min="1282" max="1282" width="6.375" style="711" customWidth="1"/>
    <col min="1283" max="1283" width="11.75" style="711" bestFit="1" customWidth="1"/>
    <col min="1284" max="1284" width="9.875" style="711" customWidth="1"/>
    <col min="1285" max="1285" width="10.125" style="711" customWidth="1"/>
    <col min="1286" max="1288" width="10.75" style="711" bestFit="1" customWidth="1"/>
    <col min="1289" max="1291" width="9.5" style="711" customWidth="1"/>
    <col min="1292" max="1292" width="5.125" style="711" customWidth="1"/>
    <col min="1293" max="1301" width="9" style="711"/>
    <col min="1302" max="1302" width="9.125" style="711" customWidth="1"/>
    <col min="1303" max="1303" width="9" style="711"/>
    <col min="1304" max="1304" width="4.25" style="711" customWidth="1"/>
    <col min="1305" max="1537" width="9" style="711"/>
    <col min="1538" max="1538" width="6.375" style="711" customWidth="1"/>
    <col min="1539" max="1539" width="11.75" style="711" bestFit="1" customWidth="1"/>
    <col min="1540" max="1540" width="9.875" style="711" customWidth="1"/>
    <col min="1541" max="1541" width="10.125" style="711" customWidth="1"/>
    <col min="1542" max="1544" width="10.75" style="711" bestFit="1" customWidth="1"/>
    <col min="1545" max="1547" width="9.5" style="711" customWidth="1"/>
    <col min="1548" max="1548" width="5.125" style="711" customWidth="1"/>
    <col min="1549" max="1557" width="9" style="711"/>
    <col min="1558" max="1558" width="9.125" style="711" customWidth="1"/>
    <col min="1559" max="1559" width="9" style="711"/>
    <col min="1560" max="1560" width="4.25" style="711" customWidth="1"/>
    <col min="1561" max="1793" width="9" style="711"/>
    <col min="1794" max="1794" width="6.375" style="711" customWidth="1"/>
    <col min="1795" max="1795" width="11.75" style="711" bestFit="1" customWidth="1"/>
    <col min="1796" max="1796" width="9.875" style="711" customWidth="1"/>
    <col min="1797" max="1797" width="10.125" style="711" customWidth="1"/>
    <col min="1798" max="1800" width="10.75" style="711" bestFit="1" customWidth="1"/>
    <col min="1801" max="1803" width="9.5" style="711" customWidth="1"/>
    <col min="1804" max="1804" width="5.125" style="711" customWidth="1"/>
    <col min="1805" max="1813" width="9" style="711"/>
    <col min="1814" max="1814" width="9.125" style="711" customWidth="1"/>
    <col min="1815" max="1815" width="9" style="711"/>
    <col min="1816" max="1816" width="4.25" style="711" customWidth="1"/>
    <col min="1817" max="2049" width="9" style="711"/>
    <col min="2050" max="2050" width="6.375" style="711" customWidth="1"/>
    <col min="2051" max="2051" width="11.75" style="711" bestFit="1" customWidth="1"/>
    <col min="2052" max="2052" width="9.875" style="711" customWidth="1"/>
    <col min="2053" max="2053" width="10.125" style="711" customWidth="1"/>
    <col min="2054" max="2056" width="10.75" style="711" bestFit="1" customWidth="1"/>
    <col min="2057" max="2059" width="9.5" style="711" customWidth="1"/>
    <col min="2060" max="2060" width="5.125" style="711" customWidth="1"/>
    <col min="2061" max="2069" width="9" style="711"/>
    <col min="2070" max="2070" width="9.125" style="711" customWidth="1"/>
    <col min="2071" max="2071" width="9" style="711"/>
    <col min="2072" max="2072" width="4.25" style="711" customWidth="1"/>
    <col min="2073" max="2305" width="9" style="711"/>
    <col min="2306" max="2306" width="6.375" style="711" customWidth="1"/>
    <col min="2307" max="2307" width="11.75" style="711" bestFit="1" customWidth="1"/>
    <col min="2308" max="2308" width="9.875" style="711" customWidth="1"/>
    <col min="2309" max="2309" width="10.125" style="711" customWidth="1"/>
    <col min="2310" max="2312" width="10.75" style="711" bestFit="1" customWidth="1"/>
    <col min="2313" max="2315" width="9.5" style="711" customWidth="1"/>
    <col min="2316" max="2316" width="5.125" style="711" customWidth="1"/>
    <col min="2317" max="2325" width="9" style="711"/>
    <col min="2326" max="2326" width="9.125" style="711" customWidth="1"/>
    <col min="2327" max="2327" width="9" style="711"/>
    <col min="2328" max="2328" width="4.25" style="711" customWidth="1"/>
    <col min="2329" max="2561" width="9" style="711"/>
    <col min="2562" max="2562" width="6.375" style="711" customWidth="1"/>
    <col min="2563" max="2563" width="11.75" style="711" bestFit="1" customWidth="1"/>
    <col min="2564" max="2564" width="9.875" style="711" customWidth="1"/>
    <col min="2565" max="2565" width="10.125" style="711" customWidth="1"/>
    <col min="2566" max="2568" width="10.75" style="711" bestFit="1" customWidth="1"/>
    <col min="2569" max="2571" width="9.5" style="711" customWidth="1"/>
    <col min="2572" max="2572" width="5.125" style="711" customWidth="1"/>
    <col min="2573" max="2581" width="9" style="711"/>
    <col min="2582" max="2582" width="9.125" style="711" customWidth="1"/>
    <col min="2583" max="2583" width="9" style="711"/>
    <col min="2584" max="2584" width="4.25" style="711" customWidth="1"/>
    <col min="2585" max="2817" width="9" style="711"/>
    <col min="2818" max="2818" width="6.375" style="711" customWidth="1"/>
    <col min="2819" max="2819" width="11.75" style="711" bestFit="1" customWidth="1"/>
    <col min="2820" max="2820" width="9.875" style="711" customWidth="1"/>
    <col min="2821" max="2821" width="10.125" style="711" customWidth="1"/>
    <col min="2822" max="2824" width="10.75" style="711" bestFit="1" customWidth="1"/>
    <col min="2825" max="2827" width="9.5" style="711" customWidth="1"/>
    <col min="2828" max="2828" width="5.125" style="711" customWidth="1"/>
    <col min="2829" max="2837" width="9" style="711"/>
    <col min="2838" max="2838" width="9.125" style="711" customWidth="1"/>
    <col min="2839" max="2839" width="9" style="711"/>
    <col min="2840" max="2840" width="4.25" style="711" customWidth="1"/>
    <col min="2841" max="3073" width="9" style="711"/>
    <col min="3074" max="3074" width="6.375" style="711" customWidth="1"/>
    <col min="3075" max="3075" width="11.75" style="711" bestFit="1" customWidth="1"/>
    <col min="3076" max="3076" width="9.875" style="711" customWidth="1"/>
    <col min="3077" max="3077" width="10.125" style="711" customWidth="1"/>
    <col min="3078" max="3080" width="10.75" style="711" bestFit="1" customWidth="1"/>
    <col min="3081" max="3083" width="9.5" style="711" customWidth="1"/>
    <col min="3084" max="3084" width="5.125" style="711" customWidth="1"/>
    <col min="3085" max="3093" width="9" style="711"/>
    <col min="3094" max="3094" width="9.125" style="711" customWidth="1"/>
    <col min="3095" max="3095" width="9" style="711"/>
    <col min="3096" max="3096" width="4.25" style="711" customWidth="1"/>
    <col min="3097" max="3329" width="9" style="711"/>
    <col min="3330" max="3330" width="6.375" style="711" customWidth="1"/>
    <col min="3331" max="3331" width="11.75" style="711" bestFit="1" customWidth="1"/>
    <col min="3332" max="3332" width="9.875" style="711" customWidth="1"/>
    <col min="3333" max="3333" width="10.125" style="711" customWidth="1"/>
    <col min="3334" max="3336" width="10.75" style="711" bestFit="1" customWidth="1"/>
    <col min="3337" max="3339" width="9.5" style="711" customWidth="1"/>
    <col min="3340" max="3340" width="5.125" style="711" customWidth="1"/>
    <col min="3341" max="3349" width="9" style="711"/>
    <col min="3350" max="3350" width="9.125" style="711" customWidth="1"/>
    <col min="3351" max="3351" width="9" style="711"/>
    <col min="3352" max="3352" width="4.25" style="711" customWidth="1"/>
    <col min="3353" max="3585" width="9" style="711"/>
    <col min="3586" max="3586" width="6.375" style="711" customWidth="1"/>
    <col min="3587" max="3587" width="11.75" style="711" bestFit="1" customWidth="1"/>
    <col min="3588" max="3588" width="9.875" style="711" customWidth="1"/>
    <col min="3589" max="3589" width="10.125" style="711" customWidth="1"/>
    <col min="3590" max="3592" width="10.75" style="711" bestFit="1" customWidth="1"/>
    <col min="3593" max="3595" width="9.5" style="711" customWidth="1"/>
    <col min="3596" max="3596" width="5.125" style="711" customWidth="1"/>
    <col min="3597" max="3605" width="9" style="711"/>
    <col min="3606" max="3606" width="9.125" style="711" customWidth="1"/>
    <col min="3607" max="3607" width="9" style="711"/>
    <col min="3608" max="3608" width="4.25" style="711" customWidth="1"/>
    <col min="3609" max="3841" width="9" style="711"/>
    <col min="3842" max="3842" width="6.375" style="711" customWidth="1"/>
    <col min="3843" max="3843" width="11.75" style="711" bestFit="1" customWidth="1"/>
    <col min="3844" max="3844" width="9.875" style="711" customWidth="1"/>
    <col min="3845" max="3845" width="10.125" style="711" customWidth="1"/>
    <col min="3846" max="3848" width="10.75" style="711" bestFit="1" customWidth="1"/>
    <col min="3849" max="3851" width="9.5" style="711" customWidth="1"/>
    <col min="3852" max="3852" width="5.125" style="711" customWidth="1"/>
    <col min="3853" max="3861" width="9" style="711"/>
    <col min="3862" max="3862" width="9.125" style="711" customWidth="1"/>
    <col min="3863" max="3863" width="9" style="711"/>
    <col min="3864" max="3864" width="4.25" style="711" customWidth="1"/>
    <col min="3865" max="4097" width="9" style="711"/>
    <col min="4098" max="4098" width="6.375" style="711" customWidth="1"/>
    <col min="4099" max="4099" width="11.75" style="711" bestFit="1" customWidth="1"/>
    <col min="4100" max="4100" width="9.875" style="711" customWidth="1"/>
    <col min="4101" max="4101" width="10.125" style="711" customWidth="1"/>
    <col min="4102" max="4104" width="10.75" style="711" bestFit="1" customWidth="1"/>
    <col min="4105" max="4107" width="9.5" style="711" customWidth="1"/>
    <col min="4108" max="4108" width="5.125" style="711" customWidth="1"/>
    <col min="4109" max="4117" width="9" style="711"/>
    <col min="4118" max="4118" width="9.125" style="711" customWidth="1"/>
    <col min="4119" max="4119" width="9" style="711"/>
    <col min="4120" max="4120" width="4.25" style="711" customWidth="1"/>
    <col min="4121" max="4353" width="9" style="711"/>
    <col min="4354" max="4354" width="6.375" style="711" customWidth="1"/>
    <col min="4355" max="4355" width="11.75" style="711" bestFit="1" customWidth="1"/>
    <col min="4356" max="4356" width="9.875" style="711" customWidth="1"/>
    <col min="4357" max="4357" width="10.125" style="711" customWidth="1"/>
    <col min="4358" max="4360" width="10.75" style="711" bestFit="1" customWidth="1"/>
    <col min="4361" max="4363" width="9.5" style="711" customWidth="1"/>
    <col min="4364" max="4364" width="5.125" style="711" customWidth="1"/>
    <col min="4365" max="4373" width="9" style="711"/>
    <col min="4374" max="4374" width="9.125" style="711" customWidth="1"/>
    <col min="4375" max="4375" width="9" style="711"/>
    <col min="4376" max="4376" width="4.25" style="711" customWidth="1"/>
    <col min="4377" max="4609" width="9" style="711"/>
    <col min="4610" max="4610" width="6.375" style="711" customWidth="1"/>
    <col min="4611" max="4611" width="11.75" style="711" bestFit="1" customWidth="1"/>
    <col min="4612" max="4612" width="9.875" style="711" customWidth="1"/>
    <col min="4613" max="4613" width="10.125" style="711" customWidth="1"/>
    <col min="4614" max="4616" width="10.75" style="711" bestFit="1" customWidth="1"/>
    <col min="4617" max="4619" width="9.5" style="711" customWidth="1"/>
    <col min="4620" max="4620" width="5.125" style="711" customWidth="1"/>
    <col min="4621" max="4629" width="9" style="711"/>
    <col min="4630" max="4630" width="9.125" style="711" customWidth="1"/>
    <col min="4631" max="4631" width="9" style="711"/>
    <col min="4632" max="4632" width="4.25" style="711" customWidth="1"/>
    <col min="4633" max="4865" width="9" style="711"/>
    <col min="4866" max="4866" width="6.375" style="711" customWidth="1"/>
    <col min="4867" max="4867" width="11.75" style="711" bestFit="1" customWidth="1"/>
    <col min="4868" max="4868" width="9.875" style="711" customWidth="1"/>
    <col min="4869" max="4869" width="10.125" style="711" customWidth="1"/>
    <col min="4870" max="4872" width="10.75" style="711" bestFit="1" customWidth="1"/>
    <col min="4873" max="4875" width="9.5" style="711" customWidth="1"/>
    <col min="4876" max="4876" width="5.125" style="711" customWidth="1"/>
    <col min="4877" max="4885" width="9" style="711"/>
    <col min="4886" max="4886" width="9.125" style="711" customWidth="1"/>
    <col min="4887" max="4887" width="9" style="711"/>
    <col min="4888" max="4888" width="4.25" style="711" customWidth="1"/>
    <col min="4889" max="5121" width="9" style="711"/>
    <col min="5122" max="5122" width="6.375" style="711" customWidth="1"/>
    <col min="5123" max="5123" width="11.75" style="711" bestFit="1" customWidth="1"/>
    <col min="5124" max="5124" width="9.875" style="711" customWidth="1"/>
    <col min="5125" max="5125" width="10.125" style="711" customWidth="1"/>
    <col min="5126" max="5128" width="10.75" style="711" bestFit="1" customWidth="1"/>
    <col min="5129" max="5131" width="9.5" style="711" customWidth="1"/>
    <col min="5132" max="5132" width="5.125" style="711" customWidth="1"/>
    <col min="5133" max="5141" width="9" style="711"/>
    <col min="5142" max="5142" width="9.125" style="711" customWidth="1"/>
    <col min="5143" max="5143" width="9" style="711"/>
    <col min="5144" max="5144" width="4.25" style="711" customWidth="1"/>
    <col min="5145" max="5377" width="9" style="711"/>
    <col min="5378" max="5378" width="6.375" style="711" customWidth="1"/>
    <col min="5379" max="5379" width="11.75" style="711" bestFit="1" customWidth="1"/>
    <col min="5380" max="5380" width="9.875" style="711" customWidth="1"/>
    <col min="5381" max="5381" width="10.125" style="711" customWidth="1"/>
    <col min="5382" max="5384" width="10.75" style="711" bestFit="1" customWidth="1"/>
    <col min="5385" max="5387" width="9.5" style="711" customWidth="1"/>
    <col min="5388" max="5388" width="5.125" style="711" customWidth="1"/>
    <col min="5389" max="5397" width="9" style="711"/>
    <col min="5398" max="5398" width="9.125" style="711" customWidth="1"/>
    <col min="5399" max="5399" width="9" style="711"/>
    <col min="5400" max="5400" width="4.25" style="711" customWidth="1"/>
    <col min="5401" max="5633" width="9" style="711"/>
    <col min="5634" max="5634" width="6.375" style="711" customWidth="1"/>
    <col min="5635" max="5635" width="11.75" style="711" bestFit="1" customWidth="1"/>
    <col min="5636" max="5636" width="9.875" style="711" customWidth="1"/>
    <col min="5637" max="5637" width="10.125" style="711" customWidth="1"/>
    <col min="5638" max="5640" width="10.75" style="711" bestFit="1" customWidth="1"/>
    <col min="5641" max="5643" width="9.5" style="711" customWidth="1"/>
    <col min="5644" max="5644" width="5.125" style="711" customWidth="1"/>
    <col min="5645" max="5653" width="9" style="711"/>
    <col min="5654" max="5654" width="9.125" style="711" customWidth="1"/>
    <col min="5655" max="5655" width="9" style="711"/>
    <col min="5656" max="5656" width="4.25" style="711" customWidth="1"/>
    <col min="5657" max="5889" width="9" style="711"/>
    <col min="5890" max="5890" width="6.375" style="711" customWidth="1"/>
    <col min="5891" max="5891" width="11.75" style="711" bestFit="1" customWidth="1"/>
    <col min="5892" max="5892" width="9.875" style="711" customWidth="1"/>
    <col min="5893" max="5893" width="10.125" style="711" customWidth="1"/>
    <col min="5894" max="5896" width="10.75" style="711" bestFit="1" customWidth="1"/>
    <col min="5897" max="5899" width="9.5" style="711" customWidth="1"/>
    <col min="5900" max="5900" width="5.125" style="711" customWidth="1"/>
    <col min="5901" max="5909" width="9" style="711"/>
    <col min="5910" max="5910" width="9.125" style="711" customWidth="1"/>
    <col min="5911" max="5911" width="9" style="711"/>
    <col min="5912" max="5912" width="4.25" style="711" customWidth="1"/>
    <col min="5913" max="6145" width="9" style="711"/>
    <col min="6146" max="6146" width="6.375" style="711" customWidth="1"/>
    <col min="6147" max="6147" width="11.75" style="711" bestFit="1" customWidth="1"/>
    <col min="6148" max="6148" width="9.875" style="711" customWidth="1"/>
    <col min="6149" max="6149" width="10.125" style="711" customWidth="1"/>
    <col min="6150" max="6152" width="10.75" style="711" bestFit="1" customWidth="1"/>
    <col min="6153" max="6155" width="9.5" style="711" customWidth="1"/>
    <col min="6156" max="6156" width="5.125" style="711" customWidth="1"/>
    <col min="6157" max="6165" width="9" style="711"/>
    <col min="6166" max="6166" width="9.125" style="711" customWidth="1"/>
    <col min="6167" max="6167" width="9" style="711"/>
    <col min="6168" max="6168" width="4.25" style="711" customWidth="1"/>
    <col min="6169" max="6401" width="9" style="711"/>
    <col min="6402" max="6402" width="6.375" style="711" customWidth="1"/>
    <col min="6403" max="6403" width="11.75" style="711" bestFit="1" customWidth="1"/>
    <col min="6404" max="6404" width="9.875" style="711" customWidth="1"/>
    <col min="6405" max="6405" width="10.125" style="711" customWidth="1"/>
    <col min="6406" max="6408" width="10.75" style="711" bestFit="1" customWidth="1"/>
    <col min="6409" max="6411" width="9.5" style="711" customWidth="1"/>
    <col min="6412" max="6412" width="5.125" style="711" customWidth="1"/>
    <col min="6413" max="6421" width="9" style="711"/>
    <col min="6422" max="6422" width="9.125" style="711" customWidth="1"/>
    <col min="6423" max="6423" width="9" style="711"/>
    <col min="6424" max="6424" width="4.25" style="711" customWidth="1"/>
    <col min="6425" max="6657" width="9" style="711"/>
    <col min="6658" max="6658" width="6.375" style="711" customWidth="1"/>
    <col min="6659" max="6659" width="11.75" style="711" bestFit="1" customWidth="1"/>
    <col min="6660" max="6660" width="9.875" style="711" customWidth="1"/>
    <col min="6661" max="6661" width="10.125" style="711" customWidth="1"/>
    <col min="6662" max="6664" width="10.75" style="711" bestFit="1" customWidth="1"/>
    <col min="6665" max="6667" width="9.5" style="711" customWidth="1"/>
    <col min="6668" max="6668" width="5.125" style="711" customWidth="1"/>
    <col min="6669" max="6677" width="9" style="711"/>
    <col min="6678" max="6678" width="9.125" style="711" customWidth="1"/>
    <col min="6679" max="6679" width="9" style="711"/>
    <col min="6680" max="6680" width="4.25" style="711" customWidth="1"/>
    <col min="6681" max="6913" width="9" style="711"/>
    <col min="6914" max="6914" width="6.375" style="711" customWidth="1"/>
    <col min="6915" max="6915" width="11.75" style="711" bestFit="1" customWidth="1"/>
    <col min="6916" max="6916" width="9.875" style="711" customWidth="1"/>
    <col min="6917" max="6917" width="10.125" style="711" customWidth="1"/>
    <col min="6918" max="6920" width="10.75" style="711" bestFit="1" customWidth="1"/>
    <col min="6921" max="6923" width="9.5" style="711" customWidth="1"/>
    <col min="6924" max="6924" width="5.125" style="711" customWidth="1"/>
    <col min="6925" max="6933" width="9" style="711"/>
    <col min="6934" max="6934" width="9.125" style="711" customWidth="1"/>
    <col min="6935" max="6935" width="9" style="711"/>
    <col min="6936" max="6936" width="4.25" style="711" customWidth="1"/>
    <col min="6937" max="7169" width="9" style="711"/>
    <col min="7170" max="7170" width="6.375" style="711" customWidth="1"/>
    <col min="7171" max="7171" width="11.75" style="711" bestFit="1" customWidth="1"/>
    <col min="7172" max="7172" width="9.875" style="711" customWidth="1"/>
    <col min="7173" max="7173" width="10.125" style="711" customWidth="1"/>
    <col min="7174" max="7176" width="10.75" style="711" bestFit="1" customWidth="1"/>
    <col min="7177" max="7179" width="9.5" style="711" customWidth="1"/>
    <col min="7180" max="7180" width="5.125" style="711" customWidth="1"/>
    <col min="7181" max="7189" width="9" style="711"/>
    <col min="7190" max="7190" width="9.125" style="711" customWidth="1"/>
    <col min="7191" max="7191" width="9" style="711"/>
    <col min="7192" max="7192" width="4.25" style="711" customWidth="1"/>
    <col min="7193" max="7425" width="9" style="711"/>
    <col min="7426" max="7426" width="6.375" style="711" customWidth="1"/>
    <col min="7427" max="7427" width="11.75" style="711" bestFit="1" customWidth="1"/>
    <col min="7428" max="7428" width="9.875" style="711" customWidth="1"/>
    <col min="7429" max="7429" width="10.125" style="711" customWidth="1"/>
    <col min="7430" max="7432" width="10.75" style="711" bestFit="1" customWidth="1"/>
    <col min="7433" max="7435" width="9.5" style="711" customWidth="1"/>
    <col min="7436" max="7436" width="5.125" style="711" customWidth="1"/>
    <col min="7437" max="7445" width="9" style="711"/>
    <col min="7446" max="7446" width="9.125" style="711" customWidth="1"/>
    <col min="7447" max="7447" width="9" style="711"/>
    <col min="7448" max="7448" width="4.25" style="711" customWidth="1"/>
    <col min="7449" max="7681" width="9" style="711"/>
    <col min="7682" max="7682" width="6.375" style="711" customWidth="1"/>
    <col min="7683" max="7683" width="11.75" style="711" bestFit="1" customWidth="1"/>
    <col min="7684" max="7684" width="9.875" style="711" customWidth="1"/>
    <col min="7685" max="7685" width="10.125" style="711" customWidth="1"/>
    <col min="7686" max="7688" width="10.75" style="711" bestFit="1" customWidth="1"/>
    <col min="7689" max="7691" width="9.5" style="711" customWidth="1"/>
    <col min="7692" max="7692" width="5.125" style="711" customWidth="1"/>
    <col min="7693" max="7701" width="9" style="711"/>
    <col min="7702" max="7702" width="9.125" style="711" customWidth="1"/>
    <col min="7703" max="7703" width="9" style="711"/>
    <col min="7704" max="7704" width="4.25" style="711" customWidth="1"/>
    <col min="7705" max="7937" width="9" style="711"/>
    <col min="7938" max="7938" width="6.375" style="711" customWidth="1"/>
    <col min="7939" max="7939" width="11.75" style="711" bestFit="1" customWidth="1"/>
    <col min="7940" max="7940" width="9.875" style="711" customWidth="1"/>
    <col min="7941" max="7941" width="10.125" style="711" customWidth="1"/>
    <col min="7942" max="7944" width="10.75" style="711" bestFit="1" customWidth="1"/>
    <col min="7945" max="7947" width="9.5" style="711" customWidth="1"/>
    <col min="7948" max="7948" width="5.125" style="711" customWidth="1"/>
    <col min="7949" max="7957" width="9" style="711"/>
    <col min="7958" max="7958" width="9.125" style="711" customWidth="1"/>
    <col min="7959" max="7959" width="9" style="711"/>
    <col min="7960" max="7960" width="4.25" style="711" customWidth="1"/>
    <col min="7961" max="8193" width="9" style="711"/>
    <col min="8194" max="8194" width="6.375" style="711" customWidth="1"/>
    <col min="8195" max="8195" width="11.75" style="711" bestFit="1" customWidth="1"/>
    <col min="8196" max="8196" width="9.875" style="711" customWidth="1"/>
    <col min="8197" max="8197" width="10.125" style="711" customWidth="1"/>
    <col min="8198" max="8200" width="10.75" style="711" bestFit="1" customWidth="1"/>
    <col min="8201" max="8203" width="9.5" style="711" customWidth="1"/>
    <col min="8204" max="8204" width="5.125" style="711" customWidth="1"/>
    <col min="8205" max="8213" width="9" style="711"/>
    <col min="8214" max="8214" width="9.125" style="711" customWidth="1"/>
    <col min="8215" max="8215" width="9" style="711"/>
    <col min="8216" max="8216" width="4.25" style="711" customWidth="1"/>
    <col min="8217" max="8449" width="9" style="711"/>
    <col min="8450" max="8450" width="6.375" style="711" customWidth="1"/>
    <col min="8451" max="8451" width="11.75" style="711" bestFit="1" customWidth="1"/>
    <col min="8452" max="8452" width="9.875" style="711" customWidth="1"/>
    <col min="8453" max="8453" width="10.125" style="711" customWidth="1"/>
    <col min="8454" max="8456" width="10.75" style="711" bestFit="1" customWidth="1"/>
    <col min="8457" max="8459" width="9.5" style="711" customWidth="1"/>
    <col min="8460" max="8460" width="5.125" style="711" customWidth="1"/>
    <col min="8461" max="8469" width="9" style="711"/>
    <col min="8470" max="8470" width="9.125" style="711" customWidth="1"/>
    <col min="8471" max="8471" width="9" style="711"/>
    <col min="8472" max="8472" width="4.25" style="711" customWidth="1"/>
    <col min="8473" max="8705" width="9" style="711"/>
    <col min="8706" max="8706" width="6.375" style="711" customWidth="1"/>
    <col min="8707" max="8707" width="11.75" style="711" bestFit="1" customWidth="1"/>
    <col min="8708" max="8708" width="9.875" style="711" customWidth="1"/>
    <col min="8709" max="8709" width="10.125" style="711" customWidth="1"/>
    <col min="8710" max="8712" width="10.75" style="711" bestFit="1" customWidth="1"/>
    <col min="8713" max="8715" width="9.5" style="711" customWidth="1"/>
    <col min="8716" max="8716" width="5.125" style="711" customWidth="1"/>
    <col min="8717" max="8725" width="9" style="711"/>
    <col min="8726" max="8726" width="9.125" style="711" customWidth="1"/>
    <col min="8727" max="8727" width="9" style="711"/>
    <col min="8728" max="8728" width="4.25" style="711" customWidth="1"/>
    <col min="8729" max="8961" width="9" style="711"/>
    <col min="8962" max="8962" width="6.375" style="711" customWidth="1"/>
    <col min="8963" max="8963" width="11.75" style="711" bestFit="1" customWidth="1"/>
    <col min="8964" max="8964" width="9.875" style="711" customWidth="1"/>
    <col min="8965" max="8965" width="10.125" style="711" customWidth="1"/>
    <col min="8966" max="8968" width="10.75" style="711" bestFit="1" customWidth="1"/>
    <col min="8969" max="8971" width="9.5" style="711" customWidth="1"/>
    <col min="8972" max="8972" width="5.125" style="711" customWidth="1"/>
    <col min="8973" max="8981" width="9" style="711"/>
    <col min="8982" max="8982" width="9.125" style="711" customWidth="1"/>
    <col min="8983" max="8983" width="9" style="711"/>
    <col min="8984" max="8984" width="4.25" style="711" customWidth="1"/>
    <col min="8985" max="9217" width="9" style="711"/>
    <col min="9218" max="9218" width="6.375" style="711" customWidth="1"/>
    <col min="9219" max="9219" width="11.75" style="711" bestFit="1" customWidth="1"/>
    <col min="9220" max="9220" width="9.875" style="711" customWidth="1"/>
    <col min="9221" max="9221" width="10.125" style="711" customWidth="1"/>
    <col min="9222" max="9224" width="10.75" style="711" bestFit="1" customWidth="1"/>
    <col min="9225" max="9227" width="9.5" style="711" customWidth="1"/>
    <col min="9228" max="9228" width="5.125" style="711" customWidth="1"/>
    <col min="9229" max="9237" width="9" style="711"/>
    <col min="9238" max="9238" width="9.125" style="711" customWidth="1"/>
    <col min="9239" max="9239" width="9" style="711"/>
    <col min="9240" max="9240" width="4.25" style="711" customWidth="1"/>
    <col min="9241" max="9473" width="9" style="711"/>
    <col min="9474" max="9474" width="6.375" style="711" customWidth="1"/>
    <col min="9475" max="9475" width="11.75" style="711" bestFit="1" customWidth="1"/>
    <col min="9476" max="9476" width="9.875" style="711" customWidth="1"/>
    <col min="9477" max="9477" width="10.125" style="711" customWidth="1"/>
    <col min="9478" max="9480" width="10.75" style="711" bestFit="1" customWidth="1"/>
    <col min="9481" max="9483" width="9.5" style="711" customWidth="1"/>
    <col min="9484" max="9484" width="5.125" style="711" customWidth="1"/>
    <col min="9485" max="9493" width="9" style="711"/>
    <col min="9494" max="9494" width="9.125" style="711" customWidth="1"/>
    <col min="9495" max="9495" width="9" style="711"/>
    <col min="9496" max="9496" width="4.25" style="711" customWidth="1"/>
    <col min="9497" max="9729" width="9" style="711"/>
    <col min="9730" max="9730" width="6.375" style="711" customWidth="1"/>
    <col min="9731" max="9731" width="11.75" style="711" bestFit="1" customWidth="1"/>
    <col min="9732" max="9732" width="9.875" style="711" customWidth="1"/>
    <col min="9733" max="9733" width="10.125" style="711" customWidth="1"/>
    <col min="9734" max="9736" width="10.75" style="711" bestFit="1" customWidth="1"/>
    <col min="9737" max="9739" width="9.5" style="711" customWidth="1"/>
    <col min="9740" max="9740" width="5.125" style="711" customWidth="1"/>
    <col min="9741" max="9749" width="9" style="711"/>
    <col min="9750" max="9750" width="9.125" style="711" customWidth="1"/>
    <col min="9751" max="9751" width="9" style="711"/>
    <col min="9752" max="9752" width="4.25" style="711" customWidth="1"/>
    <col min="9753" max="9985" width="9" style="711"/>
    <col min="9986" max="9986" width="6.375" style="711" customWidth="1"/>
    <col min="9987" max="9987" width="11.75" style="711" bestFit="1" customWidth="1"/>
    <col min="9988" max="9988" width="9.875" style="711" customWidth="1"/>
    <col min="9989" max="9989" width="10.125" style="711" customWidth="1"/>
    <col min="9990" max="9992" width="10.75" style="711" bestFit="1" customWidth="1"/>
    <col min="9993" max="9995" width="9.5" style="711" customWidth="1"/>
    <col min="9996" max="9996" width="5.125" style="711" customWidth="1"/>
    <col min="9997" max="10005" width="9" style="711"/>
    <col min="10006" max="10006" width="9.125" style="711" customWidth="1"/>
    <col min="10007" max="10007" width="9" style="711"/>
    <col min="10008" max="10008" width="4.25" style="711" customWidth="1"/>
    <col min="10009" max="10241" width="9" style="711"/>
    <col min="10242" max="10242" width="6.375" style="711" customWidth="1"/>
    <col min="10243" max="10243" width="11.75" style="711" bestFit="1" customWidth="1"/>
    <col min="10244" max="10244" width="9.875" style="711" customWidth="1"/>
    <col min="10245" max="10245" width="10.125" style="711" customWidth="1"/>
    <col min="10246" max="10248" width="10.75" style="711" bestFit="1" customWidth="1"/>
    <col min="10249" max="10251" width="9.5" style="711" customWidth="1"/>
    <col min="10252" max="10252" width="5.125" style="711" customWidth="1"/>
    <col min="10253" max="10261" width="9" style="711"/>
    <col min="10262" max="10262" width="9.125" style="711" customWidth="1"/>
    <col min="10263" max="10263" width="9" style="711"/>
    <col min="10264" max="10264" width="4.25" style="711" customWidth="1"/>
    <col min="10265" max="10497" width="9" style="711"/>
    <col min="10498" max="10498" width="6.375" style="711" customWidth="1"/>
    <col min="10499" max="10499" width="11.75" style="711" bestFit="1" customWidth="1"/>
    <col min="10500" max="10500" width="9.875" style="711" customWidth="1"/>
    <col min="10501" max="10501" width="10.125" style="711" customWidth="1"/>
    <col min="10502" max="10504" width="10.75" style="711" bestFit="1" customWidth="1"/>
    <col min="10505" max="10507" width="9.5" style="711" customWidth="1"/>
    <col min="10508" max="10508" width="5.125" style="711" customWidth="1"/>
    <col min="10509" max="10517" width="9" style="711"/>
    <col min="10518" max="10518" width="9.125" style="711" customWidth="1"/>
    <col min="10519" max="10519" width="9" style="711"/>
    <col min="10520" max="10520" width="4.25" style="711" customWidth="1"/>
    <col min="10521" max="10753" width="9" style="711"/>
    <col min="10754" max="10754" width="6.375" style="711" customWidth="1"/>
    <col min="10755" max="10755" width="11.75" style="711" bestFit="1" customWidth="1"/>
    <col min="10756" max="10756" width="9.875" style="711" customWidth="1"/>
    <col min="10757" max="10757" width="10.125" style="711" customWidth="1"/>
    <col min="10758" max="10760" width="10.75" style="711" bestFit="1" customWidth="1"/>
    <col min="10761" max="10763" width="9.5" style="711" customWidth="1"/>
    <col min="10764" max="10764" width="5.125" style="711" customWidth="1"/>
    <col min="10765" max="10773" width="9" style="711"/>
    <col min="10774" max="10774" width="9.125" style="711" customWidth="1"/>
    <col min="10775" max="10775" width="9" style="711"/>
    <col min="10776" max="10776" width="4.25" style="711" customWidth="1"/>
    <col min="10777" max="11009" width="9" style="711"/>
    <col min="11010" max="11010" width="6.375" style="711" customWidth="1"/>
    <col min="11011" max="11011" width="11.75" style="711" bestFit="1" customWidth="1"/>
    <col min="11012" max="11012" width="9.875" style="711" customWidth="1"/>
    <col min="11013" max="11013" width="10.125" style="711" customWidth="1"/>
    <col min="11014" max="11016" width="10.75" style="711" bestFit="1" customWidth="1"/>
    <col min="11017" max="11019" width="9.5" style="711" customWidth="1"/>
    <col min="11020" max="11020" width="5.125" style="711" customWidth="1"/>
    <col min="11021" max="11029" width="9" style="711"/>
    <col min="11030" max="11030" width="9.125" style="711" customWidth="1"/>
    <col min="11031" max="11031" width="9" style="711"/>
    <col min="11032" max="11032" width="4.25" style="711" customWidth="1"/>
    <col min="11033" max="11265" width="9" style="711"/>
    <col min="11266" max="11266" width="6.375" style="711" customWidth="1"/>
    <col min="11267" max="11267" width="11.75" style="711" bestFit="1" customWidth="1"/>
    <col min="11268" max="11268" width="9.875" style="711" customWidth="1"/>
    <col min="11269" max="11269" width="10.125" style="711" customWidth="1"/>
    <col min="11270" max="11272" width="10.75" style="711" bestFit="1" customWidth="1"/>
    <col min="11273" max="11275" width="9.5" style="711" customWidth="1"/>
    <col min="11276" max="11276" width="5.125" style="711" customWidth="1"/>
    <col min="11277" max="11285" width="9" style="711"/>
    <col min="11286" max="11286" width="9.125" style="711" customWidth="1"/>
    <col min="11287" max="11287" width="9" style="711"/>
    <col min="11288" max="11288" width="4.25" style="711" customWidth="1"/>
    <col min="11289" max="11521" width="9" style="711"/>
    <col min="11522" max="11522" width="6.375" style="711" customWidth="1"/>
    <col min="11523" max="11523" width="11.75" style="711" bestFit="1" customWidth="1"/>
    <col min="11524" max="11524" width="9.875" style="711" customWidth="1"/>
    <col min="11525" max="11525" width="10.125" style="711" customWidth="1"/>
    <col min="11526" max="11528" width="10.75" style="711" bestFit="1" customWidth="1"/>
    <col min="11529" max="11531" width="9.5" style="711" customWidth="1"/>
    <col min="11532" max="11532" width="5.125" style="711" customWidth="1"/>
    <col min="11533" max="11541" width="9" style="711"/>
    <col min="11542" max="11542" width="9.125" style="711" customWidth="1"/>
    <col min="11543" max="11543" width="9" style="711"/>
    <col min="11544" max="11544" width="4.25" style="711" customWidth="1"/>
    <col min="11545" max="11777" width="9" style="711"/>
    <col min="11778" max="11778" width="6.375" style="711" customWidth="1"/>
    <col min="11779" max="11779" width="11.75" style="711" bestFit="1" customWidth="1"/>
    <col min="11780" max="11780" width="9.875" style="711" customWidth="1"/>
    <col min="11781" max="11781" width="10.125" style="711" customWidth="1"/>
    <col min="11782" max="11784" width="10.75" style="711" bestFit="1" customWidth="1"/>
    <col min="11785" max="11787" width="9.5" style="711" customWidth="1"/>
    <col min="11788" max="11788" width="5.125" style="711" customWidth="1"/>
    <col min="11789" max="11797" width="9" style="711"/>
    <col min="11798" max="11798" width="9.125" style="711" customWidth="1"/>
    <col min="11799" max="11799" width="9" style="711"/>
    <col min="11800" max="11800" width="4.25" style="711" customWidth="1"/>
    <col min="11801" max="12033" width="9" style="711"/>
    <col min="12034" max="12034" width="6.375" style="711" customWidth="1"/>
    <col min="12035" max="12035" width="11.75" style="711" bestFit="1" customWidth="1"/>
    <col min="12036" max="12036" width="9.875" style="711" customWidth="1"/>
    <col min="12037" max="12037" width="10.125" style="711" customWidth="1"/>
    <col min="12038" max="12040" width="10.75" style="711" bestFit="1" customWidth="1"/>
    <col min="12041" max="12043" width="9.5" style="711" customWidth="1"/>
    <col min="12044" max="12044" width="5.125" style="711" customWidth="1"/>
    <col min="12045" max="12053" width="9" style="711"/>
    <col min="12054" max="12054" width="9.125" style="711" customWidth="1"/>
    <col min="12055" max="12055" width="9" style="711"/>
    <col min="12056" max="12056" width="4.25" style="711" customWidth="1"/>
    <col min="12057" max="12289" width="9" style="711"/>
    <col min="12290" max="12290" width="6.375" style="711" customWidth="1"/>
    <col min="12291" max="12291" width="11.75" style="711" bestFit="1" customWidth="1"/>
    <col min="12292" max="12292" width="9.875" style="711" customWidth="1"/>
    <col min="12293" max="12293" width="10.125" style="711" customWidth="1"/>
    <col min="12294" max="12296" width="10.75" style="711" bestFit="1" customWidth="1"/>
    <col min="12297" max="12299" width="9.5" style="711" customWidth="1"/>
    <col min="12300" max="12300" width="5.125" style="711" customWidth="1"/>
    <col min="12301" max="12309" width="9" style="711"/>
    <col min="12310" max="12310" width="9.125" style="711" customWidth="1"/>
    <col min="12311" max="12311" width="9" style="711"/>
    <col min="12312" max="12312" width="4.25" style="711" customWidth="1"/>
    <col min="12313" max="12545" width="9" style="711"/>
    <col min="12546" max="12546" width="6.375" style="711" customWidth="1"/>
    <col min="12547" max="12547" width="11.75" style="711" bestFit="1" customWidth="1"/>
    <col min="12548" max="12548" width="9.875" style="711" customWidth="1"/>
    <col min="12549" max="12549" width="10.125" style="711" customWidth="1"/>
    <col min="12550" max="12552" width="10.75" style="711" bestFit="1" customWidth="1"/>
    <col min="12553" max="12555" width="9.5" style="711" customWidth="1"/>
    <col min="12556" max="12556" width="5.125" style="711" customWidth="1"/>
    <col min="12557" max="12565" width="9" style="711"/>
    <col min="12566" max="12566" width="9.125" style="711" customWidth="1"/>
    <col min="12567" max="12567" width="9" style="711"/>
    <col min="12568" max="12568" width="4.25" style="711" customWidth="1"/>
    <col min="12569" max="12801" width="9" style="711"/>
    <col min="12802" max="12802" width="6.375" style="711" customWidth="1"/>
    <col min="12803" max="12803" width="11.75" style="711" bestFit="1" customWidth="1"/>
    <col min="12804" max="12804" width="9.875" style="711" customWidth="1"/>
    <col min="12805" max="12805" width="10.125" style="711" customWidth="1"/>
    <col min="12806" max="12808" width="10.75" style="711" bestFit="1" customWidth="1"/>
    <col min="12809" max="12811" width="9.5" style="711" customWidth="1"/>
    <col min="12812" max="12812" width="5.125" style="711" customWidth="1"/>
    <col min="12813" max="12821" width="9" style="711"/>
    <col min="12822" max="12822" width="9.125" style="711" customWidth="1"/>
    <col min="12823" max="12823" width="9" style="711"/>
    <col min="12824" max="12824" width="4.25" style="711" customWidth="1"/>
    <col min="12825" max="13057" width="9" style="711"/>
    <col min="13058" max="13058" width="6.375" style="711" customWidth="1"/>
    <col min="13059" max="13059" width="11.75" style="711" bestFit="1" customWidth="1"/>
    <col min="13060" max="13060" width="9.875" style="711" customWidth="1"/>
    <col min="13061" max="13061" width="10.125" style="711" customWidth="1"/>
    <col min="13062" max="13064" width="10.75" style="711" bestFit="1" customWidth="1"/>
    <col min="13065" max="13067" width="9.5" style="711" customWidth="1"/>
    <col min="13068" max="13068" width="5.125" style="711" customWidth="1"/>
    <col min="13069" max="13077" width="9" style="711"/>
    <col min="13078" max="13078" width="9.125" style="711" customWidth="1"/>
    <col min="13079" max="13079" width="9" style="711"/>
    <col min="13080" max="13080" width="4.25" style="711" customWidth="1"/>
    <col min="13081" max="13313" width="9" style="711"/>
    <col min="13314" max="13314" width="6.375" style="711" customWidth="1"/>
    <col min="13315" max="13315" width="11.75" style="711" bestFit="1" customWidth="1"/>
    <col min="13316" max="13316" width="9.875" style="711" customWidth="1"/>
    <col min="13317" max="13317" width="10.125" style="711" customWidth="1"/>
    <col min="13318" max="13320" width="10.75" style="711" bestFit="1" customWidth="1"/>
    <col min="13321" max="13323" width="9.5" style="711" customWidth="1"/>
    <col min="13324" max="13324" width="5.125" style="711" customWidth="1"/>
    <col min="13325" max="13333" width="9" style="711"/>
    <col min="13334" max="13334" width="9.125" style="711" customWidth="1"/>
    <col min="13335" max="13335" width="9" style="711"/>
    <col min="13336" max="13336" width="4.25" style="711" customWidth="1"/>
    <col min="13337" max="13569" width="9" style="711"/>
    <col min="13570" max="13570" width="6.375" style="711" customWidth="1"/>
    <col min="13571" max="13571" width="11.75" style="711" bestFit="1" customWidth="1"/>
    <col min="13572" max="13572" width="9.875" style="711" customWidth="1"/>
    <col min="13573" max="13573" width="10.125" style="711" customWidth="1"/>
    <col min="13574" max="13576" width="10.75" style="711" bestFit="1" customWidth="1"/>
    <col min="13577" max="13579" width="9.5" style="711" customWidth="1"/>
    <col min="13580" max="13580" width="5.125" style="711" customWidth="1"/>
    <col min="13581" max="13589" width="9" style="711"/>
    <col min="13590" max="13590" width="9.125" style="711" customWidth="1"/>
    <col min="13591" max="13591" width="9" style="711"/>
    <col min="13592" max="13592" width="4.25" style="711" customWidth="1"/>
    <col min="13593" max="13825" width="9" style="711"/>
    <col min="13826" max="13826" width="6.375" style="711" customWidth="1"/>
    <col min="13827" max="13827" width="11.75" style="711" bestFit="1" customWidth="1"/>
    <col min="13828" max="13828" width="9.875" style="711" customWidth="1"/>
    <col min="13829" max="13829" width="10.125" style="711" customWidth="1"/>
    <col min="13830" max="13832" width="10.75" style="711" bestFit="1" customWidth="1"/>
    <col min="13833" max="13835" width="9.5" style="711" customWidth="1"/>
    <col min="13836" max="13836" width="5.125" style="711" customWidth="1"/>
    <col min="13837" max="13845" width="9" style="711"/>
    <col min="13846" max="13846" width="9.125" style="711" customWidth="1"/>
    <col min="13847" max="13847" width="9" style="711"/>
    <col min="13848" max="13848" width="4.25" style="711" customWidth="1"/>
    <col min="13849" max="14081" width="9" style="711"/>
    <col min="14082" max="14082" width="6.375" style="711" customWidth="1"/>
    <col min="14083" max="14083" width="11.75" style="711" bestFit="1" customWidth="1"/>
    <col min="14084" max="14084" width="9.875" style="711" customWidth="1"/>
    <col min="14085" max="14085" width="10.125" style="711" customWidth="1"/>
    <col min="14086" max="14088" width="10.75" style="711" bestFit="1" customWidth="1"/>
    <col min="14089" max="14091" width="9.5" style="711" customWidth="1"/>
    <col min="14092" max="14092" width="5.125" style="711" customWidth="1"/>
    <col min="14093" max="14101" width="9" style="711"/>
    <col min="14102" max="14102" width="9.125" style="711" customWidth="1"/>
    <col min="14103" max="14103" width="9" style="711"/>
    <col min="14104" max="14104" width="4.25" style="711" customWidth="1"/>
    <col min="14105" max="14337" width="9" style="711"/>
    <col min="14338" max="14338" width="6.375" style="711" customWidth="1"/>
    <col min="14339" max="14339" width="11.75" style="711" bestFit="1" customWidth="1"/>
    <col min="14340" max="14340" width="9.875" style="711" customWidth="1"/>
    <col min="14341" max="14341" width="10.125" style="711" customWidth="1"/>
    <col min="14342" max="14344" width="10.75" style="711" bestFit="1" customWidth="1"/>
    <col min="14345" max="14347" width="9.5" style="711" customWidth="1"/>
    <col min="14348" max="14348" width="5.125" style="711" customWidth="1"/>
    <col min="14349" max="14357" width="9" style="711"/>
    <col min="14358" max="14358" width="9.125" style="711" customWidth="1"/>
    <col min="14359" max="14359" width="9" style="711"/>
    <col min="14360" max="14360" width="4.25" style="711" customWidth="1"/>
    <col min="14361" max="14593" width="9" style="711"/>
    <col min="14594" max="14594" width="6.375" style="711" customWidth="1"/>
    <col min="14595" max="14595" width="11.75" style="711" bestFit="1" customWidth="1"/>
    <col min="14596" max="14596" width="9.875" style="711" customWidth="1"/>
    <col min="14597" max="14597" width="10.125" style="711" customWidth="1"/>
    <col min="14598" max="14600" width="10.75" style="711" bestFit="1" customWidth="1"/>
    <col min="14601" max="14603" width="9.5" style="711" customWidth="1"/>
    <col min="14604" max="14604" width="5.125" style="711" customWidth="1"/>
    <col min="14605" max="14613" width="9" style="711"/>
    <col min="14614" max="14614" width="9.125" style="711" customWidth="1"/>
    <col min="14615" max="14615" width="9" style="711"/>
    <col min="14616" max="14616" width="4.25" style="711" customWidth="1"/>
    <col min="14617" max="14849" width="9" style="711"/>
    <col min="14850" max="14850" width="6.375" style="711" customWidth="1"/>
    <col min="14851" max="14851" width="11.75" style="711" bestFit="1" customWidth="1"/>
    <col min="14852" max="14852" width="9.875" style="711" customWidth="1"/>
    <col min="14853" max="14853" width="10.125" style="711" customWidth="1"/>
    <col min="14854" max="14856" width="10.75" style="711" bestFit="1" customWidth="1"/>
    <col min="14857" max="14859" width="9.5" style="711" customWidth="1"/>
    <col min="14860" max="14860" width="5.125" style="711" customWidth="1"/>
    <col min="14861" max="14869" width="9" style="711"/>
    <col min="14870" max="14870" width="9.125" style="711" customWidth="1"/>
    <col min="14871" max="14871" width="9" style="711"/>
    <col min="14872" max="14872" width="4.25" style="711" customWidth="1"/>
    <col min="14873" max="15105" width="9" style="711"/>
    <col min="15106" max="15106" width="6.375" style="711" customWidth="1"/>
    <col min="15107" max="15107" width="11.75" style="711" bestFit="1" customWidth="1"/>
    <col min="15108" max="15108" width="9.875" style="711" customWidth="1"/>
    <col min="15109" max="15109" width="10.125" style="711" customWidth="1"/>
    <col min="15110" max="15112" width="10.75" style="711" bestFit="1" customWidth="1"/>
    <col min="15113" max="15115" width="9.5" style="711" customWidth="1"/>
    <col min="15116" max="15116" width="5.125" style="711" customWidth="1"/>
    <col min="15117" max="15125" width="9" style="711"/>
    <col min="15126" max="15126" width="9.125" style="711" customWidth="1"/>
    <col min="15127" max="15127" width="9" style="711"/>
    <col min="15128" max="15128" width="4.25" style="711" customWidth="1"/>
    <col min="15129" max="15361" width="9" style="711"/>
    <col min="15362" max="15362" width="6.375" style="711" customWidth="1"/>
    <col min="15363" max="15363" width="11.75" style="711" bestFit="1" customWidth="1"/>
    <col min="15364" max="15364" width="9.875" style="711" customWidth="1"/>
    <col min="15365" max="15365" width="10.125" style="711" customWidth="1"/>
    <col min="15366" max="15368" width="10.75" style="711" bestFit="1" customWidth="1"/>
    <col min="15369" max="15371" width="9.5" style="711" customWidth="1"/>
    <col min="15372" max="15372" width="5.125" style="711" customWidth="1"/>
    <col min="15373" max="15381" width="9" style="711"/>
    <col min="15382" max="15382" width="9.125" style="711" customWidth="1"/>
    <col min="15383" max="15383" width="9" style="711"/>
    <col min="15384" max="15384" width="4.25" style="711" customWidth="1"/>
    <col min="15385" max="15617" width="9" style="711"/>
    <col min="15618" max="15618" width="6.375" style="711" customWidth="1"/>
    <col min="15619" max="15619" width="11.75" style="711" bestFit="1" customWidth="1"/>
    <col min="15620" max="15620" width="9.875" style="711" customWidth="1"/>
    <col min="15621" max="15621" width="10.125" style="711" customWidth="1"/>
    <col min="15622" max="15624" width="10.75" style="711" bestFit="1" customWidth="1"/>
    <col min="15625" max="15627" width="9.5" style="711" customWidth="1"/>
    <col min="15628" max="15628" width="5.125" style="711" customWidth="1"/>
    <col min="15629" max="15637" width="9" style="711"/>
    <col min="15638" max="15638" width="9.125" style="711" customWidth="1"/>
    <col min="15639" max="15639" width="9" style="711"/>
    <col min="15640" max="15640" width="4.25" style="711" customWidth="1"/>
    <col min="15641" max="15873" width="9" style="711"/>
    <col min="15874" max="15874" width="6.375" style="711" customWidth="1"/>
    <col min="15875" max="15875" width="11.75" style="711" bestFit="1" customWidth="1"/>
    <col min="15876" max="15876" width="9.875" style="711" customWidth="1"/>
    <col min="15877" max="15877" width="10.125" style="711" customWidth="1"/>
    <col min="15878" max="15880" width="10.75" style="711" bestFit="1" customWidth="1"/>
    <col min="15881" max="15883" width="9.5" style="711" customWidth="1"/>
    <col min="15884" max="15884" width="5.125" style="711" customWidth="1"/>
    <col min="15885" max="15893" width="9" style="711"/>
    <col min="15894" max="15894" width="9.125" style="711" customWidth="1"/>
    <col min="15895" max="15895" width="9" style="711"/>
    <col min="15896" max="15896" width="4.25" style="711" customWidth="1"/>
    <col min="15897" max="16129" width="9" style="711"/>
    <col min="16130" max="16130" width="6.375" style="711" customWidth="1"/>
    <col min="16131" max="16131" width="11.75" style="711" bestFit="1" customWidth="1"/>
    <col min="16132" max="16132" width="9.875" style="711" customWidth="1"/>
    <col min="16133" max="16133" width="10.125" style="711" customWidth="1"/>
    <col min="16134" max="16136" width="10.75" style="711" bestFit="1" customWidth="1"/>
    <col min="16137" max="16139" width="9.5" style="711" customWidth="1"/>
    <col min="16140" max="16140" width="5.125" style="711" customWidth="1"/>
    <col min="16141" max="16149" width="9" style="711"/>
    <col min="16150" max="16150" width="9.125" style="711" customWidth="1"/>
    <col min="16151" max="16151" width="9" style="711"/>
    <col min="16152" max="16152" width="4.25" style="711" customWidth="1"/>
    <col min="16153" max="16384" width="9" style="711"/>
  </cols>
  <sheetData>
    <row r="1" spans="1:11" ht="12.75" customHeight="1">
      <c r="A1" s="708"/>
      <c r="B1" s="708"/>
      <c r="C1" s="709"/>
      <c r="D1" s="709"/>
      <c r="E1" s="709"/>
      <c r="F1" s="709"/>
      <c r="G1" s="709"/>
      <c r="H1" s="709"/>
      <c r="I1" s="709"/>
      <c r="J1" s="709"/>
      <c r="K1" s="709"/>
    </row>
    <row r="2" spans="1:11" s="710" customFormat="1">
      <c r="A2" s="817" t="s">
        <v>610</v>
      </c>
      <c r="B2" s="817"/>
      <c r="C2" s="818"/>
      <c r="D2" s="818"/>
      <c r="E2" s="818"/>
      <c r="F2" s="818"/>
      <c r="G2" s="818"/>
      <c r="H2" s="818"/>
      <c r="I2" s="818"/>
      <c r="J2" s="818"/>
      <c r="K2" s="818"/>
    </row>
    <row r="3" spans="1:11">
      <c r="A3" s="819" t="s">
        <v>639</v>
      </c>
      <c r="B3" s="820"/>
      <c r="C3" s="819" t="s">
        <v>640</v>
      </c>
      <c r="D3" s="820"/>
      <c r="E3" s="821"/>
      <c r="F3" s="819" t="s">
        <v>641</v>
      </c>
      <c r="G3" s="820"/>
      <c r="H3" s="820"/>
      <c r="I3" s="822" t="s">
        <v>697</v>
      </c>
      <c r="J3" s="819" t="s">
        <v>698</v>
      </c>
      <c r="K3" s="821"/>
    </row>
    <row r="4" spans="1:11">
      <c r="A4" s="823" t="s">
        <v>611</v>
      </c>
      <c r="B4" s="824" t="s">
        <v>24</v>
      </c>
      <c r="C4" s="823" t="s">
        <v>642</v>
      </c>
      <c r="D4" s="824" t="s">
        <v>699</v>
      </c>
      <c r="E4" s="825" t="s">
        <v>643</v>
      </c>
      <c r="F4" s="823" t="s">
        <v>644</v>
      </c>
      <c r="G4" s="824" t="s">
        <v>645</v>
      </c>
      <c r="H4" s="824" t="s">
        <v>700</v>
      </c>
      <c r="I4" s="826" t="s">
        <v>701</v>
      </c>
      <c r="J4" s="823" t="s">
        <v>644</v>
      </c>
      <c r="K4" s="825" t="s">
        <v>645</v>
      </c>
    </row>
    <row r="5" spans="1:11" ht="12.75" customHeight="1">
      <c r="A5" s="827">
        <v>2018</v>
      </c>
      <c r="B5" s="828">
        <v>7</v>
      </c>
      <c r="C5" s="829">
        <v>-5916.8851836873955</v>
      </c>
      <c r="D5" s="830">
        <v>-228.32358922888247</v>
      </c>
      <c r="E5" s="831">
        <v>-11.881252983722208</v>
      </c>
      <c r="F5" s="829">
        <v>-1137.0754482362092</v>
      </c>
      <c r="G5" s="830">
        <v>-1777.4638022374959</v>
      </c>
      <c r="H5" s="831">
        <v>-458.24191022629486</v>
      </c>
      <c r="I5" s="829">
        <v>-1297.8321335000001</v>
      </c>
      <c r="J5" s="829">
        <v>0</v>
      </c>
      <c r="K5" s="831">
        <v>0</v>
      </c>
    </row>
    <row r="6" spans="1:11" ht="12.75" customHeight="1">
      <c r="A6" s="827">
        <v>2018</v>
      </c>
      <c r="B6" s="828">
        <v>8</v>
      </c>
      <c r="C6" s="829">
        <v>650.27333192590424</v>
      </c>
      <c r="D6" s="830">
        <v>23.969361147138191</v>
      </c>
      <c r="E6" s="831">
        <v>1.128025726957524</v>
      </c>
      <c r="F6" s="829">
        <v>53.346205957713678</v>
      </c>
      <c r="G6" s="830">
        <v>77.021396356856499</v>
      </c>
      <c r="H6" s="831">
        <v>18.855414885429841</v>
      </c>
      <c r="I6" s="829">
        <v>95.333755400000001</v>
      </c>
      <c r="J6" s="829">
        <v>0</v>
      </c>
      <c r="K6" s="831">
        <v>0</v>
      </c>
    </row>
    <row r="7" spans="1:11" ht="12.75" customHeight="1">
      <c r="A7" s="827">
        <v>2018</v>
      </c>
      <c r="B7" s="828">
        <v>9</v>
      </c>
      <c r="C7" s="829">
        <v>2754.91449611913</v>
      </c>
      <c r="D7" s="830">
        <v>106.78842978419114</v>
      </c>
      <c r="E7" s="831">
        <v>5.0557582966790067</v>
      </c>
      <c r="F7" s="829">
        <v>681.64417543092179</v>
      </c>
      <c r="G7" s="830">
        <v>1194.7763627682634</v>
      </c>
      <c r="H7" s="831">
        <v>294.81794500081463</v>
      </c>
      <c r="I7" s="829">
        <v>1622.0781869</v>
      </c>
      <c r="J7" s="829">
        <v>0</v>
      </c>
      <c r="K7" s="831">
        <v>0</v>
      </c>
    </row>
    <row r="8" spans="1:11" ht="12.75" customHeight="1">
      <c r="A8" s="827">
        <v>2018</v>
      </c>
      <c r="B8" s="828">
        <v>10</v>
      </c>
      <c r="C8" s="829">
        <v>-1212.7643976792206</v>
      </c>
      <c r="D8" s="830">
        <v>-56.757463050247324</v>
      </c>
      <c r="E8" s="831">
        <v>-2.3194202705320821</v>
      </c>
      <c r="F8" s="829">
        <v>302.89418329296223</v>
      </c>
      <c r="G8" s="830">
        <v>613.68204753404495</v>
      </c>
      <c r="H8" s="831">
        <v>143.77776857299284</v>
      </c>
      <c r="I8" s="829">
        <v>455.6066849</v>
      </c>
      <c r="J8" s="829">
        <v>0</v>
      </c>
      <c r="K8" s="831">
        <v>0</v>
      </c>
    </row>
    <row r="9" spans="1:11" ht="12.75" customHeight="1">
      <c r="A9" s="827">
        <v>2018</v>
      </c>
      <c r="B9" s="828">
        <v>11</v>
      </c>
      <c r="C9" s="829">
        <v>-5757.9586088567057</v>
      </c>
      <c r="D9" s="830">
        <v>-307.19102152479473</v>
      </c>
      <c r="E9" s="831">
        <v>-8.1991384184992242</v>
      </c>
      <c r="F9" s="829">
        <v>-358.4155780484183</v>
      </c>
      <c r="G9" s="830">
        <v>-685.78108901805115</v>
      </c>
      <c r="H9" s="831">
        <v>-156.3509805335307</v>
      </c>
      <c r="I9" s="829">
        <v>0</v>
      </c>
      <c r="J9" s="829">
        <v>0</v>
      </c>
      <c r="K9" s="831">
        <v>0</v>
      </c>
    </row>
    <row r="10" spans="1:11" ht="12.75" customHeight="1">
      <c r="A10" s="827">
        <v>2018</v>
      </c>
      <c r="B10" s="832">
        <v>12</v>
      </c>
      <c r="C10" s="833">
        <v>22284.833693557586</v>
      </c>
      <c r="D10" s="834">
        <v>1271.8865606757847</v>
      </c>
      <c r="E10" s="835">
        <v>32.608008566627873</v>
      </c>
      <c r="F10" s="833">
        <v>1462.9630049647781</v>
      </c>
      <c r="G10" s="834">
        <v>2447.0756589426724</v>
      </c>
      <c r="H10" s="835">
        <v>527.42586309254966</v>
      </c>
      <c r="I10" s="833">
        <v>0</v>
      </c>
      <c r="J10" s="833">
        <v>0</v>
      </c>
      <c r="K10" s="835">
        <v>0</v>
      </c>
    </row>
    <row r="11" spans="1:11">
      <c r="A11" s="827">
        <v>2019</v>
      </c>
      <c r="B11" s="828">
        <v>1</v>
      </c>
      <c r="C11" s="829">
        <v>8645.4179790129674</v>
      </c>
      <c r="D11" s="830">
        <v>521.1558456376282</v>
      </c>
      <c r="E11" s="831">
        <v>11.864212349404113</v>
      </c>
      <c r="F11" s="829">
        <v>525.922133905382</v>
      </c>
      <c r="G11" s="830">
        <v>808.18377362902515</v>
      </c>
      <c r="H11" s="831">
        <v>172.58174326559293</v>
      </c>
      <c r="I11" s="829">
        <v>0</v>
      </c>
      <c r="J11" s="829">
        <v>0</v>
      </c>
      <c r="K11" s="831">
        <v>0</v>
      </c>
    </row>
    <row r="12" spans="1:11">
      <c r="A12" s="827">
        <v>2019</v>
      </c>
      <c r="B12" s="828">
        <v>2</v>
      </c>
      <c r="C12" s="829">
        <v>-50976.99417954059</v>
      </c>
      <c r="D12" s="830">
        <v>-3293.6876909134367</v>
      </c>
      <c r="E12" s="831">
        <v>-73.944792245970334</v>
      </c>
      <c r="F12" s="829">
        <v>-3258.20401448337</v>
      </c>
      <c r="G12" s="830">
        <v>-4936.2920721378796</v>
      </c>
      <c r="H12" s="831">
        <v>-1019.9541533787506</v>
      </c>
      <c r="I12" s="829">
        <v>0</v>
      </c>
      <c r="J12" s="829">
        <v>0</v>
      </c>
      <c r="K12" s="831">
        <v>0</v>
      </c>
    </row>
    <row r="13" spans="1:11">
      <c r="A13" s="827">
        <v>2019</v>
      </c>
      <c r="B13" s="828">
        <v>3</v>
      </c>
      <c r="C13" s="829">
        <v>-34066.043198493178</v>
      </c>
      <c r="D13" s="830">
        <v>-1987.101215273743</v>
      </c>
      <c r="E13" s="831">
        <v>-46.848889733076582</v>
      </c>
      <c r="F13" s="829">
        <v>-2122.0364500819069</v>
      </c>
      <c r="G13" s="830">
        <v>-2943.697468782334</v>
      </c>
      <c r="H13" s="831">
        <v>-635.78451783575917</v>
      </c>
      <c r="I13" s="829">
        <v>0</v>
      </c>
      <c r="J13" s="829">
        <v>0</v>
      </c>
      <c r="K13" s="831">
        <v>0</v>
      </c>
    </row>
    <row r="14" spans="1:11">
      <c r="A14" s="827">
        <v>2019</v>
      </c>
      <c r="B14" s="828">
        <v>4</v>
      </c>
      <c r="C14" s="829">
        <v>6877.102210604151</v>
      </c>
      <c r="D14" s="830">
        <v>380.98597093047238</v>
      </c>
      <c r="E14" s="831">
        <v>11.576455765377112</v>
      </c>
      <c r="F14" s="829">
        <v>33.326337547431557</v>
      </c>
      <c r="G14" s="830">
        <v>55.782309445673889</v>
      </c>
      <c r="H14" s="831">
        <v>12.473145206894563</v>
      </c>
      <c r="I14" s="829">
        <v>0</v>
      </c>
      <c r="J14" s="829">
        <v>0</v>
      </c>
      <c r="K14" s="831">
        <v>0</v>
      </c>
    </row>
    <row r="15" spans="1:11">
      <c r="A15" s="827">
        <v>2019</v>
      </c>
      <c r="B15" s="828">
        <v>5</v>
      </c>
      <c r="C15" s="829">
        <v>1878.1056123750395</v>
      </c>
      <c r="D15" s="830">
        <v>94.657565509963405</v>
      </c>
      <c r="E15" s="831">
        <v>3.2693679149971411</v>
      </c>
      <c r="F15" s="829">
        <v>-1061.9318783687352</v>
      </c>
      <c r="G15" s="830">
        <v>-1770.805080576203</v>
      </c>
      <c r="H15" s="831">
        <v>-404.16967235506195</v>
      </c>
      <c r="I15" s="829">
        <v>-2325.4486441000004</v>
      </c>
      <c r="J15" s="829">
        <v>0</v>
      </c>
      <c r="K15" s="831">
        <v>0</v>
      </c>
    </row>
    <row r="16" spans="1:11">
      <c r="A16" s="827">
        <v>2019</v>
      </c>
      <c r="B16" s="828">
        <v>6</v>
      </c>
      <c r="C16" s="833">
        <v>-1551.6376791642754</v>
      </c>
      <c r="D16" s="834">
        <v>-71.159248992110179</v>
      </c>
      <c r="E16" s="835">
        <v>-2.8497692436144804</v>
      </c>
      <c r="F16" s="833">
        <v>-476.73227320804705</v>
      </c>
      <c r="G16" s="834">
        <v>-755.09898885095083</v>
      </c>
      <c r="H16" s="835">
        <v>-182.38801734100204</v>
      </c>
      <c r="I16" s="833">
        <v>-920.85300940000002</v>
      </c>
      <c r="J16" s="833">
        <v>0</v>
      </c>
      <c r="K16" s="835">
        <v>0</v>
      </c>
    </row>
    <row r="17" spans="5:5">
      <c r="E17" s="836"/>
    </row>
    <row r="18" spans="5:5">
      <c r="E18" s="836"/>
    </row>
    <row r="19" spans="5:5">
      <c r="E19" s="836"/>
    </row>
    <row r="20" spans="5:5">
      <c r="E20" s="836"/>
    </row>
    <row r="23" spans="5:5">
      <c r="E23" s="836"/>
    </row>
    <row r="24" spans="5:5">
      <c r="E24" s="836"/>
    </row>
    <row r="25" spans="5:5">
      <c r="E25" s="836"/>
    </row>
    <row r="26" spans="5:5">
      <c r="E26" s="836"/>
    </row>
    <row r="27" spans="5:5">
      <c r="E27" s="836"/>
    </row>
    <row r="28" spans="5:5">
      <c r="E28" s="836"/>
    </row>
    <row r="29" spans="5:5">
      <c r="E29" s="836"/>
    </row>
    <row r="30" spans="5:5">
      <c r="E30" s="836"/>
    </row>
    <row r="31" spans="5:5">
      <c r="E31" s="836"/>
    </row>
    <row r="32" spans="5:5">
      <c r="E32" s="836"/>
    </row>
    <row r="33" spans="5:5">
      <c r="E33" s="836"/>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81A148667A9E046AFA37F66E132B9CA" ma:contentTypeVersion="48" ma:contentTypeDescription="" ma:contentTypeScope="" ma:versionID="f1bb64d9d282f9dc0de329f93c44218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2019-12-13T08:00:00+00:00</OpenedDate>
    <SignificantOrder xmlns="dc463f71-b30c-4ab2-9473-d307f9d35888">false</SignificantOrder>
    <Date1 xmlns="dc463f71-b30c-4ab2-9473-d307f9d35888">2019-12-13T08:00:00+00:00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191024</DocketNumber>
    <DelegatedOrder xmlns="dc463f71-b30c-4ab2-9473-d307f9d35888">false</DelegatedOrder>
  </documentManagement>
</p:properties>
</file>

<file path=customXml/itemProps1.xml><?xml version="1.0" encoding="utf-8"?>
<ds:datastoreItem xmlns:ds="http://schemas.openxmlformats.org/officeDocument/2006/customXml" ds:itemID="{A996871F-36D0-4D17-9FE7-EB29428DF8DE}"/>
</file>

<file path=customXml/itemProps2.xml><?xml version="1.0" encoding="utf-8"?>
<ds:datastoreItem xmlns:ds="http://schemas.openxmlformats.org/officeDocument/2006/customXml" ds:itemID="{32AA3152-0D23-4F39-AAC5-4D4E2533BD71}"/>
</file>

<file path=customXml/itemProps3.xml><?xml version="1.0" encoding="utf-8"?>
<ds:datastoreItem xmlns:ds="http://schemas.openxmlformats.org/officeDocument/2006/customXml" ds:itemID="{AA3AF21A-B0A0-4357-B020-865CBA3AA4B7}"/>
</file>

<file path=customXml/itemProps4.xml><?xml version="1.0" encoding="utf-8"?>
<ds:datastoreItem xmlns:ds="http://schemas.openxmlformats.org/officeDocument/2006/customXml" ds:itemID="{C5107644-BEC9-4D71-8A41-95B8D30728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31</vt:i4>
      </vt:variant>
    </vt:vector>
  </HeadingPairs>
  <TitlesOfParts>
    <vt:vector size="58" baseType="lpstr">
      <vt:lpstr>Table 1-Revenues</vt:lpstr>
      <vt:lpstr>Table 1 - kWh</vt:lpstr>
      <vt:lpstr>Table 2</vt:lpstr>
      <vt:lpstr>Table 3</vt:lpstr>
      <vt:lpstr>305 VS COGNOS Revenue</vt:lpstr>
      <vt:lpstr>305 VS COGNOS kWh</vt:lpstr>
      <vt:lpstr>305 Inputs</vt:lpstr>
      <vt:lpstr>Temperature</vt:lpstr>
      <vt:lpstr>Temp. Adjustments</vt:lpstr>
      <vt:lpstr>Exhibit No.__(RMM-10)</vt:lpstr>
      <vt:lpstr>Exhibit No.__(RMM-11) p1-8</vt:lpstr>
      <vt:lpstr>Exhibit No.__(RMM-13) p1</vt:lpstr>
      <vt:lpstr>Exhibit No.__(RMM-13) p2</vt:lpstr>
      <vt:lpstr>Exhibit No.__(RMM-13) p3</vt:lpstr>
      <vt:lpstr>Exhibit No.__(RMM-13) p4</vt:lpstr>
      <vt:lpstr>Exhibit No.__(RMM-13) p5</vt:lpstr>
      <vt:lpstr>Exhibit No.__(RMM-13) p6</vt:lpstr>
      <vt:lpstr>Exhibit No.__(RMM-13) p7</vt:lpstr>
      <vt:lpstr>Stop Here</vt:lpstr>
      <vt:lpstr>Rate Spread targets</vt:lpstr>
      <vt:lpstr>Rate Design Work-Res NM</vt:lpstr>
      <vt:lpstr>Normalized Monthly kWh</vt:lpstr>
      <vt:lpstr>Normalized Monthly revenue</vt:lpstr>
      <vt:lpstr>Table A by class</vt:lpstr>
      <vt:lpstr>SBC (Old)</vt:lpstr>
      <vt:lpstr>Billing Determinants (2)</vt:lpstr>
      <vt:lpstr>Blocking - detail</vt:lpstr>
      <vt:lpstr>'305 VS COGNOS kWh'!Print_Area</vt:lpstr>
      <vt:lpstr>'305 VS COGNOS Revenue'!Print_Area</vt:lpstr>
      <vt:lpstr>'Billing Determinants (2)'!Print_Area</vt:lpstr>
      <vt:lpstr>'Blocking - detail'!Print_Area</vt:lpstr>
      <vt:lpstr>'Exhibit No.__(RMM-10)'!Print_Area</vt:lpstr>
      <vt:lpstr>'Exhibit No.__(RMM-11) p1-8'!Print_Area</vt:lpstr>
      <vt:lpstr>'Exhibit No.__(RMM-13) p1'!Print_Area</vt:lpstr>
      <vt:lpstr>'Exhibit No.__(RMM-13) p2'!Print_Area</vt:lpstr>
      <vt:lpstr>'Exhibit No.__(RMM-13) p3'!Print_Area</vt:lpstr>
      <vt:lpstr>'Exhibit No.__(RMM-13) p4'!Print_Area</vt:lpstr>
      <vt:lpstr>'Exhibit No.__(RMM-13) p5'!Print_Area</vt:lpstr>
      <vt:lpstr>'Exhibit No.__(RMM-13) p6'!Print_Area</vt:lpstr>
      <vt:lpstr>'Exhibit No.__(RMM-13) p7'!Print_Area</vt:lpstr>
      <vt:lpstr>'Normalized Monthly kWh'!Print_Area</vt:lpstr>
      <vt:lpstr>'Normalized Monthly revenue'!Print_Area</vt:lpstr>
      <vt:lpstr>'Rate Design Work-Res NM'!Print_Area</vt:lpstr>
      <vt:lpstr>'Rate Spread targets'!Print_Area</vt:lpstr>
      <vt:lpstr>'Table 1 - kWh'!Print_Area</vt:lpstr>
      <vt:lpstr>'Table 1-Revenues'!Print_Area</vt:lpstr>
      <vt:lpstr>'Table 2'!Print_Area</vt:lpstr>
      <vt:lpstr>'Table 3'!Print_Area</vt:lpstr>
      <vt:lpstr>'Table A by class'!Print_Area</vt:lpstr>
      <vt:lpstr>'Billing Determinants (2)'!Print_Titles</vt:lpstr>
      <vt:lpstr>'Blocking - detail'!Print_Titles</vt:lpstr>
      <vt:lpstr>'Exhibit No.__(RMM-11) p1-8'!Print_Titles</vt:lpstr>
      <vt:lpstr>'Rate Design Work-Res NM'!Print_Titles</vt:lpstr>
      <vt:lpstr>'Table 2'!Print_Titles</vt:lpstr>
      <vt:lpstr>'Table 3'!Print_Titles</vt:lpstr>
      <vt:lpstr>'Table A by class'!Print_Titles</vt:lpstr>
      <vt:lpstr>'Exhibit No.__(RMM-10)'!TABLEA</vt:lpstr>
      <vt:lpstr>'Rate Spread targets'!TABLEA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Dean, Mitchell</cp:lastModifiedBy>
  <cp:lastPrinted>2019-08-08T22:21:00Z</cp:lastPrinted>
  <dcterms:created xsi:type="dcterms:W3CDTF">1997-08-20T18:29:19Z</dcterms:created>
  <dcterms:modified xsi:type="dcterms:W3CDTF">2019-12-09T16:56:28Z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0x0101006E56B4D1795A2E4DB2F0B01679ED314A00F81A148667A9E046AFA37F66E132B9CA</vt:lpwstr>
  </property>
  <property fmtid="{D5CDD505-2E9C-101B-9397-08002B2CF9AE}" pid="4" name="_docset_NoMedatataSyncRequired">
    <vt:lpwstr>False</vt:lpwstr>
  </property>
  <property fmtid="{D5CDD505-2E9C-101B-9397-08002B2CF9AE}" pid="5" name="IsEFSEC">
    <vt:bool>false</vt:bool>
  </property>
</Properties>
</file>