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M:\2020\2020 WA Elec and Gas GRC\Direct Testimony\5) Andrews\Andrews Native Workpapers\"/>
    </mc:Choice>
  </mc:AlternateContent>
  <xr:revisionPtr revIDLastSave="0" documentId="13_ncr:1_{F15C4D97-504E-41D2-943D-9E4D09487A60}" xr6:coauthVersionLast="44" xr6:coauthVersionMax="44" xr10:uidLastSave="{00000000-0000-0000-0000-000000000000}"/>
  <bookViews>
    <workbookView xWindow="28680" yWindow="-195" windowWidth="29040" windowHeight="15840"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LEAD SHEETS-DO NOT ENTER" sheetId="113" r:id="rId7"/>
    <sheet name="ROO INPUT" sheetId="111" r:id="rId8"/>
    <sheet name="DEBT CALC" sheetId="48" r:id="rId9"/>
    <sheet name="COMPARISON" sheetId="99" r:id="rId10"/>
  </sheets>
  <externalReferences>
    <externalReference r:id="rId11"/>
  </externalReferences>
  <definedNames>
    <definedName name="ID_Elec" localSheetId="7">#REF!</definedName>
    <definedName name="ID_Elec">'DEBT CALC'!$A$93:$F$170</definedName>
    <definedName name="ID_Gas" localSheetId="6">'DEBT CALC'!#REF!</definedName>
    <definedName name="ID_Gas" localSheetId="7">#REF!</definedName>
    <definedName name="ID_Gas">'DEBT CALC'!#REF!</definedName>
    <definedName name="_xlnm.Print_Area" localSheetId="4">'ADJ DETAIL-INPUT'!$A$1:$BE$84</definedName>
    <definedName name="_xlnm.Print_Area" localSheetId="5">'ADJ SUMMARY'!$A$1:$F$66</definedName>
    <definedName name="_xlnm.Print_Area" localSheetId="2">'CF '!$A$1:$F$26</definedName>
    <definedName name="_xlnm.Print_Area" localSheetId="9">COMPARISON!$A$1:$Q$129</definedName>
    <definedName name="_xlnm.Print_Area" localSheetId="8">'DEBT CALC'!$A$1:$I$72</definedName>
    <definedName name="_xlnm.Print_Area" localSheetId="6">'LEAD SHEETS-DO NOT ENTER'!$A$2:$AY$80</definedName>
    <definedName name="_xlnm.Print_Area" localSheetId="0">'PROPOSED RATES'!$A$1:$I$81</definedName>
    <definedName name="_xlnm.Print_Area" localSheetId="7">'ROO INPUT'!$A$1:$G$81</definedName>
    <definedName name="_xlnm.Print_Area" localSheetId="1">'RR SUMMARY'!$A$1:$H$33,'RR SUMMARY'!$J$1:$N$17</definedName>
    <definedName name="Print_for_CBReport" localSheetId="9">COMPARISON!$A$10:$H$126</definedName>
    <definedName name="Print_for_CBReport">'ADJ SUMMARY'!$A$1:$F$64</definedName>
    <definedName name="Print_for_Checking" localSheetId="9">COMPARISON!#REF!:COMPARISON!#REF!</definedName>
    <definedName name="Print_for_Checking" localSheetId="6">'ADJ SUMMARY'!#REF!:'ADJ SUMMARY'!#REF!</definedName>
    <definedName name="Print_for_Checking" localSheetId="7">[1]PFRstmtSheet!$A$1:[1]PFRstmtSheet!#REF!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7">'ROO INPUT'!$1:$10</definedName>
    <definedName name="RRC_Adjustment_Print">#REF!</definedName>
    <definedName name="RRC_Rate_Print">#REF!</definedName>
    <definedName name="Summary" localSheetId="6">#REF!</definedName>
    <definedName name="Summary" localSheetId="7">#REF!</definedName>
    <definedName name="Summary">#REF!</definedName>
    <definedName name="WA_Elec" localSheetId="7">#REF!</definedName>
    <definedName name="WA_Elec">'DEBT CALC'!$A$1:$F$92</definedName>
    <definedName name="WA_Gas" localSheetId="6">'DEBT CALC'!#REF!</definedName>
    <definedName name="WA_Gas" localSheetId="7">#REF!</definedName>
    <definedName name="WA_Gas">'DEBT CALC'!#REF!</definedName>
    <definedName name="Z_6E1B8C45_B07F_11D2_B0DC_0000832CDFF0_.wvu.Cols" localSheetId="4" hidden="1">'ADJ DETAIL-INPUT'!#REF!,'ADJ DETAIL-INPUT'!$AD:$BC</definedName>
    <definedName name="Z_6E1B8C45_B07F_11D2_B0DC_0000832CDFF0_.wvu.Cols" localSheetId="6"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9" hidden="1">COMPARISON!$A$10:$H$107</definedName>
    <definedName name="Z_6E1B8C45_B07F_11D2_B0DC_0000832CDFF0_.wvu.PrintArea" localSheetId="6" hidden="1">'LEAD SHEETS-DO NOT ENTER'!$E:$Z</definedName>
    <definedName name="Z_6E1B8C45_B07F_11D2_B0DC_0000832CDFF0_.wvu.PrintArea" localSheetId="7"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9" hidden="1">COMPARISON!#REF!,COMPARISON!$23:$52,COMPARISON!$36:$36,COMPARISON!$44:$68,COMPARISON!$99:$99,COMPARISON!$101:$101,COMPARISON!$108:$126</definedName>
    <definedName name="Z_A15D1962_B049_11D2_8670_0000832CEEE8_.wvu.Cols" localSheetId="4" hidden="1">'ADJ DETAIL-INPUT'!$AD:$BC</definedName>
    <definedName name="Z_A15D1962_B049_11D2_8670_0000832CEEE8_.wvu.Cols" localSheetId="6" hidden="1">'LEAD SHEETS-DO NOT ENTER'!$AC:$AM</definedName>
    <definedName name="Z_A15D1962_B049_11D2_8670_0000832CEEE8_.wvu.Rows" localSheetId="5" hidden="1">'ADJ SUMMARY'!$43:$64,'ADJ SUMMARY'!#REF!</definedName>
    <definedName name="Z_A15D1962_B049_11D2_8670_0000832CEEE8_.wvu.Rows" localSheetId="9" hidden="1">COMPARISON!$44:$63,COMPARISON!$107:$126</definedName>
  </definedNames>
  <calcPr calcId="19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50" l="1"/>
  <c r="I81" i="50" s="1"/>
  <c r="H58" i="99" l="1"/>
  <c r="K58" i="99" s="1"/>
  <c r="H57" i="99"/>
  <c r="H56" i="99"/>
  <c r="K56" i="99" s="1"/>
  <c r="H55" i="99"/>
  <c r="G58" i="99"/>
  <c r="G57" i="99"/>
  <c r="J57" i="99" s="1"/>
  <c r="G56" i="99"/>
  <c r="J56" i="99" s="1"/>
  <c r="G55" i="99"/>
  <c r="J55" i="99" s="1"/>
  <c r="B58" i="99"/>
  <c r="B57" i="99"/>
  <c r="B56" i="99"/>
  <c r="A58" i="99"/>
  <c r="A57" i="99"/>
  <c r="A56" i="99"/>
  <c r="B55" i="99"/>
  <c r="A55" i="99"/>
  <c r="H54" i="99"/>
  <c r="K54" i="99" s="1"/>
  <c r="G54" i="99"/>
  <c r="J54" i="99" s="1"/>
  <c r="B54" i="99"/>
  <c r="A54" i="99"/>
  <c r="H53" i="99"/>
  <c r="G53" i="99"/>
  <c r="J53" i="99" s="1"/>
  <c r="B53" i="99"/>
  <c r="A53" i="99"/>
  <c r="J58" i="99"/>
  <c r="H43" i="99"/>
  <c r="G43" i="99"/>
  <c r="B43" i="99"/>
  <c r="A44" i="99"/>
  <c r="A43" i="99"/>
  <c r="J43" i="99"/>
  <c r="G39" i="99"/>
  <c r="H39" i="99"/>
  <c r="G40" i="99"/>
  <c r="H40" i="99"/>
  <c r="G41" i="99"/>
  <c r="J41" i="99" s="1"/>
  <c r="H41" i="99"/>
  <c r="K41" i="99" s="1"/>
  <c r="G42" i="99"/>
  <c r="H42" i="99"/>
  <c r="G44" i="99"/>
  <c r="H44" i="99"/>
  <c r="G45" i="99"/>
  <c r="H45" i="99"/>
  <c r="G46" i="99"/>
  <c r="H46" i="99"/>
  <c r="G47" i="99"/>
  <c r="H47" i="99"/>
  <c r="G48" i="99"/>
  <c r="H48" i="99"/>
  <c r="G49" i="99"/>
  <c r="H49" i="99"/>
  <c r="G50" i="99"/>
  <c r="H50" i="99"/>
  <c r="G51" i="99"/>
  <c r="H51" i="99"/>
  <c r="G52" i="99"/>
  <c r="H52" i="99"/>
  <c r="G61" i="99"/>
  <c r="H61" i="99"/>
  <c r="G59" i="99"/>
  <c r="H59" i="99"/>
  <c r="G60" i="99"/>
  <c r="H60" i="99"/>
  <c r="B41" i="99"/>
  <c r="A41" i="99"/>
  <c r="B40" i="99"/>
  <c r="A40" i="99"/>
  <c r="K55" i="99" l="1"/>
  <c r="K53" i="99"/>
  <c r="K57" i="99"/>
  <c r="K43" i="99"/>
  <c r="J40" i="99"/>
  <c r="K40" i="99" l="1"/>
  <c r="AP74" i="1"/>
  <c r="BD34" i="1" l="1"/>
  <c r="BD42" i="1"/>
  <c r="BD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D73" i="1" l="1"/>
  <c r="BA72" i="113" s="1"/>
  <c r="BD66" i="1"/>
  <c r="BD35" i="1"/>
  <c r="BA34" i="113" s="1"/>
  <c r="BD28" i="1"/>
  <c r="BA28" i="113" s="1"/>
  <c r="BD17" i="1"/>
  <c r="BD19" i="1" l="1"/>
  <c r="BA19" i="113" s="1"/>
  <c r="BA17" i="113"/>
  <c r="BD74" i="1"/>
  <c r="BA65" i="113"/>
  <c r="AD23" i="1"/>
  <c r="BD77" i="1" l="1"/>
  <c r="BA73" i="113"/>
  <c r="AU42" i="1"/>
  <c r="BD81" i="1" l="1"/>
  <c r="BA76" i="113"/>
  <c r="AR32" i="1"/>
  <c r="AR25" i="1"/>
  <c r="BA80" i="113" l="1"/>
  <c r="E65" i="3"/>
  <c r="AB43" i="1"/>
  <c r="AB25" i="1"/>
  <c r="AT43" i="1" l="1"/>
  <c r="X37" i="1" l="1"/>
  <c r="AW23" i="1" l="1"/>
  <c r="AE23" i="1" l="1"/>
  <c r="AQ25" i="1" l="1"/>
  <c r="AW25" i="1" l="1"/>
  <c r="AB17" i="1" l="1"/>
  <c r="AB19" i="1" s="1"/>
  <c r="AB28" i="1"/>
  <c r="AB35" i="1"/>
  <c r="AB46" i="1"/>
  <c r="AB66" i="1"/>
  <c r="AB73" i="1"/>
  <c r="AB74" i="1" l="1"/>
  <c r="AB77" i="1" s="1"/>
  <c r="AB81" i="1" s="1"/>
  <c r="AB47" i="1"/>
  <c r="AB49" i="1" s="1"/>
  <c r="AB52" i="1" l="1"/>
  <c r="AR43" i="1" l="1"/>
  <c r="AQ43" i="1"/>
  <c r="AP43" i="1"/>
  <c r="AS25" i="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U32" i="1" l="1"/>
  <c r="AT32" i="113" s="1"/>
  <c r="AU71" i="1"/>
  <c r="AT70" i="113" s="1"/>
  <c r="AU64" i="1"/>
  <c r="AT63" i="113" s="1"/>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S49" i="1"/>
  <c r="AT74" i="1"/>
  <c r="B60" i="3"/>
  <c r="C60" i="3"/>
  <c r="AT49" i="1" l="1"/>
  <c r="AS48" i="113" s="1"/>
  <c r="AS52" i="1"/>
  <c r="AR51" i="113" s="1"/>
  <c r="AR48" i="113"/>
  <c r="AT77" i="1"/>
  <c r="AS73" i="113"/>
  <c r="AS77" i="1"/>
  <c r="AR73" i="113"/>
  <c r="AT52" i="1" l="1"/>
  <c r="AS51" i="113" s="1"/>
  <c r="AT81" i="1"/>
  <c r="AS76" i="113"/>
  <c r="AS81" i="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V72" i="113" s="1"/>
  <c r="AW66" i="1"/>
  <c r="AV65" i="113" s="1"/>
  <c r="AW46" i="1"/>
  <c r="AV45" i="113" s="1"/>
  <c r="AW35" i="1"/>
  <c r="AV34" i="113" s="1"/>
  <c r="AW28" i="1"/>
  <c r="AV28" i="113" s="1"/>
  <c r="AW17" i="1"/>
  <c r="AV17" i="113" s="1"/>
  <c r="AE74" i="1" l="1"/>
  <c r="AE77" i="1" s="1"/>
  <c r="AE81" i="1" s="1"/>
  <c r="E38" i="3" s="1"/>
  <c r="F36" i="48" s="1"/>
  <c r="G36" i="48" s="1"/>
  <c r="AW19" i="1"/>
  <c r="AV19" i="113" s="1"/>
  <c r="AW74" i="1"/>
  <c r="AD65" i="113"/>
  <c r="AW47" i="1"/>
  <c r="AV46" i="113" s="1"/>
  <c r="AD41" i="113"/>
  <c r="AD17" i="113"/>
  <c r="AE47" i="1"/>
  <c r="AD46" i="113" s="1"/>
  <c r="AD45" i="113"/>
  <c r="AD33" i="113"/>
  <c r="C51" i="3"/>
  <c r="B49" i="48" s="1"/>
  <c r="B51" i="3"/>
  <c r="AR73" i="1"/>
  <c r="AQ72" i="113" s="1"/>
  <c r="AR66" i="1"/>
  <c r="AQ65" i="113" s="1"/>
  <c r="AR46" i="1"/>
  <c r="AQ45" i="113" s="1"/>
  <c r="AR35" i="1"/>
  <c r="AQ34" i="113" s="1"/>
  <c r="AR28" i="1"/>
  <c r="AQ28" i="113" s="1"/>
  <c r="AR17" i="1"/>
  <c r="AW77" i="1" l="1"/>
  <c r="AV73" i="113"/>
  <c r="AR19" i="1"/>
  <c r="AQ19" i="113" s="1"/>
  <c r="AQ17" i="113"/>
  <c r="AD73" i="113"/>
  <c r="AD76" i="113"/>
  <c r="AD80" i="113"/>
  <c r="AW49" i="1"/>
  <c r="AV48" i="113" s="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U65" i="113" s="1"/>
  <c r="AV46" i="1"/>
  <c r="AU45" i="113" s="1"/>
  <c r="AV35" i="1"/>
  <c r="AU34" i="113" s="1"/>
  <c r="AV28" i="1"/>
  <c r="AU28" i="113" s="1"/>
  <c r="AV17" i="1"/>
  <c r="AU17" i="113" s="1"/>
  <c r="AU73" i="1"/>
  <c r="AT72" i="113" s="1"/>
  <c r="AU66" i="1"/>
  <c r="AT65" i="113" s="1"/>
  <c r="AU46" i="1"/>
  <c r="AT45" i="113" s="1"/>
  <c r="AU35" i="1"/>
  <c r="AT34" i="113" s="1"/>
  <c r="AU28" i="1"/>
  <c r="AT28" i="113" s="1"/>
  <c r="AU17" i="1"/>
  <c r="AG10" i="1"/>
  <c r="AH10" i="1" s="1"/>
  <c r="AF73" i="1"/>
  <c r="AE72" i="113" s="1"/>
  <c r="AF66" i="1"/>
  <c r="AF42" i="1"/>
  <c r="AF46" i="1" s="1"/>
  <c r="AE45" i="113" s="1"/>
  <c r="AF37" i="1"/>
  <c r="AE36" i="113" s="1"/>
  <c r="AF34" i="1"/>
  <c r="AF35" i="1" s="1"/>
  <c r="AE34" i="113" s="1"/>
  <c r="AF28" i="1"/>
  <c r="AE28" i="113" s="1"/>
  <c r="AF17" i="1"/>
  <c r="AF19" i="1" s="1"/>
  <c r="AE19" i="113" s="1"/>
  <c r="AU19" i="1" l="1"/>
  <c r="AT19" i="113" s="1"/>
  <c r="AT17" i="113"/>
  <c r="AW81" i="1"/>
  <c r="AV76" i="113"/>
  <c r="AR77" i="1"/>
  <c r="AQ73" i="113"/>
  <c r="AR49" i="1"/>
  <c r="AQ48" i="113" s="1"/>
  <c r="AQ46" i="113"/>
  <c r="A41" i="3"/>
  <c r="A39" i="48" s="1"/>
  <c r="AI10" i="1"/>
  <c r="AG10" i="113"/>
  <c r="AW52" i="1"/>
  <c r="AV51" i="113" s="1"/>
  <c r="AU74" i="1"/>
  <c r="AT73" i="113" s="1"/>
  <c r="AF74" i="1"/>
  <c r="AV19" i="1"/>
  <c r="AU19" i="113" s="1"/>
  <c r="AV74" i="1"/>
  <c r="BA74" i="1"/>
  <c r="BA77" i="1" s="1"/>
  <c r="BA81" i="1" s="1"/>
  <c r="AE52" i="1"/>
  <c r="AD51" i="113" s="1"/>
  <c r="AE33" i="113"/>
  <c r="BA47" i="1"/>
  <c r="AV47" i="1"/>
  <c r="AU46" i="113" s="1"/>
  <c r="AE41" i="113"/>
  <c r="AU47" i="1"/>
  <c r="AT46" i="113" s="1"/>
  <c r="AE65" i="113"/>
  <c r="AE17" i="113"/>
  <c r="AR52" i="1"/>
  <c r="AQ51" i="113" s="1"/>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V77" i="1" l="1"/>
  <c r="AU73" i="113"/>
  <c r="AV80" i="113"/>
  <c r="E56" i="3"/>
  <c r="F54" i="48" s="1"/>
  <c r="G54" i="48" s="1"/>
  <c r="AR81" i="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AT76" i="113" s="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AT48" i="113" s="1"/>
  <c r="G35" i="111"/>
  <c r="E34" i="111"/>
  <c r="H34" i="111" s="1"/>
  <c r="I62" i="111"/>
  <c r="I66" i="111" s="1"/>
  <c r="E72" i="1"/>
  <c r="AF49" i="1"/>
  <c r="AE46" i="113"/>
  <c r="E31" i="111"/>
  <c r="I31" i="111"/>
  <c r="I35" i="111" s="1"/>
  <c r="J35" i="111"/>
  <c r="I46" i="111"/>
  <c r="E16" i="111"/>
  <c r="H16" i="111" s="1"/>
  <c r="J46" i="111"/>
  <c r="I23" i="111"/>
  <c r="I28" i="111" s="1"/>
  <c r="AV81" i="1" l="1"/>
  <c r="AU76" i="113"/>
  <c r="F35" i="111"/>
  <c r="F19" i="111"/>
  <c r="E51" i="3"/>
  <c r="F49" i="48" s="1"/>
  <c r="G49" i="48" s="1"/>
  <c r="AQ80" i="113"/>
  <c r="E43" i="111"/>
  <c r="H43" i="111" s="1"/>
  <c r="BA52" i="1"/>
  <c r="F46" i="111"/>
  <c r="E69" i="111"/>
  <c r="AU81" i="1"/>
  <c r="AT80" i="113" s="1"/>
  <c r="E66" i="111"/>
  <c r="H66" i="111" s="1"/>
  <c r="F28" i="111"/>
  <c r="AF81" i="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E46" i="111" l="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AL47" i="1"/>
  <c r="AL49" i="1" s="1"/>
  <c r="AL52" i="1" s="1"/>
  <c r="S34" i="1"/>
  <c r="L11" i="51" l="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Q10" i="113"/>
  <c r="A51" i="3"/>
  <c r="A49" i="48" s="1"/>
  <c r="I19" i="1"/>
  <c r="I19" i="113" s="1"/>
  <c r="I17" i="113"/>
  <c r="AO74" i="1"/>
  <c r="AO77" i="1" s="1"/>
  <c r="AO81" i="1" s="1"/>
  <c r="AO47" i="1"/>
  <c r="AO49" i="1" s="1"/>
  <c r="AO52" i="1" s="1"/>
  <c r="AQ47" i="1"/>
  <c r="AQ49" i="1" s="1"/>
  <c r="AQ52" i="1" s="1"/>
  <c r="I74" i="1"/>
  <c r="AQ74" i="1"/>
  <c r="AQ77" i="1" s="1"/>
  <c r="AQ81" i="1" s="1"/>
  <c r="AD47" i="1"/>
  <c r="AD49" i="1" s="1"/>
  <c r="AD52" i="1" s="1"/>
  <c r="AD74" i="1"/>
  <c r="AD77" i="1" s="1"/>
  <c r="AD81" i="1" s="1"/>
  <c r="I47" i="1"/>
  <c r="AT10" i="1" l="1"/>
  <c r="AU10" i="1" s="1"/>
  <c r="AT10" i="113" s="1"/>
  <c r="AR10" i="113"/>
  <c r="A52" i="3"/>
  <c r="A50" i="48" s="1"/>
  <c r="I77" i="1"/>
  <c r="I73" i="113"/>
  <c r="I49" i="1"/>
  <c r="I46" i="113"/>
  <c r="AS10" i="113" l="1"/>
  <c r="A53" i="3"/>
  <c r="A51" i="48" s="1"/>
  <c r="I52" i="1"/>
  <c r="I51" i="113" s="1"/>
  <c r="I48" i="113"/>
  <c r="I81" i="1"/>
  <c r="I76" i="113"/>
  <c r="E18" i="52"/>
  <c r="E20" i="52" s="1"/>
  <c r="A4" i="51"/>
  <c r="A4" i="52" s="1"/>
  <c r="A54" i="3" l="1"/>
  <c r="A52" i="48" s="1"/>
  <c r="AV10" i="1"/>
  <c r="AU10" i="113" s="1"/>
  <c r="H14" i="99"/>
  <c r="K14" i="99" s="1"/>
  <c r="I80" i="113"/>
  <c r="E14" i="3"/>
  <c r="F15" i="48" s="1"/>
  <c r="E24" i="52"/>
  <c r="AB25" i="113"/>
  <c r="BI41" i="1" l="1"/>
  <c r="AW10" i="1"/>
  <c r="AV10" i="113" s="1"/>
  <c r="A55" i="3"/>
  <c r="A53" i="48" s="1"/>
  <c r="G15" i="48"/>
  <c r="E22" i="51"/>
  <c r="B61" i="3"/>
  <c r="A56" i="3" l="1"/>
  <c r="A54" i="48" s="1"/>
  <c r="AX10" i="1"/>
  <c r="AB42" i="113"/>
  <c r="AY10" i="1" l="1"/>
  <c r="AW10" i="113"/>
  <c r="AZ10" i="1" l="1"/>
  <c r="BA10" i="1" s="1"/>
  <c r="AX10" i="113"/>
  <c r="AY10" i="113"/>
  <c r="BB73" i="1"/>
  <c r="BB66" i="1"/>
  <c r="BB46" i="1"/>
  <c r="BB35" i="1"/>
  <c r="BB28" i="1"/>
  <c r="BB17" i="1"/>
  <c r="A60" i="3" l="1"/>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28" i="1"/>
  <c r="AI17" i="1"/>
  <c r="AI19" i="1" s="1"/>
  <c r="AN74" i="1" l="1"/>
  <c r="AN77" i="1" s="1"/>
  <c r="AN81" i="1" s="1"/>
  <c r="AK74" i="1"/>
  <c r="AK77" i="1" s="1"/>
  <c r="AK81" i="1" s="1"/>
  <c r="AN47" i="1"/>
  <c r="AN49" i="1" s="1"/>
  <c r="AN52" i="1" s="1"/>
  <c r="AI74" i="1"/>
  <c r="AI77" i="1" s="1"/>
  <c r="AI81" i="1" s="1"/>
  <c r="AK47" i="1"/>
  <c r="AK49" i="1" s="1"/>
  <c r="AK52" i="1" s="1"/>
  <c r="AI47" i="1"/>
  <c r="AI49" i="1" s="1"/>
  <c r="AI52" i="1" s="1"/>
  <c r="N13" i="5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W72" i="113" s="1"/>
  <c r="AX66" i="1"/>
  <c r="AW65" i="113" s="1"/>
  <c r="AX46" i="1"/>
  <c r="AW45" i="113" s="1"/>
  <c r="AX35" i="1"/>
  <c r="AW34" i="113" s="1"/>
  <c r="AX28" i="1"/>
  <c r="AW28" i="113" s="1"/>
  <c r="AX17" i="1"/>
  <c r="AX19" i="1" l="1"/>
  <c r="AW19" i="113" s="1"/>
  <c r="AW17" i="113"/>
  <c r="AX47" i="1"/>
  <c r="AW46" i="113" s="1"/>
  <c r="AX74" i="1"/>
  <c r="AW73" i="113" s="1"/>
  <c r="AX77" i="1" l="1"/>
  <c r="AW76" i="113" s="1"/>
  <c r="AX49" i="1"/>
  <c r="AX52" i="1" l="1"/>
  <c r="AW51" i="113" s="1"/>
  <c r="AW48" i="113"/>
  <c r="AX81" i="1"/>
  <c r="AW80" i="113" s="1"/>
  <c r="K59" i="99" l="1"/>
  <c r="E57" i="3"/>
  <c r="F55" i="48" s="1"/>
  <c r="G55" i="48" s="1"/>
  <c r="B29" i="99" l="1"/>
  <c r="B60" i="99"/>
  <c r="B50" i="99"/>
  <c r="AG17" i="1" l="1"/>
  <c r="AG19" i="1" s="1"/>
  <c r="AG28" i="1"/>
  <c r="AG35" i="1"/>
  <c r="AG46" i="1"/>
  <c r="AG66" i="1"/>
  <c r="AG73" i="1"/>
  <c r="AG74" i="1" l="1"/>
  <c r="AG77" i="1" s="1"/>
  <c r="AG81" i="1"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BC44" i="1" s="1"/>
  <c r="AZ43" i="113" s="1"/>
  <c r="E43" i="50"/>
  <c r="G43" i="50" l="1"/>
  <c r="F43" i="50" s="1"/>
  <c r="I43" i="50" l="1"/>
  <c r="AM73" i="1"/>
  <c r="AL72" i="113" s="1"/>
  <c r="AM66" i="1"/>
  <c r="AL65" i="113" s="1"/>
  <c r="AM46" i="1"/>
  <c r="AL45" i="113" s="1"/>
  <c r="AM35" i="1"/>
  <c r="AL34" i="113" s="1"/>
  <c r="AM28" i="1"/>
  <c r="AL28" i="113" s="1"/>
  <c r="AM17" i="1"/>
  <c r="AA72" i="113"/>
  <c r="AA65" i="113"/>
  <c r="AA45" i="113"/>
  <c r="AA34" i="113"/>
  <c r="AA28" i="113"/>
  <c r="AA17" i="113"/>
  <c r="AM19" i="1" l="1"/>
  <c r="AL19" i="113" s="1"/>
  <c r="AL17" i="113"/>
  <c r="AM74" i="1"/>
  <c r="AM47" i="1"/>
  <c r="AA19" i="113"/>
  <c r="AA46" i="113"/>
  <c r="AM49" i="1" l="1"/>
  <c r="AM52" i="1" s="1"/>
  <c r="AL46" i="113"/>
  <c r="AM10" i="113"/>
  <c r="AM77" i="1"/>
  <c r="AL73" i="113"/>
  <c r="AA73" i="113"/>
  <c r="A48" i="99" l="1"/>
  <c r="AA51" i="113"/>
  <c r="AA48" i="113"/>
  <c r="AM81" i="1"/>
  <c r="K48" i="99" s="1"/>
  <c r="AL76" i="113"/>
  <c r="AL51" i="113"/>
  <c r="AL48" i="113"/>
  <c r="H34" i="99"/>
  <c r="K34" i="99" s="1"/>
  <c r="AA76" i="113"/>
  <c r="AL10" i="113"/>
  <c r="A46" i="3"/>
  <c r="A44" i="48" s="1"/>
  <c r="AN10" i="113" l="1"/>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X73" i="113" s="1"/>
  <c r="AY47" i="1"/>
  <c r="AX46" i="113" s="1"/>
  <c r="AY77" i="1" l="1"/>
  <c r="AX76" i="113" s="1"/>
  <c r="AY49" i="1"/>
  <c r="AX48" i="113" s="1"/>
  <c r="AY52" i="1" l="1"/>
  <c r="AX51" i="113" s="1"/>
  <c r="AY81" i="1"/>
  <c r="AX80" i="113" s="1"/>
  <c r="K60" i="99" l="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O65" i="113" s="1"/>
  <c r="AP73" i="1"/>
  <c r="AO72" i="113" s="1"/>
  <c r="AO45" i="113" l="1"/>
  <c r="AP47" i="1"/>
  <c r="AO46" i="113" s="1"/>
  <c r="AP19" i="1"/>
  <c r="AO73" i="113"/>
  <c r="AO19" i="113" l="1"/>
  <c r="AP49" i="1"/>
  <c r="AP52" i="1" s="1"/>
  <c r="AP77" i="1"/>
  <c r="AO48" i="113" l="1"/>
  <c r="AO51" i="113"/>
  <c r="AO76" i="113"/>
  <c r="AP81" i="1"/>
  <c r="Z73" i="1"/>
  <c r="Z72" i="113" s="1"/>
  <c r="Z66" i="1"/>
  <c r="Z65" i="113" s="1"/>
  <c r="Z46" i="1"/>
  <c r="Z45" i="113" s="1"/>
  <c r="Z35" i="1"/>
  <c r="Z34" i="113" s="1"/>
  <c r="Z28" i="1"/>
  <c r="Z28" i="113" s="1"/>
  <c r="Z17" i="1"/>
  <c r="Z17" i="113" s="1"/>
  <c r="AO80" i="113" l="1"/>
  <c r="K51" i="99"/>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AP33" i="113"/>
  <c r="AP36" i="113"/>
  <c r="AP41" i="113"/>
  <c r="T34" i="1"/>
  <c r="AC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N11" i="51"/>
  <c r="O12" i="51" s="1"/>
  <c r="B61" i="99"/>
  <c r="F11" i="113"/>
  <c r="F9" i="113"/>
  <c r="F8" i="113"/>
  <c r="F7" i="113"/>
  <c r="C59" i="3"/>
  <c r="B57" i="48" s="1"/>
  <c r="B59" i="3"/>
  <c r="AB53" i="1" l="1"/>
  <c r="AB57" i="1" s="1"/>
  <c r="BD53" i="1"/>
  <c r="AH53" i="1"/>
  <c r="AG52" i="113" s="1"/>
  <c r="AT53" i="1"/>
  <c r="AS53" i="1"/>
  <c r="AE53" i="1"/>
  <c r="AW53" i="1"/>
  <c r="AV52" i="113" s="1"/>
  <c r="AR53" i="1"/>
  <c r="BA53" i="1"/>
  <c r="AF53" i="1"/>
  <c r="AU53" i="1"/>
  <c r="AT52" i="113" s="1"/>
  <c r="AV53" i="1"/>
  <c r="AU52" i="113" s="1"/>
  <c r="AL53" i="1"/>
  <c r="AL57" i="1" s="1"/>
  <c r="S10" i="1"/>
  <c r="T10" i="1" s="1"/>
  <c r="AZ66" i="1"/>
  <c r="AY65" i="113" s="1"/>
  <c r="AZ46" i="1"/>
  <c r="AY45" i="113" s="1"/>
  <c r="AZ35" i="1"/>
  <c r="AY34" i="113" s="1"/>
  <c r="AZ17" i="1"/>
  <c r="AY17" i="113" s="1"/>
  <c r="BA52" i="113" l="1"/>
  <c r="BI40" i="1"/>
  <c r="BH41" i="1" s="1"/>
  <c r="BI44" i="1" s="1"/>
  <c r="BI45" i="1" s="1"/>
  <c r="BI46" i="1" s="1"/>
  <c r="AS57" i="1"/>
  <c r="AR52" i="113"/>
  <c r="AS52" i="113"/>
  <c r="AT57" i="1"/>
  <c r="AH57" i="1"/>
  <c r="AG56" i="113" s="1"/>
  <c r="AR57" i="1"/>
  <c r="AQ52" i="113"/>
  <c r="AW57" i="1"/>
  <c r="AV56" i="113" s="1"/>
  <c r="AD52" i="113"/>
  <c r="AE57" i="1"/>
  <c r="AE52" i="113"/>
  <c r="AF57" i="1"/>
  <c r="AV57" i="1"/>
  <c r="AU56" i="113" s="1"/>
  <c r="BA57" i="1"/>
  <c r="D60" i="3" s="1"/>
  <c r="AU57" i="1"/>
  <c r="AT56" i="113" s="1"/>
  <c r="U10" i="1"/>
  <c r="V10" i="1" s="1"/>
  <c r="W10" i="1" s="1"/>
  <c r="X10" i="1" s="1"/>
  <c r="Y10" i="1" s="1"/>
  <c r="Z10" i="1" s="1"/>
  <c r="AA10" i="1" s="1"/>
  <c r="AB10" i="1" s="1"/>
  <c r="AZ47" i="1"/>
  <c r="AY46" i="113" s="1"/>
  <c r="S10" i="113"/>
  <c r="T10" i="113"/>
  <c r="AZ19" i="1"/>
  <c r="AY19" i="113" s="1"/>
  <c r="AZ74" i="1"/>
  <c r="AY73" i="113" s="1"/>
  <c r="U35" i="1"/>
  <c r="U34" i="113" s="1"/>
  <c r="U28" i="1"/>
  <c r="U28" i="113" s="1"/>
  <c r="U17" i="1"/>
  <c r="U17" i="113" s="1"/>
  <c r="D41" i="3" l="1"/>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Z77" i="1"/>
  <c r="AY76" i="113" s="1"/>
  <c r="AZ49" i="1"/>
  <c r="U19" i="1"/>
  <c r="U19" i="113" s="1"/>
  <c r="AZ52" i="1" l="1"/>
  <c r="AY51" i="113" s="1"/>
  <c r="AY48" i="113"/>
  <c r="X10" i="113"/>
  <c r="U10" i="113"/>
  <c r="AZ81" i="1"/>
  <c r="AY80" i="113" s="1"/>
  <c r="A10" i="99"/>
  <c r="B10" i="99"/>
  <c r="E11" i="113"/>
  <c r="Y10" i="113" l="1"/>
  <c r="E59" i="3"/>
  <c r="F57" i="48" s="1"/>
  <c r="G57" i="48" s="1"/>
  <c r="K61" i="99"/>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C22" i="1"/>
  <c r="BE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C30" i="1"/>
  <c r="BE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C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E37" i="113"/>
  <c r="E38" i="113"/>
  <c r="AC42" i="1"/>
  <c r="AC43" i="1"/>
  <c r="AC55" i="1"/>
  <c r="G44" i="50" l="1"/>
  <c r="BE45" i="1"/>
  <c r="BB44" i="113" s="1"/>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E24" i="113"/>
  <c r="E53" i="113"/>
  <c r="E46" i="1"/>
  <c r="E45" i="113" s="1"/>
  <c r="E41" i="113"/>
  <c r="E42" i="113"/>
  <c r="N49" i="1"/>
  <c r="BC43" i="1"/>
  <c r="AZ42" i="113" s="1"/>
  <c r="AC46" i="1"/>
  <c r="E36" i="113"/>
  <c r="U77" i="1"/>
  <c r="U76" i="113" s="1"/>
  <c r="BC37" i="1"/>
  <c r="AZ36" i="113" s="1"/>
  <c r="BC42" i="1"/>
  <c r="AZ41" i="113" s="1"/>
  <c r="AJ76" i="113"/>
  <c r="E54" i="113"/>
  <c r="J49" i="1"/>
  <c r="BC34" i="1"/>
  <c r="AZ33" i="113" s="1"/>
  <c r="BC27" i="1"/>
  <c r="AZ27" i="113" s="1"/>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E34" i="1"/>
  <c r="BB33" i="113" s="1"/>
  <c r="G41" i="50"/>
  <c r="BE42" i="1"/>
  <c r="BB41" i="113" s="1"/>
  <c r="G36" i="50"/>
  <c r="BE37" i="1"/>
  <c r="BB36" i="113" s="1"/>
  <c r="G42" i="50"/>
  <c r="BE43" i="1"/>
  <c r="BB42" i="113" s="1"/>
  <c r="G27" i="50"/>
  <c r="BE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BC15" i="1" s="1"/>
  <c r="AZ15" i="113" s="1"/>
  <c r="G48" i="113"/>
  <c r="G51" i="113"/>
  <c r="AJ81" i="1"/>
  <c r="AI80" i="113" s="1"/>
  <c r="AC80" i="113"/>
  <c r="R81" i="1"/>
  <c r="R80" i="113" s="1"/>
  <c r="BC38" i="1"/>
  <c r="AZ37" i="113" s="1"/>
  <c r="M81" i="1"/>
  <c r="M80" i="113" s="1"/>
  <c r="Y81" i="1"/>
  <c r="Y80" i="113" s="1"/>
  <c r="O81" i="1"/>
  <c r="H81" i="1"/>
  <c r="AF80" i="113"/>
  <c r="AJ80" i="113"/>
  <c r="BC39" i="1"/>
  <c r="AZ38" i="113" s="1"/>
  <c r="AH51" i="113"/>
  <c r="AK80" i="113"/>
  <c r="AC14" i="1"/>
  <c r="BC14" i="1" s="1"/>
  <c r="E14" i="113"/>
  <c r="BC24" i="1"/>
  <c r="AZ24" i="113" s="1"/>
  <c r="AC26" i="1"/>
  <c r="E26" i="113"/>
  <c r="BC46" i="1"/>
  <c r="AC18" i="1"/>
  <c r="E18" i="113"/>
  <c r="AC23" i="1"/>
  <c r="BC23" i="1" s="1"/>
  <c r="AZ23" i="113" s="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E14" i="1" l="1"/>
  <c r="BB14" i="113" s="1"/>
  <c r="AZ14" i="113"/>
  <c r="AZ45" i="113"/>
  <c r="G23" i="50"/>
  <c r="BE23" i="1"/>
  <c r="BB23" i="113" s="1"/>
  <c r="G15" i="50"/>
  <c r="BE15" i="1"/>
  <c r="BB15" i="113" s="1"/>
  <c r="G24" i="50"/>
  <c r="BE24" i="1"/>
  <c r="BB24" i="113" s="1"/>
  <c r="G37" i="50"/>
  <c r="BE38" i="1"/>
  <c r="BB37" i="113" s="1"/>
  <c r="G38" i="50"/>
  <c r="BE39" i="1"/>
  <c r="BB38" i="113" s="1"/>
  <c r="G14" i="50"/>
  <c r="H80" i="113"/>
  <c r="AI51" i="113"/>
  <c r="O80" i="113"/>
  <c r="AJ10" i="113"/>
  <c r="M51" i="113"/>
  <c r="AC54" i="1"/>
  <c r="BC54" i="1" s="1"/>
  <c r="AZ53" i="113" s="1"/>
  <c r="Q80" i="113"/>
  <c r="E22" i="3"/>
  <c r="F23" i="48" s="1"/>
  <c r="H27" i="99"/>
  <c r="K27" i="99" s="1"/>
  <c r="E25" i="3"/>
  <c r="F26" i="48" s="1"/>
  <c r="K44" i="99"/>
  <c r="K45"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C18" i="1"/>
  <c r="AZ18" i="113" s="1"/>
  <c r="BC26" i="1"/>
  <c r="AZ26" i="113" s="1"/>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G18" i="50" l="1"/>
  <c r="BE18" i="1"/>
  <c r="BB18" i="113" s="1"/>
  <c r="G26" i="50"/>
  <c r="BE26" i="1"/>
  <c r="BB26" i="113" s="1"/>
  <c r="G53" i="50"/>
  <c r="BE54" i="1"/>
  <c r="BB53" i="113" s="1"/>
  <c r="G26" i="48"/>
  <c r="G13" i="48"/>
  <c r="G14" i="48"/>
  <c r="G23" i="48"/>
  <c r="E26" i="51"/>
  <c r="K13" i="99"/>
  <c r="AF10" i="113"/>
  <c r="BC25" i="1"/>
  <c r="AZ25" i="113" s="1"/>
  <c r="AC28" i="1"/>
  <c r="H76" i="50"/>
  <c r="H80" i="50" s="1"/>
  <c r="G25" i="50" l="1"/>
  <c r="BE25" i="1"/>
  <c r="BB25" i="113" s="1"/>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AP53" i="1" l="1"/>
  <c r="AN53" i="1"/>
  <c r="AN57" i="1" s="1"/>
  <c r="AI53" i="1"/>
  <c r="AI57" i="1" s="1"/>
  <c r="Z53" i="1"/>
  <c r="Z52" i="113" s="1"/>
  <c r="U53" i="1"/>
  <c r="U52" i="113" s="1"/>
  <c r="Q53" i="1"/>
  <c r="Q52" i="113" s="1"/>
  <c r="H53" i="1"/>
  <c r="H52" i="113" s="1"/>
  <c r="L53" i="1"/>
  <c r="L52" i="113" s="1"/>
  <c r="BB53" i="1"/>
  <c r="AX53" i="1"/>
  <c r="AW52" i="113" s="1"/>
  <c r="AK52" i="113"/>
  <c r="AD53" i="1"/>
  <c r="AD57" i="1" s="1"/>
  <c r="V53" i="1"/>
  <c r="T53" i="1"/>
  <c r="P53" i="1"/>
  <c r="P52" i="113" s="1"/>
  <c r="I53" i="1"/>
  <c r="M53" i="1"/>
  <c r="M52" i="113" s="1"/>
  <c r="AY53" i="1"/>
  <c r="AX52" i="113" s="1"/>
  <c r="AK53" i="1"/>
  <c r="AK57" i="1"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AQ53" i="1"/>
  <c r="AG53" i="1"/>
  <c r="AG57" i="1" s="1"/>
  <c r="E61" i="48"/>
  <c r="E14" i="51"/>
  <c r="E85" i="1" s="1"/>
  <c r="N9" i="99"/>
  <c r="O54" i="99" l="1"/>
  <c r="N58" i="99"/>
  <c r="N41" i="99"/>
  <c r="O58" i="99"/>
  <c r="O57" i="99"/>
  <c r="O43" i="99"/>
  <c r="O55" i="99"/>
  <c r="N56" i="99"/>
  <c r="O56" i="99"/>
  <c r="O53" i="99"/>
  <c r="N54" i="99"/>
  <c r="O41" i="99"/>
  <c r="N53" i="99"/>
  <c r="N55" i="99"/>
  <c r="N43" i="99"/>
  <c r="N57" i="99"/>
  <c r="O40" i="99"/>
  <c r="N40" i="99"/>
  <c r="AB88" i="1"/>
  <c r="AB89" i="1" s="1"/>
  <c r="AB83" i="1" s="1"/>
  <c r="AO52" i="113"/>
  <c r="AP57" i="1"/>
  <c r="AP88" i="1" s="1"/>
  <c r="I39" i="48"/>
  <c r="I51" i="48"/>
  <c r="I50" i="48"/>
  <c r="AS88" i="1"/>
  <c r="AS89" i="1" s="1"/>
  <c r="AS83" i="1" s="1"/>
  <c r="AT88" i="1"/>
  <c r="AT89" i="1" s="1"/>
  <c r="AT83" i="1" s="1"/>
  <c r="AE88" i="1"/>
  <c r="AE89" i="1" s="1"/>
  <c r="AE83" i="1" s="1"/>
  <c r="AH88" i="1"/>
  <c r="AH89" i="1" s="1"/>
  <c r="AH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R83" i="1" s="1"/>
  <c r="AW88" i="1"/>
  <c r="AW89" i="1" s="1"/>
  <c r="AW83" i="1" s="1"/>
  <c r="AV88" i="1"/>
  <c r="AV89" i="1" s="1"/>
  <c r="AV83" i="1" s="1"/>
  <c r="BA88" i="1"/>
  <c r="BA89" i="1" s="1"/>
  <c r="BA83" i="1" s="1"/>
  <c r="AU88" i="1"/>
  <c r="AU89" i="1" s="1"/>
  <c r="AU83" i="1" s="1"/>
  <c r="AU94" i="1" s="1"/>
  <c r="AL88" i="1"/>
  <c r="AL89" i="1" s="1"/>
  <c r="AL83" i="1" s="1"/>
  <c r="AF88" i="1"/>
  <c r="AF89" i="1" s="1"/>
  <c r="AF83" i="1" s="1"/>
  <c r="AC52" i="113"/>
  <c r="AB52" i="113"/>
  <c r="BB57" i="1"/>
  <c r="I57" i="1"/>
  <c r="I52" i="113"/>
  <c r="N14" i="99"/>
  <c r="AP52" i="113"/>
  <c r="N35" i="99"/>
  <c r="AJ52" i="113"/>
  <c r="AM52" i="113"/>
  <c r="AI52" i="113"/>
  <c r="AX57" i="1"/>
  <c r="AH52" i="113"/>
  <c r="D48" i="3"/>
  <c r="AN52" i="113"/>
  <c r="N29" i="99"/>
  <c r="N59" i="99"/>
  <c r="N60" i="99"/>
  <c r="N50" i="99"/>
  <c r="O57" i="1"/>
  <c r="O56" i="113" s="1"/>
  <c r="V52" i="113"/>
  <c r="V57" i="1"/>
  <c r="G29" i="99" s="1"/>
  <c r="AY57" i="1"/>
  <c r="AX56" i="113" s="1"/>
  <c r="AL52" i="113"/>
  <c r="AM57" i="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AY56" i="113" s="1"/>
  <c r="T57" i="1"/>
  <c r="T56" i="113" s="1"/>
  <c r="T52" i="113"/>
  <c r="J57" i="1"/>
  <c r="J56" i="113" s="1"/>
  <c r="AH56" i="113"/>
  <c r="AJ57" i="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BC53" i="1" s="1"/>
  <c r="AZ52" i="113" s="1"/>
  <c r="F57" i="1"/>
  <c r="AC56" i="113"/>
  <c r="G57" i="1"/>
  <c r="G56" i="113" s="1"/>
  <c r="X57" i="1"/>
  <c r="X56" i="113" s="1"/>
  <c r="F61" i="48"/>
  <c r="I35" i="48"/>
  <c r="O16" i="99"/>
  <c r="O38" i="99"/>
  <c r="P57" i="99" l="1"/>
  <c r="Q57" i="99"/>
  <c r="P56" i="99"/>
  <c r="Q56" i="99"/>
  <c r="P43" i="99"/>
  <c r="Q43" i="99"/>
  <c r="Q54" i="99"/>
  <c r="P54" i="99"/>
  <c r="Q41" i="99"/>
  <c r="P41" i="99"/>
  <c r="P55" i="99"/>
  <c r="Q55" i="99"/>
  <c r="Q58" i="99"/>
  <c r="P58" i="99"/>
  <c r="P53" i="99"/>
  <c r="Q53" i="99"/>
  <c r="Q40" i="99"/>
  <c r="P40" i="99"/>
  <c r="G52" i="50"/>
  <c r="BE53" i="1"/>
  <c r="BB52" i="113" s="1"/>
  <c r="AX88" i="1"/>
  <c r="AX89" i="1" s="1"/>
  <c r="AW56" i="113"/>
  <c r="H56" i="113"/>
  <c r="H88" i="1"/>
  <c r="H89" i="1" s="1"/>
  <c r="F63" i="48"/>
  <c r="D61" i="3"/>
  <c r="D14" i="3"/>
  <c r="G14" i="99"/>
  <c r="I56" i="113"/>
  <c r="G35" i="99"/>
  <c r="AB56" i="113"/>
  <c r="AO88" i="1"/>
  <c r="AO89" i="1" s="1"/>
  <c r="AO83" i="1" s="1"/>
  <c r="I88" i="1"/>
  <c r="I89" i="1" s="1"/>
  <c r="I83" i="1" s="1"/>
  <c r="AD88" i="1"/>
  <c r="AD89" i="1" s="1"/>
  <c r="AD83" i="1" s="1"/>
  <c r="BB88" i="1"/>
  <c r="BB89" i="1" s="1"/>
  <c r="BB83"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J51" i="99"/>
  <c r="M51" i="99" s="1"/>
  <c r="Q51" i="99" s="1"/>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59" i="3"/>
  <c r="M88" i="1"/>
  <c r="D40" i="3"/>
  <c r="G12" i="99"/>
  <c r="D37" i="3"/>
  <c r="D29" i="3"/>
  <c r="AZ88" i="1"/>
  <c r="F67" i="48" l="1"/>
  <c r="F70" i="48" s="1"/>
  <c r="J35" i="99"/>
  <c r="M35" i="99" s="1"/>
  <c r="O35" i="99"/>
  <c r="J14" i="99"/>
  <c r="M14" i="99" s="1"/>
  <c r="O14" i="99"/>
  <c r="R89" i="1"/>
  <c r="R83" i="1" s="1"/>
  <c r="Y89" i="1"/>
  <c r="Y83" i="1" s="1"/>
  <c r="H83" i="1"/>
  <c r="P89" i="1"/>
  <c r="P83" i="1" s="1"/>
  <c r="L89" i="1"/>
  <c r="L83" i="1" s="1"/>
  <c r="O89" i="1"/>
  <c r="O83" i="1" s="1"/>
  <c r="AG89" i="1"/>
  <c r="AG83" i="1" s="1"/>
  <c r="M89" i="1"/>
  <c r="M83" i="1" s="1"/>
  <c r="N89" i="1"/>
  <c r="N83" i="1" s="1"/>
  <c r="K89" i="1"/>
  <c r="K83" i="1" s="1"/>
  <c r="T89" i="1"/>
  <c r="T83" i="1" s="1"/>
  <c r="AY89" i="1"/>
  <c r="AY83" i="1" s="1"/>
  <c r="V89" i="1"/>
  <c r="V83" i="1" s="1"/>
  <c r="AK89" i="1"/>
  <c r="AK83" i="1" s="1"/>
  <c r="X89" i="1"/>
  <c r="X83" i="1" s="1"/>
  <c r="Q89" i="1"/>
  <c r="Q83" i="1" s="1"/>
  <c r="S89" i="1"/>
  <c r="S83" i="1" s="1"/>
  <c r="AJ89" i="1"/>
  <c r="AJ83" i="1" s="1"/>
  <c r="Z89" i="1"/>
  <c r="Z83" i="1" s="1"/>
  <c r="AM89" i="1"/>
  <c r="AM83" i="1" s="1"/>
  <c r="AX83" i="1"/>
  <c r="AI89" i="1"/>
  <c r="AI83" i="1" s="1"/>
  <c r="AZ89" i="1"/>
  <c r="AZ83" i="1" s="1"/>
  <c r="G89" i="1"/>
  <c r="G83" i="1" s="1"/>
  <c r="F89" i="1"/>
  <c r="F83" i="1" s="1"/>
  <c r="U89" i="1"/>
  <c r="U83" i="1" s="1"/>
  <c r="J89" i="1"/>
  <c r="J83" i="1" s="1"/>
  <c r="AP89" i="1"/>
  <c r="AP83" i="1" s="1"/>
  <c r="AA89" i="1"/>
  <c r="AA83" i="1" s="1"/>
  <c r="AN89" i="1"/>
  <c r="AN83" i="1" s="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M13" i="99" l="1"/>
  <c r="P14" i="99"/>
  <c r="Q14" i="99"/>
  <c r="P35" i="99"/>
  <c r="Q35" i="99"/>
  <c r="P19" i="99"/>
  <c r="Q19" i="99"/>
  <c r="P32" i="99"/>
  <c r="Q32" i="99"/>
  <c r="P25" i="99"/>
  <c r="Q25" i="99"/>
  <c r="P26" i="99"/>
  <c r="Q26" i="99"/>
  <c r="P27" i="99"/>
  <c r="Q27" i="99"/>
  <c r="P31" i="99"/>
  <c r="Q31" i="99"/>
  <c r="P46" i="99"/>
  <c r="Q46" i="99"/>
  <c r="P24" i="99"/>
  <c r="Q24" i="99"/>
  <c r="P23" i="99"/>
  <c r="Q23" i="99"/>
  <c r="P48" i="99"/>
  <c r="Q48" i="99"/>
  <c r="P60" i="99"/>
  <c r="Q60" i="99"/>
  <c r="P59" i="99"/>
  <c r="Q59" i="99"/>
  <c r="P42" i="99"/>
  <c r="Q42" i="99"/>
  <c r="P12" i="99"/>
  <c r="Q12" i="99"/>
  <c r="P47" i="99"/>
  <c r="Q47" i="99"/>
  <c r="P28" i="99"/>
  <c r="Q28" i="99"/>
  <c r="P49" i="99"/>
  <c r="Q49" i="99"/>
  <c r="P61" i="99"/>
  <c r="Q61" i="99"/>
  <c r="P44" i="99"/>
  <c r="Q44" i="99"/>
  <c r="P45" i="99"/>
  <c r="Q45" i="99"/>
  <c r="P21" i="99"/>
  <c r="Q21" i="99"/>
  <c r="P17" i="99"/>
  <c r="Q17" i="99"/>
  <c r="P39" i="99"/>
  <c r="Q39" i="99"/>
  <c r="P34" i="99"/>
  <c r="Q34" i="99"/>
  <c r="P50" i="99"/>
  <c r="Q50" i="99"/>
  <c r="P11" i="99"/>
  <c r="Q13" i="99" l="1"/>
  <c r="P13" i="99"/>
  <c r="F52" i="50"/>
  <c r="I52" i="50" l="1"/>
  <c r="BC28" i="1" l="1"/>
  <c r="BE28" i="1" l="1"/>
  <c r="BB28" i="113" s="1"/>
  <c r="AZ28" i="113"/>
  <c r="G28" i="50"/>
  <c r="F23" i="50"/>
  <c r="F28" i="50" s="1"/>
  <c r="I23" i="50"/>
  <c r="I28" i="50" s="1"/>
  <c r="E77" i="113" l="1"/>
  <c r="E62" i="113"/>
  <c r="E75" i="113"/>
  <c r="E69" i="113"/>
  <c r="E68" i="50"/>
  <c r="E63" i="113"/>
  <c r="E64" i="113"/>
  <c r="AC71" i="1"/>
  <c r="BC71" i="1" s="1"/>
  <c r="AZ70" i="113" s="1"/>
  <c r="E67" i="50"/>
  <c r="G70" i="50" l="1"/>
  <c r="BE71" i="1"/>
  <c r="BB70" i="113" s="1"/>
  <c r="E16" i="1"/>
  <c r="E16" i="113" s="1"/>
  <c r="E63" i="50"/>
  <c r="E69" i="50"/>
  <c r="AC64" i="1"/>
  <c r="E70" i="113"/>
  <c r="AC63" i="1"/>
  <c r="BC63" i="1" s="1"/>
  <c r="AZ62" i="113" s="1"/>
  <c r="AC70" i="1"/>
  <c r="BC70" i="1" s="1"/>
  <c r="AZ69" i="113" s="1"/>
  <c r="AC76" i="1"/>
  <c r="BC76" i="1" s="1"/>
  <c r="AZ75" i="113" s="1"/>
  <c r="E68" i="113"/>
  <c r="E67" i="113"/>
  <c r="AC68" i="1"/>
  <c r="BC68" i="1" s="1"/>
  <c r="AZ67" i="113" s="1"/>
  <c r="E64" i="50"/>
  <c r="AC65" i="1"/>
  <c r="BC65" i="1" s="1"/>
  <c r="AZ64" i="113" s="1"/>
  <c r="AC62" i="1"/>
  <c r="E61" i="113"/>
  <c r="E61" i="50"/>
  <c r="E78" i="50"/>
  <c r="AC79" i="1"/>
  <c r="BC79" i="1" s="1"/>
  <c r="AZ78" i="113" s="1"/>
  <c r="E78" i="113"/>
  <c r="AC61" i="1"/>
  <c r="BC61" i="1" s="1"/>
  <c r="AZ60" i="113" s="1"/>
  <c r="E60" i="50"/>
  <c r="E60" i="113"/>
  <c r="E71" i="113"/>
  <c r="E71" i="50"/>
  <c r="AC72" i="1"/>
  <c r="BC72" i="1" s="1"/>
  <c r="AZ71" i="113" s="1"/>
  <c r="AC69" i="1"/>
  <c r="BC69" i="1" s="1"/>
  <c r="AZ68" i="113" s="1"/>
  <c r="E70" i="50"/>
  <c r="E77" i="50"/>
  <c r="E75" i="50"/>
  <c r="E62" i="50"/>
  <c r="E73" i="1"/>
  <c r="E72" i="113" s="1"/>
  <c r="AC78" i="1"/>
  <c r="BC78" i="1" s="1"/>
  <c r="AZ77" i="113" s="1"/>
  <c r="G78" i="50" l="1"/>
  <c r="BE79" i="1"/>
  <c r="BB78" i="113" s="1"/>
  <c r="G62" i="50"/>
  <c r="BE63" i="1"/>
  <c r="BB62" i="113" s="1"/>
  <c r="G68" i="50"/>
  <c r="BE69" i="1"/>
  <c r="BB68" i="113" s="1"/>
  <c r="G71" i="50"/>
  <c r="BE72" i="1"/>
  <c r="BB71" i="113" s="1"/>
  <c r="G64" i="50"/>
  <c r="BE65" i="1"/>
  <c r="BB64" i="113" s="1"/>
  <c r="G60" i="50"/>
  <c r="BE61" i="1"/>
  <c r="BB60" i="113" s="1"/>
  <c r="G75" i="50"/>
  <c r="I75" i="50" s="1"/>
  <c r="BE76" i="1"/>
  <c r="BB75" i="113" s="1"/>
  <c r="G77" i="50"/>
  <c r="I77" i="50" s="1"/>
  <c r="BE78" i="1"/>
  <c r="BB77" i="113" s="1"/>
  <c r="G67" i="50"/>
  <c r="BE68" i="1"/>
  <c r="BB67" i="113" s="1"/>
  <c r="G69" i="50"/>
  <c r="BE70" i="1"/>
  <c r="BB69" i="113" s="1"/>
  <c r="BC64" i="1"/>
  <c r="AZ63" i="113" s="1"/>
  <c r="BC62" i="1"/>
  <c r="AZ61" i="113" s="1"/>
  <c r="AC16" i="1"/>
  <c r="AC17" i="1" s="1"/>
  <c r="E16" i="50"/>
  <c r="E17" i="50" s="1"/>
  <c r="E19" i="50" s="1"/>
  <c r="E17" i="1"/>
  <c r="E19" i="1" s="1"/>
  <c r="E72" i="50"/>
  <c r="AC73" i="1"/>
  <c r="BC73" i="1" s="1"/>
  <c r="E65" i="113"/>
  <c r="E74" i="1"/>
  <c r="AC66" i="1"/>
  <c r="E65" i="50"/>
  <c r="BE73" i="1" l="1"/>
  <c r="BB72" i="113" s="1"/>
  <c r="AZ72" i="113"/>
  <c r="G61" i="50"/>
  <c r="I61" i="50" s="1"/>
  <c r="BE62" i="1"/>
  <c r="BB61" i="113" s="1"/>
  <c r="G63" i="50"/>
  <c r="BE64" i="1"/>
  <c r="BB63" i="113" s="1"/>
  <c r="F70" i="50"/>
  <c r="I70" i="50"/>
  <c r="BC16" i="1"/>
  <c r="AZ16" i="113" s="1"/>
  <c r="I71" i="50"/>
  <c r="F64" i="50"/>
  <c r="I68" i="50"/>
  <c r="E17" i="113"/>
  <c r="E73" i="50"/>
  <c r="E76" i="50" s="1"/>
  <c r="E80" i="50" s="1"/>
  <c r="E73" i="113"/>
  <c r="E77" i="1"/>
  <c r="AC74" i="1"/>
  <c r="AC77" i="1" s="1"/>
  <c r="AC81" i="1" s="1"/>
  <c r="BC66" i="1"/>
  <c r="AC19" i="1"/>
  <c r="E19" i="113"/>
  <c r="BE66" i="1" l="1"/>
  <c r="AZ65" i="113"/>
  <c r="G16" i="50"/>
  <c r="BE16" i="1"/>
  <c r="BB16" i="113" s="1"/>
  <c r="F69" i="50"/>
  <c r="F62" i="50"/>
  <c r="F63" i="50"/>
  <c r="I63" i="50"/>
  <c r="F61" i="50"/>
  <c r="F68" i="50"/>
  <c r="I64" i="50"/>
  <c r="F71" i="50"/>
  <c r="I69" i="50"/>
  <c r="I62" i="50"/>
  <c r="I60" i="50"/>
  <c r="BC74" i="1"/>
  <c r="AZ73" i="113" s="1"/>
  <c r="E76" i="113"/>
  <c r="E81" i="1"/>
  <c r="BE74" i="1" l="1"/>
  <c r="BB65" i="113"/>
  <c r="F75" i="50"/>
  <c r="F78" i="50"/>
  <c r="I78" i="50"/>
  <c r="G72" i="50"/>
  <c r="I67" i="50"/>
  <c r="I72" i="50" s="1"/>
  <c r="F67" i="50"/>
  <c r="F72" i="50" s="1"/>
  <c r="G65" i="50"/>
  <c r="I65" i="50"/>
  <c r="F60" i="50"/>
  <c r="F65" i="50" s="1"/>
  <c r="BC77" i="1"/>
  <c r="E80" i="113"/>
  <c r="E10" i="3"/>
  <c r="H10" i="99"/>
  <c r="H15" i="99" s="1"/>
  <c r="BC81" i="1" l="1"/>
  <c r="AZ76" i="113"/>
  <c r="BE77" i="1"/>
  <c r="BB73" i="113"/>
  <c r="I73" i="50"/>
  <c r="G73" i="50"/>
  <c r="G76" i="50" s="1"/>
  <c r="I76" i="50" s="1"/>
  <c r="G17" i="50"/>
  <c r="G19" i="50" s="1"/>
  <c r="K10" i="99"/>
  <c r="F73" i="50"/>
  <c r="F76" i="50" s="1"/>
  <c r="E11" i="48"/>
  <c r="E35" i="3"/>
  <c r="BB76" i="113" l="1"/>
  <c r="BE81" i="1"/>
  <c r="BB80" i="113" s="1"/>
  <c r="E12" i="51"/>
  <c r="AZ80" i="113"/>
  <c r="I11" i="48"/>
  <c r="I63" i="48" s="1"/>
  <c r="E59" i="48"/>
  <c r="E63" i="48" s="1"/>
  <c r="G63" i="48" s="1"/>
  <c r="E62" i="3"/>
  <c r="N10" i="99"/>
  <c r="N15" i="99" s="1"/>
  <c r="N37" i="99" s="1"/>
  <c r="N63" i="99" s="1"/>
  <c r="K15" i="99"/>
  <c r="K37" i="99" s="1"/>
  <c r="K63" i="99" s="1"/>
  <c r="I16" i="50"/>
  <c r="F16" i="50"/>
  <c r="F17" i="50" s="1"/>
  <c r="F19" i="50" s="1"/>
  <c r="H37" i="99"/>
  <c r="H63" i="99" s="1"/>
  <c r="G11" i="48"/>
  <c r="G59" i="48" s="1"/>
  <c r="E66" i="3" l="1"/>
  <c r="K59" i="48"/>
  <c r="E67" i="48"/>
  <c r="E70" i="48" l="1"/>
  <c r="E16" i="51"/>
  <c r="G67" i="48"/>
  <c r="I70" i="48" l="1"/>
  <c r="W52" i="1"/>
  <c r="F77" i="50"/>
  <c r="F80" i="50" s="1"/>
  <c r="I80" i="50"/>
  <c r="G80" i="50"/>
  <c r="G70" i="48"/>
  <c r="K70" i="48" l="1"/>
  <c r="W51" i="113"/>
  <c r="AC52" i="1"/>
  <c r="BC52" i="1" s="1"/>
  <c r="W57" i="1"/>
  <c r="W56" i="113" s="1"/>
  <c r="AZ51" i="113" l="1"/>
  <c r="G30" i="99"/>
  <c r="J30" i="99" s="1"/>
  <c r="M30" i="99" s="1"/>
  <c r="Q30" i="99" s="1"/>
  <c r="D28" i="3"/>
  <c r="W88" i="1"/>
  <c r="W89" i="1" l="1"/>
  <c r="W83" i="1" s="1"/>
  <c r="O30" i="99"/>
  <c r="P30" i="99" l="1"/>
  <c r="AP17" i="113" l="1"/>
  <c r="BC17" i="1"/>
  <c r="BE17" i="1" l="1"/>
  <c r="BB17" i="113" s="1"/>
  <c r="AZ17" i="113"/>
  <c r="BC19" i="1"/>
  <c r="AP19" i="113"/>
  <c r="BE19" i="1" l="1"/>
  <c r="BB19" i="113" s="1"/>
  <c r="AZ19" i="113"/>
  <c r="AP48" i="113"/>
  <c r="AP51" i="113" l="1"/>
  <c r="G51" i="50"/>
  <c r="F51" i="50" l="1"/>
  <c r="E31" i="1"/>
  <c r="E32" i="1" l="1"/>
  <c r="AC32" i="1" s="1"/>
  <c r="AC31" i="1"/>
  <c r="E31" i="113"/>
  <c r="E31" i="50"/>
  <c r="BC32" i="1" l="1"/>
  <c r="AZ32" i="113" s="1"/>
  <c r="AC35" i="1"/>
  <c r="E35" i="1"/>
  <c r="E47" i="1" s="1"/>
  <c r="E32" i="113"/>
  <c r="E32" i="50"/>
  <c r="E34" i="50" s="1"/>
  <c r="E46" i="50" s="1"/>
  <c r="E48" i="50" s="1"/>
  <c r="E56" i="50" s="1"/>
  <c r="E81" i="50" s="1"/>
  <c r="BC31" i="1"/>
  <c r="AZ31" i="113" s="1"/>
  <c r="G31" i="50" l="1"/>
  <c r="BE31" i="1"/>
  <c r="BB31" i="113" s="1"/>
  <c r="G32" i="50"/>
  <c r="F32" i="50" s="1"/>
  <c r="BE32" i="1"/>
  <c r="BB32" i="113" s="1"/>
  <c r="E34" i="113"/>
  <c r="F26" i="51"/>
  <c r="F28" i="51" s="1"/>
  <c r="E46" i="113"/>
  <c r="E49" i="1"/>
  <c r="BC35" i="1"/>
  <c r="AC47" i="1"/>
  <c r="BC47" i="1" s="1"/>
  <c r="AZ46" i="113" l="1"/>
  <c r="BE35" i="1"/>
  <c r="BB34" i="113" s="1"/>
  <c r="AZ34" i="113"/>
  <c r="I32" i="50"/>
  <c r="AC49" i="1"/>
  <c r="E48" i="113"/>
  <c r="E57" i="1"/>
  <c r="E82" i="1" s="1"/>
  <c r="D10" i="3" l="1"/>
  <c r="E56" i="113"/>
  <c r="E88" i="1"/>
  <c r="E89" i="1" s="1"/>
  <c r="E83" i="1" s="1"/>
  <c r="G10" i="99"/>
  <c r="G15" i="99" s="1"/>
  <c r="AC57" i="1"/>
  <c r="BC49" i="1"/>
  <c r="AZ48" i="113" l="1"/>
  <c r="I31" i="50"/>
  <c r="G34" i="50"/>
  <c r="G46" i="50" s="1"/>
  <c r="G48" i="50" s="1"/>
  <c r="F31" i="50"/>
  <c r="F34" i="50" s="1"/>
  <c r="F46" i="50" s="1"/>
  <c r="F48" i="50" s="1"/>
  <c r="D35" i="3"/>
  <c r="F10" i="3"/>
  <c r="AC88" i="1"/>
  <c r="O10" i="99"/>
  <c r="J10" i="99"/>
  <c r="J15" i="99" s="1"/>
  <c r="AC89" i="1" l="1"/>
  <c r="AC83" i="1" s="1"/>
  <c r="F35" i="3"/>
  <c r="G37" i="99"/>
  <c r="O15" i="99"/>
  <c r="J37" i="99"/>
  <c r="M10" i="99"/>
  <c r="Q10" i="99" l="1"/>
  <c r="M15" i="99"/>
  <c r="M37" i="99" s="1"/>
  <c r="O37" i="99"/>
  <c r="P10" i="99"/>
  <c r="BC55" i="1" l="1"/>
  <c r="AZ54" i="113" s="1"/>
  <c r="AQ57" i="1"/>
  <c r="AQ88" i="1" s="1"/>
  <c r="AQ89" i="1" s="1"/>
  <c r="AQ83" i="1" s="1"/>
  <c r="AP54" i="113"/>
  <c r="G54" i="50" l="1"/>
  <c r="F54" i="50" s="1"/>
  <c r="F56" i="50" s="1"/>
  <c r="BE55" i="1"/>
  <c r="BB54" i="113" s="1"/>
  <c r="BC57" i="1"/>
  <c r="D50" i="3"/>
  <c r="D62" i="3" s="1"/>
  <c r="AP56" i="113"/>
  <c r="I54" i="50" l="1"/>
  <c r="G56" i="50"/>
  <c r="G81" i="50" s="1"/>
  <c r="AZ56" i="113"/>
  <c r="F62" i="3"/>
  <c r="O52" i="99"/>
  <c r="J52" i="99"/>
  <c r="G63" i="99"/>
  <c r="E18" i="51"/>
  <c r="E20" i="51" s="1"/>
  <c r="E24" i="51" s="1"/>
  <c r="E32" i="51" s="1"/>
  <c r="BC88" i="1"/>
  <c r="BC89" i="1" s="1"/>
  <c r="BC83" i="1" s="1"/>
  <c r="J9" i="52" l="1"/>
  <c r="N127" i="99"/>
  <c r="E28" i="51"/>
  <c r="M52" i="99"/>
  <c r="J63" i="99"/>
  <c r="BI47" i="1" l="1"/>
  <c r="BD44" i="1" s="1"/>
  <c r="M63" i="99"/>
  <c r="N64" i="99" s="1"/>
  <c r="N66" i="99" s="1"/>
  <c r="N68" i="99" s="1"/>
  <c r="P52" i="99"/>
  <c r="P63" i="99" s="1"/>
  <c r="Q52" i="99"/>
  <c r="J14" i="52"/>
  <c r="H41" i="50" s="1"/>
  <c r="H14" i="50"/>
  <c r="J12" i="52"/>
  <c r="J16" i="52"/>
  <c r="H33" i="50" s="1"/>
  <c r="BA43" i="113" l="1"/>
  <c r="BD46" i="1"/>
  <c r="BE44" i="1"/>
  <c r="BB43" i="113" s="1"/>
  <c r="H45" i="50"/>
  <c r="I41" i="50"/>
  <c r="I45" i="50" s="1"/>
  <c r="I33" i="50"/>
  <c r="I34" i="50" s="1"/>
  <c r="H34" i="50"/>
  <c r="H36" i="50"/>
  <c r="I36" i="50" s="1"/>
  <c r="J18" i="52"/>
  <c r="J20" i="52" s="1"/>
  <c r="I14" i="50"/>
  <c r="I17" i="50" s="1"/>
  <c r="I19" i="50" s="1"/>
  <c r="H17" i="50"/>
  <c r="H19" i="50" s="1"/>
  <c r="Q127" i="99"/>
  <c r="R68" i="99"/>
  <c r="BA45" i="113" l="1"/>
  <c r="BD47" i="1"/>
  <c r="BE46" i="1"/>
  <c r="BB45" i="113" s="1"/>
  <c r="H46" i="50"/>
  <c r="H48" i="50" s="1"/>
  <c r="I46" i="50"/>
  <c r="I48" i="50" s="1"/>
  <c r="J22" i="52"/>
  <c r="H51" i="50" s="1"/>
  <c r="I51" i="50" s="1"/>
  <c r="BD49" i="1" l="1"/>
  <c r="BA46" i="113"/>
  <c r="BE47" i="1"/>
  <c r="BB46" i="113" s="1"/>
  <c r="H56" i="50"/>
  <c r="J24" i="52"/>
  <c r="J26" i="52" s="1"/>
  <c r="J28" i="52" s="1"/>
  <c r="BA48" i="113" l="1"/>
  <c r="BD52" i="1"/>
  <c r="BD57" i="1"/>
  <c r="BE49" i="1"/>
  <c r="BB48" i="113" s="1"/>
  <c r="D65" i="3" l="1"/>
  <c r="D66" i="3" s="1"/>
  <c r="F66" i="3" s="1"/>
  <c r="BA56" i="113"/>
  <c r="BD88" i="1"/>
  <c r="BD89" i="1" s="1"/>
  <c r="BD83" i="1" s="1"/>
  <c r="G24" i="51" s="1"/>
  <c r="BE57" i="1"/>
  <c r="BA51" i="113"/>
  <c r="BE52" i="1"/>
  <c r="BB51" i="113" s="1"/>
  <c r="BE88" i="1" l="1"/>
  <c r="BE89" i="1" s="1"/>
  <c r="BE83" i="1" s="1"/>
  <c r="BB56" i="113"/>
  <c r="G32" i="51"/>
  <c r="G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<sst xmlns="http://schemas.openxmlformats.org/spreadsheetml/2006/main" count="1285" uniqueCount="808">
  <si>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</si>
  <si>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</si>
  <si>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</si>
  <si>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</si>
  <si>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</si>
  <si>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</si>
  <si>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</si>
  <si>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</si>
  <si>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</si>
  <si>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</si>
  <si>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</si>
  <si>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</si>
  <si>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</si>
  <si>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</si>
  <si>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</si>
  <si>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</si>
  <si>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</si>
  <si>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</si>
  <si>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</si>
  <si>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</si>
  <si>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</si>
  <si>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</si>
  <si>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</si>
  <si>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</si>
  <si>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</si>
  <si>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</si>
  <si>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</si>
  <si>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</si>
  <si>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</si>
  <si>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</si>
  <si>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</si>
  <si>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</si>
  <si>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</si>
  <si>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</si>
  <si>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</si>
  <si>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</si>
  <si>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</si>
  <si>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</si>
  <si>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</si>
  <si>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</si>
  <si>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</si>
  <si>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</si>
  <si>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</si>
  <si>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</si>
  <si>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</si>
  <si>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</si>
  <si>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</si>
  <si>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</si>
  <si>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</si>
  <si>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</si>
  <si>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</si>
  <si>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</si>
  <si>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</si>
  <si>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</si>
  <si>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</si>
  <si>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</si>
  <si>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</si>
  <si>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</si>
  <si>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</si>
  <si>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</si>
  <si>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</si>
  <si>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</si>
  <si>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</si>
  <si>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</si>
  <si>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</si>
  <si>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</si>
  <si>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</si>
  <si>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</si>
  <si>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</si>
  <si>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</si>
  <si>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</si>
  <si>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</si>
  <si>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</si>
  <si>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</si>
  <si>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</si>
  <si>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</si>
  <si>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</si>
  <si>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</si>
  <si>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</si>
  <si>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</si>
  <si>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</si>
  <si>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</si>
  <si>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</si>
  <si>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</si>
  <si>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</si>
  <si>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</si>
  <si>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</si>
  <si>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</si>
  <si>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</si>
  <si>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</si>
  <si>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</si>
  <si>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</si>
  <si>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</si>
  <si>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</si>
  <si>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</si>
  <si>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</si>
  <si>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</si>
  <si>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</si>
  <si>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</si>
  <si>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</si>
  <si>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</si>
  <si>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</si>
  <si>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</si>
  <si>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</si>
  <si>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</si>
  <si>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</si>
  <si>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</si>
  <si>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</si>
  <si>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</si>
  <si>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</si>
  <si>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</si>
  <si>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</si>
  <si>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</si>
  <si>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</si>
  <si>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</si>
  <si>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</si>
  <si>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</si>
  <si>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</si>
  <si>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</si>
  <si>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</si>
  <si>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</si>
  <si>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</si>
  <si>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</si>
  <si>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</si>
  <si>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</si>
  <si>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</si>
  <si>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</si>
  <si>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</si>
  <si>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</si>
  <si>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</si>
  <si>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</si>
  <si>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</si>
  <si>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</si>
  <si>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</si>
  <si>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</si>
  <si>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</si>
  <si>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</si>
  <si>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</si>
  <si>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</si>
  <si>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</si>
  <si>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</si>
  <si>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</si>
  <si>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</si>
  <si>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</si>
  <si>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</si>
  <si>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</si>
  <si>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</si>
  <si>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</si>
  <si>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</si>
  <si>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</si>
  <si>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</si>
  <si>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</si>
  <si>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</si>
  <si>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</si>
  <si>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</si>
  <si>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</si>
  <si>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</si>
  <si>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</si>
  <si>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</si>
  <si>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</si>
  <si>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</si>
  <si>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</si>
  <si>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</si>
  <si>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</si>
  <si>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</si>
  <si>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</si>
  <si>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</si>
  <si>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</si>
  <si>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</si>
  <si>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</si>
  <si>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</si>
  <si>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</si>
  <si>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</si>
  <si>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</si>
  <si>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</si>
  <si>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</si>
  <si>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</si>
  <si>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</si>
  <si>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</si>
  <si>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</si>
  <si>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</si>
  <si>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</si>
  <si>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</si>
  <si>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</si>
  <si>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</si>
  <si>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</si>
  <si>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</si>
  <si>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</si>
  <si>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</si>
  <si>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</si>
  <si>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</si>
  <si>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</si>
  <si>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</si>
  <si>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</si>
  <si>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</si>
  <si>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</si>
  <si>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</si>
  <si>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</si>
  <si>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</si>
  <si>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</si>
  <si>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</si>
  <si>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</si>
  <si>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</si>
  <si>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</si>
  <si>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</si>
  <si>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</si>
  <si>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</si>
  <si>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</si>
  <si>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</si>
  <si>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</si>
  <si>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</si>
  <si>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</si>
  <si>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</si>
  <si>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</si>
  <si>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</si>
  <si>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</si>
  <si>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</si>
  <si>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</si>
  <si>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</si>
  <si>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</si>
  <si>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</si>
  <si>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</si>
  <si>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</si>
  <si>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</si>
  <si>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</si>
  <si>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</si>
  <si>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</si>
  <si>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</si>
  <si>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</si>
  <si>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</si>
  <si>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</si>
  <si>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</si>
  <si>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</si>
  <si>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</si>
  <si>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</si>
  <si>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</si>
  <si>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</si>
  <si>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</si>
  <si>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</si>
  <si>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</si>
  <si>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</si>
  <si>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</si>
  <si>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</si>
  <si>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</si>
  <si>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</si>
  <si>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</si>
  <si>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</si>
  <si>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</si>
  <si>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</si>
  <si>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</si>
  <si>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</si>
  <si>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</si>
  <si>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</si>
  <si>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</si>
  <si>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</si>
  <si>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</si>
  <si>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</si>
  <si>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</si>
  <si>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</si>
  <si>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</si>
  <si>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</si>
  <si>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</si>
  <si>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</si>
  <si>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</si>
  <si>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</si>
  <si>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</si>
  <si>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</si>
  <si>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</si>
  <si>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</si>
  <si>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</si>
  <si>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</si>
  <si>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</si>
  <si>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</si>
  <si>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</si>
  <si>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</si>
  <si>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</si>
  <si>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</si>
  <si>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</si>
  <si>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</si>
  <si>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</si>
  <si>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</si>
  <si>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</si>
  <si>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</si>
  <si>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</si>
  <si>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</si>
  <si>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</si>
  <si>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</si>
  <si>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</si>
  <si>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</si>
  <si>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</si>
  <si>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</si>
  <si>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</si>
  <si>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</si>
  <si>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</si>
  <si>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</si>
  <si>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</si>
  <si>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</si>
  <si>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</si>
  <si>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</si>
  <si>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</si>
  <si>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</si>
  <si>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</si>
  <si>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</si>
  <si>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</si>
  <si>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</si>
  <si>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</si>
  <si>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</si>
  <si>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</si>
  <si>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</si>
  <si>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</si>
  <si>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</si>
  <si>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</si>
  <si>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</si>
  <si>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</si>
  <si>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</si>
  <si>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</si>
  <si>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</si>
  <si>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</si>
  <si>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</si>
  <si>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</si>
  <si>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</si>
  <si>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</si>
  <si>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</si>
  <si>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</si>
  <si>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</si>
  <si>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</si>
  <si>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</si>
  <si>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</si>
  <si>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</si>
  <si>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</si>
  <si>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</si>
  <si>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</si>
  <si>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</si>
  <si>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</si>
  <si>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</si>
  <si>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</si>
  <si>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</si>
  <si>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</si>
  <si>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</si>
  <si>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</si>
  <si>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</si>
  <si>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</si>
  <si>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</si>
  <si>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</si>
  <si>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</si>
  <si>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</si>
  <si>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</si>
  <si>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</si>
  <si>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</si>
  <si>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</si>
  <si>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</si>
  <si>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</si>
  <si>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</si>
  <si>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</si>
  <si>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</si>
  <si>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</si>
  <si>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</si>
  <si>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</si>
  <si>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</si>
  <si>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</si>
  <si>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</si>
  <si>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</si>
  <si>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</si>
  <si>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</si>
  <si>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</si>
  <si>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</si>
  <si>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</si>
  <si>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</si>
  <si>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</si>
  <si>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</si>
  <si>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</si>
  <si>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</si>
  <si>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</si>
  <si>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</si>
  <si>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</si>
  <si>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</si>
  <si>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</si>
  <si>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</si>
  <si>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</si>
  <si>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</si>
  <si>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</si>
  <si>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</si>
  <si>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</si>
  <si>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</si>
  <si>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</si>
  <si>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</si>
  <si>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</si>
  <si>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</si>
  <si>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</si>
  <si>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</si>
  <si>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</si>
  <si>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</si>
  <si>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</si>
  <si>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</si>
  <si>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</si>
  <si>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</si>
  <si>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</si>
  <si>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</si>
  <si>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</si>
  <si>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</si>
  <si>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</si>
  <si>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</si>
  <si>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</si>
  <si>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</si>
  <si>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</si>
  <si>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</si>
  <si>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</si>
  <si>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</si>
  <si>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</si>
  <si>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</si>
  <si>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</si>
  <si>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</si>
  <si>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</si>
  <si>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</si>
  <si>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</si>
  <si>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</si>
  <si>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</si>
  <si>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</si>
  <si>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</si>
  <si>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</si>
  <si>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</si>
  <si>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</si>
  <si>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</si>
  <si>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</si>
  <si>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</si>
  <si>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</si>
  <si>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</si>
  <si>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</si>
  <si>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</si>
  <si>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</si>
  <si>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</si>
  <si>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</si>
  <si>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</si>
  <si>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</si>
  <si>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</si>
  <si>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</si>
  <si>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</si>
  <si>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</si>
  <si>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</si>
  <si>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</si>
  <si>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</si>
  <si>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</si>
  <si>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</si>
  <si>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</si>
  <si>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</si>
  <si>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</si>
  <si>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</si>
  <si>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</si>
  <si>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</si>
  <si>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</si>
  <si>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</si>
  <si>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</si>
  <si>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</si>
  <si>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</si>
  <si>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</si>
  <si>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</si>
  <si>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</si>
  <si>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</si>
  <si>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</si>
  <si>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</si>
  <si>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</si>
  <si>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</si>
  <si>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</si>
  <si>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</si>
  <si>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</si>
  <si>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</si>
  <si>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</si>
  <si>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</si>
  <si>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</si>
  <si>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</si>
  <si>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</si>
  <si>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</si>
  <si>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</si>
  <si>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</si>
  <si>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</si>
  <si>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</si>
  <si>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</si>
  <si>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</si>
  <si>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</si>
  <si>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</si>
  <si>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</si>
  <si>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</si>
  <si>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</si>
  <si>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</si>
  <si>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</si>
  <si>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</si>
  <si>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</si>
  <si>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</si>
  <si>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</si>
  <si>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</si>
  <si>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</si>
  <si>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</si>
  <si>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</si>
  <si>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</si>
  <si>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</si>
  <si>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</si>
  <si>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</si>
  <si>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</si>
  <si>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</si>
  <si>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</si>
  <si>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</si>
  <si>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</si>
  <si>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</si>
  <si>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</si>
  <si>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</si>
  <si>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</si>
  <si>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</si>
  <si>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</si>
  <si>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</si>
  <si>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</si>
  <si>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</si>
  <si>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</si>
  <si>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</si>
  <si>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</si>
  <si>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</si>
  <si>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</si>
  <si>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</si>
  <si>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</si>
  <si>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</si>
  <si>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</si>
  <si>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</si>
  <si>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</si>
  <si>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</si>
  <si>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</si>
  <si>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</si>
  <si>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</si>
  <si>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</si>
  <si>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</si>
  <si>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</si>
  <si>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</si>
  <si>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</si>
  <si>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</si>
  <si>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</si>
  <si>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</si>
  <si>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</si>
  <si>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</si>
  <si>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</si>
  <si>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</si>
  <si>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</si>
  <si>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</si>
  <si>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</si>
  <si>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</si>
  <si>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</si>
  <si>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</si>
  <si>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</si>
  <si>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</si>
  <si>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</si>
  <si>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</si>
  <si>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</si>
  <si>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</si>
  <si>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</si>
  <si>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</si>
  <si>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</si>
  <si>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</si>
  <si>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</si>
  <si>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</si>
  <si>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</si>
  <si>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</si>
  <si>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</si>
  <si>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</si>
  <si>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</si>
  <si>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</si>
  <si>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</si>
  <si>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</si>
  <si>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</si>
  <si>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</si>
  <si>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</si>
  <si>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</si>
  <si>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</si>
  <si>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</si>
  <si>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</si>
  <si>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</si>
  <si>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</si>
  <si>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</si>
  <si>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</si>
  <si>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</si>
  <si>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</si>
  <si>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</si>
  <si>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</si>
  <si>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</si>
  <si>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</si>
  <si>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</si>
  <si>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</si>
  <si>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</si>
  <si>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</si>
  <si>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</si>
  <si>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</si>
  <si>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</si>
  <si>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</si>
  <si>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</si>
  <si>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</si>
  <si>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</si>
  <si>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</si>
  <si>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</si>
  <si>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</si>
  <si>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</si>
  <si>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</si>
  <si>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</si>
  <si>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</si>
  <si>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</si>
  <si>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</si>
  <si>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</si>
  <si>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</si>
  <si>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</si>
  <si>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</si>
  <si>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</si>
  <si>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</si>
  <si>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</si>
  <si>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</si>
  <si>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</si>
  <si>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</si>
  <si>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</si>
  <si>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</si>
  <si>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</si>
  <si>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</si>
  <si>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</si>
  <si>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</si>
  <si>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</si>
  <si>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</si>
  <si>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</si>
  <si>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</si>
  <si>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</si>
  <si>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</si>
  <si>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</si>
  <si>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</si>
  <si>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</si>
  <si>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</si>
  <si>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</si>
  <si>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</si>
  <si>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</si>
  <si>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</si>
  <si>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</si>
  <si>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</si>
  <si>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</si>
  <si>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</si>
  <si>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</si>
  <si>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</si>
  <si>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</si>
  <si>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</si>
  <si>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</si>
  <si>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</si>
  <si>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</si>
  <si>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</si>
  <si>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</si>
  <si>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</si>
  <si>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</si>
  <si>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</si>
  <si>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</si>
  <si>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</si>
  <si>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</si>
  <si>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</si>
  <si>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</si>
  <si>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</si>
  <si>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</si>
  <si>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</si>
  <si>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</si>
  <si>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</si>
  <si>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</si>
  <si>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</si>
  <si>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</si>
  <si>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</si>
  <si>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</si>
  <si>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</si>
  <si>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</si>
  <si>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</si>
  <si>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</si>
  <si>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</si>
  <si>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</si>
  <si>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</si>
  <si>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</si>
  <si>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</si>
  <si>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</si>
  <si>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</si>
  <si>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</si>
  <si>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</si>
  <si>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</si>
  <si>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</si>
  <si>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</si>
  <si>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</si>
  <si>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</si>
  <si>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</si>
  <si>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</si>
  <si>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</si>
  <si>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</si>
  <si>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</si>
  <si>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</si>
  <si>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</si>
  <si>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</si>
  <si>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</si>
  <si>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</si>
  <si>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</si>
  <si>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</si>
  <si>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</si>
  <si>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</si>
  <si>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</si>
  <si>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</si>
  <si>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</si>
  <si>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</si>
  <si>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</si>
  <si>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</si>
  <si>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</si>
  <si>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</si>
  <si>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</si>
  <si>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</si>
  <si>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</si>
  <si>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</si>
  <si>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</si>
  <si>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</si>
  <si>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</si>
  <si>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</si>
  <si>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</si>
  <si>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</si>
  <si>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</si>
  <si>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</si>
  <si>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</si>
  <si>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</si>
  <si>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</si>
  <si>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</si>
  <si>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</si>
  <si>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</si>
  <si>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</si>
  <si>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</si>
  <si>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</si>
  <si>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</si>
  <si>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</si>
  <si>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</si>
  <si>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</si>
  <si>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</si>
  <si>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</si>
  <si>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</si>
  <si>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</si>
  <si>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</si>
  <si>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</si>
  <si>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</si>
  <si>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</si>
  <si>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</si>
  <si>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</si>
  <si>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</si>
  <si>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</si>
  <si>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</si>
  <si>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</si>
  <si>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</si>
  <si>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</si>
  <si>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</si>
  <si>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</si>
  <si>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</si>
  <si>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</si>
  <si>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</si>
  <si>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</si>
  <si>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</si>
  <si>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</si>
  <si>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</si>
  <si>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</si>
  <si>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</si>
  <si>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</si>
  <si>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</si>
  <si>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</si>
  <si>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</si>
  <si>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</si>
  <si>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</si>
  <si>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</si>
  <si>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</si>
  <si>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</si>
  <si>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</si>
  <si>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</si>
  <si>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</si>
  <si>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</si>
  <si>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</si>
  <si>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</si>
  <si>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</si>
  <si>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</si>
  <si>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</si>
  <si>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</si>
  <si>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</si>
  <si>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</si>
  <si>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</si>
  <si>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</si>
  <si>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</si>
  <si>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Net Total</t>
  </si>
  <si>
    <t>After Tariff</t>
  </si>
  <si>
    <t>Net Billed</t>
  </si>
  <si>
    <t>Base</t>
  </si>
  <si>
    <t>Billed</t>
  </si>
  <si>
    <t>TARIFF</t>
  </si>
  <si>
    <t>Revised to Reflect</t>
  </si>
  <si>
    <t>Filed 2019</t>
  </si>
  <si>
    <t>4.00T</t>
  </si>
  <si>
    <t>INFORMATIONAL</t>
  </si>
  <si>
    <t>INFORMATIONAL ONLY</t>
  </si>
  <si>
    <t>Plan</t>
  </si>
  <si>
    <t>Expenditures</t>
  </si>
  <si>
    <t>#76</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</si>
  <si>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</si>
  <si>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</si>
  <si>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</si>
  <si>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</si>
  <si>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</si>
  <si>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</si>
  <si>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</si>
  <si>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</si>
  <si>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</si>
  <si>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</si>
  <si>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</si>
  <si>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</si>
  <si>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Tax Customer</t>
  </si>
  <si>
    <t>Credit</t>
  </si>
  <si>
    <t>Tariff #76</t>
  </si>
  <si>
    <t>Per Joe Miller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</si>
</sst>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s>
  <fonts count="73">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76">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65" fontId="35" fillId="6" borderId="0" xfId="14" applyNumberFormat="1" applyFont="1" applyFill="1" applyBorder="1"/>
    <xf numFmtId="10" fontId="35" fillId="6" borderId="0" xfId="14" applyNumberFormat="1" applyFont="1" applyFill="1" applyBorder="1"/>
    <xf numFmtId="10" fontId="35" fillId="6" borderId="23" xfId="14" applyNumberFormat="1" applyFont="1" applyFill="1" applyBorder="1"/>
    <xf numFmtId="168" fontId="35" fillId="6" borderId="0" xfId="14" applyNumberFormat="1" applyFont="1" applyFill="1" applyBorder="1"/>
    <xf numFmtId="168" fontId="54" fillId="6" borderId="0" xfId="14" applyNumberFormat="1" applyFont="1" applyFill="1" applyBorder="1"/>
    <xf numFmtId="10" fontId="35" fillId="6" borderId="16"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1" fillId="0" borderId="1" xfId="13" applyNumberFormat="1" applyFont="1" applyFill="1" applyBorder="1" applyAlignment="1">
      <alignment horizontal="center"/>
    </xf>
    <xf numFmtId="3" fontId="61" fillId="0" borderId="5" xfId="13" applyNumberFormat="1" applyFont="1" applyFill="1" applyBorder="1" applyAlignment="1">
      <alignment horizontal="center"/>
    </xf>
    <xf numFmtId="3" fontId="61" fillId="0" borderId="8" xfId="13" applyNumberFormat="1" applyFont="1" applyFill="1" applyBorder="1" applyAlignment="1">
      <alignment horizontal="center"/>
    </xf>
    <xf numFmtId="4" fontId="61"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2"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4" fillId="0" borderId="0" xfId="12" applyNumberFormat="1" applyFont="1" applyFill="1"/>
    <xf numFmtId="41" fontId="65" fillId="0" borderId="0" xfId="12" applyNumberFormat="1" applyFont="1" applyFill="1" applyAlignment="1"/>
    <xf numFmtId="41" fontId="66" fillId="0" borderId="0" xfId="12" applyNumberFormat="1" applyFont="1" applyFill="1" applyBorder="1" applyAlignment="1">
      <alignment horizontal="center" wrapText="1"/>
    </xf>
    <xf numFmtId="2" fontId="66" fillId="0" borderId="0" xfId="4" applyNumberFormat="1" applyFont="1" applyFill="1" applyAlignment="1" applyProtection="1">
      <alignment horizontal="center"/>
    </xf>
    <xf numFmtId="2" fontId="66" fillId="0" borderId="0" xfId="4" applyNumberFormat="1" applyFont="1" applyFill="1" applyBorder="1" applyAlignment="1" applyProtection="1">
      <alignment horizontal="center"/>
    </xf>
    <xf numFmtId="41" fontId="64" fillId="0" borderId="0" xfId="12" applyNumberFormat="1" applyFont="1" applyFill="1" applyBorder="1"/>
    <xf numFmtId="5" fontId="64" fillId="0" borderId="0" xfId="10" applyNumberFormat="1" applyFont="1" applyFill="1" applyBorder="1"/>
    <xf numFmtId="41" fontId="64" fillId="0" borderId="10" xfId="12" applyNumberFormat="1" applyFont="1" applyFill="1" applyBorder="1"/>
    <xf numFmtId="41" fontId="64" fillId="0" borderId="13" xfId="12" applyNumberFormat="1" applyFont="1" applyFill="1" applyBorder="1"/>
    <xf numFmtId="5" fontId="64" fillId="0" borderId="0" xfId="12" applyNumberFormat="1" applyFont="1" applyFill="1" applyBorder="1"/>
    <xf numFmtId="41" fontId="64" fillId="0" borderId="0" xfId="12" applyNumberFormat="1" applyFont="1" applyBorder="1"/>
    <xf numFmtId="41" fontId="64" fillId="0" borderId="10" xfId="12" applyNumberFormat="1" applyFont="1" applyBorder="1"/>
    <xf numFmtId="41" fontId="64" fillId="0" borderId="12" xfId="12" applyNumberFormat="1" applyFont="1" applyFill="1" applyBorder="1"/>
    <xf numFmtId="5" fontId="64" fillId="0" borderId="13" xfId="12" applyNumberFormat="1" applyFont="1" applyFill="1" applyBorder="1"/>
    <xf numFmtId="41" fontId="66" fillId="0" borderId="0" xfId="12" applyNumberFormat="1" applyFont="1" applyFill="1" applyBorder="1" applyAlignment="1">
      <alignment horizontal="right"/>
    </xf>
    <xf numFmtId="41" fontId="64" fillId="0" borderId="0" xfId="14" applyNumberFormat="1" applyFont="1" applyFill="1"/>
    <xf numFmtId="41" fontId="64" fillId="0" borderId="0" xfId="12" applyNumberFormat="1" applyFont="1"/>
    <xf numFmtId="41" fontId="66" fillId="0" borderId="1" xfId="12" applyNumberFormat="1" applyFont="1" applyFill="1" applyBorder="1" applyAlignment="1">
      <alignment horizontal="center"/>
    </xf>
    <xf numFmtId="41" fontId="66" fillId="0" borderId="5" xfId="12" applyNumberFormat="1" applyFont="1" applyFill="1" applyBorder="1" applyAlignment="1">
      <alignment horizontal="center"/>
    </xf>
    <xf numFmtId="41" fontId="66" fillId="0" borderId="8" xfId="12" applyNumberFormat="1" applyFont="1" applyFill="1" applyBorder="1" applyAlignment="1">
      <alignment horizontal="center"/>
    </xf>
    <xf numFmtId="2" fontId="66" fillId="0" borderId="0" xfId="4" applyNumberFormat="1" applyFont="1" applyAlignment="1" applyProtection="1">
      <alignment horizontal="center"/>
    </xf>
    <xf numFmtId="5" fontId="64" fillId="0" borderId="13" xfId="12" applyNumberFormat="1" applyFont="1" applyBorder="1"/>
    <xf numFmtId="5" fontId="64" fillId="0" borderId="0" xfId="12" applyNumberFormat="1" applyFont="1"/>
    <xf numFmtId="41" fontId="64" fillId="0" borderId="3" xfId="12" applyNumberFormat="1" applyFont="1" applyFill="1" applyBorder="1"/>
    <xf numFmtId="41" fontId="64" fillId="0" borderId="0" xfId="12" applyNumberFormat="1" applyFont="1" applyFill="1" applyAlignment="1">
      <alignment vertical="top"/>
    </xf>
    <xf numFmtId="41" fontId="67" fillId="0" borderId="0" xfId="12" quotePrefix="1" applyNumberFormat="1" applyFont="1" applyFill="1" applyAlignment="1">
      <alignment horizontal="center"/>
    </xf>
    <xf numFmtId="41" fontId="66" fillId="0" borderId="0" xfId="12" applyNumberFormat="1" applyFont="1" applyFill="1" applyAlignment="1"/>
    <xf numFmtId="0" fontId="66" fillId="0" borderId="0" xfId="12" applyFont="1" applyFill="1" applyAlignment="1">
      <alignment horizontal="center"/>
    </xf>
    <xf numFmtId="41" fontId="66" fillId="0" borderId="0" xfId="12" applyNumberFormat="1" applyFont="1" applyFill="1" applyBorder="1" applyAlignment="1">
      <alignment horizontal="center" vertical="center"/>
    </xf>
    <xf numFmtId="41" fontId="66" fillId="0" borderId="1" xfId="10" applyNumberFormat="1" applyFont="1" applyFill="1" applyBorder="1" applyAlignment="1">
      <alignment horizontal="center"/>
    </xf>
    <xf numFmtId="9" fontId="5" fillId="0" borderId="0" xfId="14" applyFont="1"/>
    <xf numFmtId="41" fontId="64" fillId="0" borderId="0" xfId="12" applyNumberFormat="1" applyFont="1" applyFill="1" applyAlignment="1"/>
    <xf numFmtId="41" fontId="66" fillId="0" borderId="0" xfId="12" applyNumberFormat="1" applyFont="1" applyFill="1" applyBorder="1" applyAlignment="1">
      <alignment vertical="center"/>
    </xf>
    <xf numFmtId="41" fontId="66" fillId="0" borderId="10" xfId="12" applyNumberFormat="1" applyFont="1" applyFill="1" applyBorder="1" applyAlignment="1">
      <alignment vertical="center"/>
    </xf>
    <xf numFmtId="41" fontId="66" fillId="0" borderId="1" xfId="23" applyNumberFormat="1" applyFont="1" applyFill="1" applyBorder="1" applyAlignment="1">
      <alignment horizontal="center"/>
    </xf>
    <xf numFmtId="41" fontId="66" fillId="0" borderId="5" xfId="23" quotePrefix="1" applyNumberFormat="1" applyFont="1" applyFill="1" applyBorder="1" applyAlignment="1">
      <alignment horizontal="center"/>
    </xf>
    <xf numFmtId="41" fontId="66" fillId="0" borderId="8" xfId="23" applyNumberFormat="1" applyFont="1" applyFill="1" applyBorder="1" applyAlignment="1">
      <alignment horizontal="center"/>
    </xf>
    <xf numFmtId="10" fontId="63" fillId="6" borderId="0" xfId="14" applyNumberFormat="1" applyFont="1" applyFill="1" applyBorder="1"/>
    <xf numFmtId="41" fontId="68"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9"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41" fontId="60" fillId="0" borderId="0" xfId="13" applyNumberFormat="1" applyFont="1" applyFill="1" applyAlignment="1">
      <alignment horizontal="center"/>
    </xf>
    <xf numFmtId="0" fontId="55" fillId="0" borderId="0" xfId="0" applyFont="1" applyAlignment="1">
      <alignment horizontal="left"/>
    </xf>
    <xf numFmtId="3" fontId="70" fillId="0" borderId="0" xfId="13" applyNumberFormat="1" applyFont="1" applyFill="1"/>
    <xf numFmtId="41" fontId="66"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1" fillId="0" borderId="0" xfId="12" applyNumberFormat="1" applyFont="1" applyFill="1" applyBorder="1" applyAlignment="1"/>
    <xf numFmtId="41" fontId="71" fillId="0" borderId="0" xfId="12" applyNumberFormat="1" applyFont="1" applyFill="1" applyBorder="1" applyAlignment="1">
      <alignment wrapText="1"/>
    </xf>
    <xf numFmtId="41" fontId="6" fillId="0" borderId="0" xfId="12" applyNumberFormat="1"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2"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0" fontId="9" fillId="0" borderId="0" xfId="0" applyFont="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Y91"/>
  <sheetViews>
    <sheetView tabSelected="1" view="pageBreakPreview" zoomScale="115" zoomScaleNormal="85" zoomScaleSheetLayoutView="115" workbookViewId="0">
      <selection activeCell="L28" sqref="L28"/>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75" t="str">
        <f>'ADJ DETAIL-INPUT'!A2</f>
        <v xml:space="preserve">AVISTA UTILITIES  </v>
      </c>
      <c r="D1" s="3"/>
      <c r="E1" s="845"/>
      <c r="F1" s="845"/>
    </row>
    <row r="2" spans="1:22" ht="15">
      <c r="A2" s="575" t="str">
        <f>'ADJ DETAIL-INPUT'!A3</f>
        <v xml:space="preserve">WASHINGTON ELECTRIC RESULTS </v>
      </c>
      <c r="D2" s="3"/>
    </row>
    <row r="3" spans="1:22" ht="15" customHeight="1">
      <c r="A3" s="518" t="str">
        <f>'ADJ DETAIL-INPUT'!A4</f>
        <v>TWELVE MONTHS ENDED DECEMBER 31, 2019</v>
      </c>
      <c r="D3" s="3"/>
    </row>
    <row r="4" spans="1:22" ht="15">
      <c r="A4" s="575" t="str">
        <f>'ADJ DETAIL-INPUT'!A5</f>
        <v xml:space="preserve">(000'S OF DOLLARS)  </v>
      </c>
      <c r="D4" s="3"/>
      <c r="E4" s="841" t="s">
        <v>764</v>
      </c>
      <c r="F4" s="842"/>
      <c r="G4" s="842"/>
      <c r="H4" s="842"/>
      <c r="I4" s="843"/>
    </row>
    <row r="5" spans="1:22">
      <c r="A5" s="1"/>
      <c r="B5" s="5"/>
      <c r="C5" s="5"/>
      <c r="D5" s="4"/>
      <c r="E5" s="243" t="s">
        <v>167</v>
      </c>
      <c r="F5" s="244"/>
      <c r="G5" s="245"/>
      <c r="H5" s="243" t="s">
        <v>801</v>
      </c>
      <c r="I5" s="245"/>
      <c r="V5" s="545"/>
    </row>
    <row r="6" spans="1:22">
      <c r="A6" s="6"/>
      <c r="B6" s="7"/>
      <c r="C6" s="8"/>
      <c r="D6" s="9"/>
      <c r="E6" s="246" t="s">
        <v>168</v>
      </c>
      <c r="F6" s="246"/>
      <c r="G6" s="505" t="s">
        <v>765</v>
      </c>
      <c r="H6" s="247" t="s">
        <v>169</v>
      </c>
      <c r="I6" s="505" t="s">
        <v>765</v>
      </c>
    </row>
    <row r="7" spans="1:22">
      <c r="A7" s="10" t="s">
        <v>8</v>
      </c>
      <c r="B7" s="11"/>
      <c r="C7" s="12"/>
      <c r="D7" s="13"/>
      <c r="E7" s="248" t="s">
        <v>9</v>
      </c>
      <c r="F7" s="248" t="s">
        <v>135</v>
      </c>
      <c r="G7" s="248" t="s">
        <v>653</v>
      </c>
      <c r="H7" s="249" t="s">
        <v>170</v>
      </c>
      <c r="I7" s="248" t="s">
        <v>169</v>
      </c>
    </row>
    <row r="8" spans="1:22">
      <c r="A8" s="14" t="s">
        <v>21</v>
      </c>
      <c r="B8" s="15"/>
      <c r="C8" s="16"/>
      <c r="D8" s="17" t="s">
        <v>22</v>
      </c>
      <c r="E8" s="250" t="s">
        <v>23</v>
      </c>
      <c r="F8" s="250" t="s">
        <v>145</v>
      </c>
      <c r="G8" s="250" t="s">
        <v>654</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-16055</v>
      </c>
      <c r="G14" s="423">
        <f>'ADJ DETAIL-INPUT'!BC14</f>
        <v>530494</v>
      </c>
      <c r="H14" s="240">
        <f>'CF '!J9</f>
        <v>44183.458383399979</v>
      </c>
      <c r="I14" s="21">
        <f>G14+H14</f>
        <v>574677.45838339999</v>
      </c>
    </row>
    <row r="15" spans="1:22">
      <c r="A15" s="20">
        <v>2</v>
      </c>
      <c r="B15" s="22" t="s">
        <v>42</v>
      </c>
      <c r="C15" s="22"/>
      <c r="D15" s="22"/>
      <c r="E15" s="234">
        <f>'ADJ DETAIL-INPUT'!E15</f>
        <v>1228</v>
      </c>
      <c r="F15" s="234">
        <f>G15-E15</f>
        <v>0</v>
      </c>
      <c r="G15" s="435">
        <f>'ADJ DETAIL-INPUT'!BC15</f>
        <v>1228</v>
      </c>
      <c r="H15" s="234"/>
      <c r="I15" s="234">
        <f t="shared" ref="I15:I16" si="0">G15+H15</f>
        <v>1228</v>
      </c>
    </row>
    <row r="16" spans="1:22">
      <c r="A16" s="20">
        <v>3</v>
      </c>
      <c r="B16" s="22" t="s">
        <v>43</v>
      </c>
      <c r="C16" s="22"/>
      <c r="D16" s="22"/>
      <c r="E16" s="236">
        <f>'ADJ DETAIL-INPUT'!E16</f>
        <v>53430</v>
      </c>
      <c r="F16" s="236">
        <f>G16-E16</f>
        <v>39</v>
      </c>
      <c r="G16" s="444">
        <f>'ADJ DETAIL-INPUT'!BC16</f>
        <v>53469</v>
      </c>
      <c r="H16" s="236"/>
      <c r="I16" s="236">
        <f t="shared" si="0"/>
        <v>53469</v>
      </c>
    </row>
    <row r="17" spans="1:12">
      <c r="A17" s="20">
        <v>4</v>
      </c>
      <c r="B17" s="22"/>
      <c r="C17" s="22" t="s">
        <v>44</v>
      </c>
      <c r="D17" s="22"/>
      <c r="E17" s="234">
        <f>SUM(E14:E16)</f>
        <v>601207</v>
      </c>
      <c r="F17" s="234">
        <f>SUM(F14:F16)</f>
        <v>-16016</v>
      </c>
      <c r="G17" s="435">
        <f t="shared" ref="G17:I17" si="1">SUM(G14:G16)</f>
        <v>585191</v>
      </c>
      <c r="H17" s="234">
        <f t="shared" si="1"/>
        <v>44183.458383399979</v>
      </c>
      <c r="I17" s="234">
        <f t="shared" si="1"/>
        <v>629374.45838339999</v>
      </c>
    </row>
    <row r="18" spans="1:12">
      <c r="A18" s="20">
        <v>5</v>
      </c>
      <c r="B18" s="22" t="s">
        <v>45</v>
      </c>
      <c r="C18" s="22"/>
      <c r="D18" s="22"/>
      <c r="E18" s="236">
        <f>'ADJ DETAIL-INPUT'!E18</f>
        <v>60250</v>
      </c>
      <c r="F18" s="236">
        <f>G18-E18</f>
        <v>-43369</v>
      </c>
      <c r="G18" s="444">
        <f>'ADJ DETAIL-INPUT'!BC18</f>
        <v>16881</v>
      </c>
      <c r="H18" s="236"/>
      <c r="I18" s="236">
        <f>G18+H18</f>
        <v>16881</v>
      </c>
    </row>
    <row r="19" spans="1:12">
      <c r="A19" s="20">
        <v>6</v>
      </c>
      <c r="B19" s="22"/>
      <c r="C19" s="22" t="s">
        <v>46</v>
      </c>
      <c r="D19" s="22"/>
      <c r="E19" s="234">
        <f>SUM(E17:E18)</f>
        <v>661457</v>
      </c>
      <c r="F19" s="234">
        <f t="shared" ref="F19:I19" si="2">SUM(F17:F18)</f>
        <v>-59385</v>
      </c>
      <c r="G19" s="435">
        <f t="shared" si="2"/>
        <v>602072</v>
      </c>
      <c r="H19" s="234">
        <f t="shared" si="2"/>
        <v>44183.458383399979</v>
      </c>
      <c r="I19" s="234">
        <f t="shared" si="2"/>
        <v>646255.45838339999</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-23370</v>
      </c>
      <c r="G23" s="559">
        <f>'ADJ DETAIL-INPUT'!BC23</f>
        <v>147183</v>
      </c>
      <c r="H23" s="234"/>
      <c r="I23" s="234">
        <f>G23+H23</f>
        <v>147183</v>
      </c>
    </row>
    <row r="24" spans="1:12">
      <c r="A24" s="20">
        <v>8</v>
      </c>
      <c r="B24" s="22"/>
      <c r="C24" s="22" t="s">
        <v>50</v>
      </c>
      <c r="D24" s="22"/>
      <c r="E24" s="234">
        <f>'ADJ DETAIL-INPUT'!E24</f>
        <v>89083</v>
      </c>
      <c r="F24" s="234">
        <f>G24-E24</f>
        <v>-18300</v>
      </c>
      <c r="G24" s="559">
        <f>'ADJ DETAIL-INPUT'!BC24</f>
        <v>70783</v>
      </c>
      <c r="H24" s="234"/>
      <c r="I24" s="234">
        <f t="shared" ref="I24:I27" si="3">G24+H24</f>
        <v>70783</v>
      </c>
    </row>
    <row r="25" spans="1:12">
      <c r="A25" s="20">
        <v>9</v>
      </c>
      <c r="B25" s="22"/>
      <c r="C25" s="22" t="s">
        <v>548</v>
      </c>
      <c r="D25" s="22"/>
      <c r="E25" s="234">
        <f>'ADJ DETAIL-INPUT'!E25</f>
        <v>32447</v>
      </c>
      <c r="F25" s="234">
        <f>G25-E25</f>
        <v>7868</v>
      </c>
      <c r="G25" s="559">
        <f>'ADJ DETAIL-INPUT'!BC25</f>
        <v>40315</v>
      </c>
      <c r="H25" s="234"/>
      <c r="I25" s="234">
        <f t="shared" si="3"/>
        <v>40315</v>
      </c>
      <c r="L25" s="234"/>
    </row>
    <row r="26" spans="1:12">
      <c r="A26" s="20">
        <v>10</v>
      </c>
      <c r="B26" s="22"/>
      <c r="C26" s="22" t="s">
        <v>693</v>
      </c>
      <c r="D26" s="22"/>
      <c r="E26" s="234">
        <f>'ADJ DETAIL-INPUT'!E26</f>
        <v>-712</v>
      </c>
      <c r="F26" s="234">
        <f>G26-E26</f>
        <v>-1071</v>
      </c>
      <c r="G26" s="559">
        <f>'ADJ DETAIL-INPUT'!BC26</f>
        <v>-1783</v>
      </c>
      <c r="H26" s="234"/>
      <c r="I26" s="234">
        <f t="shared" si="3"/>
        <v>-1783</v>
      </c>
    </row>
    <row r="27" spans="1:12">
      <c r="A27" s="20">
        <v>11</v>
      </c>
      <c r="B27" s="22"/>
      <c r="C27" s="22" t="s">
        <v>27</v>
      </c>
      <c r="D27" s="22"/>
      <c r="E27" s="236">
        <f>'ADJ DETAIL-INPUT'!E27</f>
        <v>16489</v>
      </c>
      <c r="F27" s="236">
        <f>G27-E27</f>
        <v>1507</v>
      </c>
      <c r="G27" s="560">
        <f>'ADJ DETAIL-INPUT'!BC27</f>
        <v>17996</v>
      </c>
      <c r="H27" s="236"/>
      <c r="I27" s="236">
        <f t="shared" si="3"/>
        <v>17996</v>
      </c>
    </row>
    <row r="28" spans="1:12">
      <c r="A28" s="20">
        <v>12</v>
      </c>
      <c r="B28" s="22"/>
      <c r="C28" s="22"/>
      <c r="D28" s="22" t="s">
        <v>51</v>
      </c>
      <c r="E28" s="234">
        <f>SUM(E23:E27)</f>
        <v>307860</v>
      </c>
      <c r="F28" s="234">
        <f t="shared" ref="F28:I28" si="4">SUM(F23:F27)</f>
        <v>-33366</v>
      </c>
      <c r="G28" s="435">
        <f t="shared" si="4"/>
        <v>274494</v>
      </c>
      <c r="H28" s="234">
        <f t="shared" si="4"/>
        <v>0</v>
      </c>
      <c r="I28" s="234">
        <f t="shared" si="4"/>
        <v>274494</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3824</v>
      </c>
      <c r="G31" s="446">
        <f>'ADJ DETAIL-INPUT'!BC31</f>
        <v>30571</v>
      </c>
      <c r="H31" s="234"/>
      <c r="I31" s="234">
        <f>G31+H31</f>
        <v>30571</v>
      </c>
    </row>
    <row r="32" spans="1:12">
      <c r="A32" s="20">
        <v>14</v>
      </c>
      <c r="B32" s="22"/>
      <c r="C32" s="22" t="s">
        <v>548</v>
      </c>
      <c r="D32" s="22"/>
      <c r="E32" s="234">
        <f>'ADJ DETAIL-INPUT'!E32</f>
        <v>31132</v>
      </c>
      <c r="F32" s="234">
        <f>G32-E32</f>
        <v>1545.2885398940889</v>
      </c>
      <c r="G32" s="446">
        <f>'ADJ DETAIL-INPUT'!BC32</f>
        <v>32677.288539894089</v>
      </c>
      <c r="H32" s="234"/>
      <c r="I32" s="234">
        <f t="shared" ref="I32:I33" si="5">G32+H32</f>
        <v>32677.288539894089</v>
      </c>
    </row>
    <row r="33" spans="1:9">
      <c r="A33" s="20">
        <v>15</v>
      </c>
      <c r="B33" s="22"/>
      <c r="C33" s="22" t="s">
        <v>27</v>
      </c>
      <c r="D33" s="22"/>
      <c r="E33" s="236">
        <f>'ADJ DETAIL-INPUT'!E34</f>
        <v>47422</v>
      </c>
      <c r="F33" s="236">
        <f>G33-E33</f>
        <v>-17461</v>
      </c>
      <c r="G33" s="444">
        <f>'ADJ DETAIL-INPUT'!BC34</f>
        <v>29961</v>
      </c>
      <c r="H33" s="444">
        <f>'CF '!J16</f>
        <v>1706</v>
      </c>
      <c r="I33" s="236">
        <f t="shared" si="5"/>
        <v>31667</v>
      </c>
    </row>
    <row r="34" spans="1:9">
      <c r="A34" s="20">
        <v>16</v>
      </c>
      <c r="B34" s="22"/>
      <c r="C34" s="22"/>
      <c r="D34" s="22" t="s">
        <v>53</v>
      </c>
      <c r="E34" s="234">
        <f>SUM(E31:E33)</f>
        <v>105301</v>
      </c>
      <c r="F34" s="234">
        <f>SUM(F31:F33)</f>
        <v>-12091.711460105911</v>
      </c>
      <c r="G34" s="435">
        <f>SUM(G31:G33)</f>
        <v>93209.288539894085</v>
      </c>
      <c r="H34" s="435">
        <f>SUM(H31:H33)</f>
        <v>1706</v>
      </c>
      <c r="I34" s="234">
        <f>SUM(I31:I33)</f>
        <v>94915.288539894085</v>
      </c>
    </row>
    <row r="35" spans="1:9" ht="6.75" customHeight="1">
      <c r="A35" s="20"/>
      <c r="B35" s="22"/>
      <c r="C35" s="22"/>
      <c r="D35" s="22"/>
      <c r="E35" s="234"/>
      <c r="F35" s="234"/>
      <c r="G35" s="435"/>
      <c r="H35" s="435"/>
      <c r="I35" s="234"/>
    </row>
    <row r="36" spans="1:9">
      <c r="A36" s="20">
        <v>17</v>
      </c>
      <c r="B36" s="22" t="s">
        <v>54</v>
      </c>
      <c r="C36" s="22"/>
      <c r="D36" s="22"/>
      <c r="E36" s="234">
        <f>'ADJ DETAIL-INPUT'!E37</f>
        <v>9916</v>
      </c>
      <c r="F36" s="234">
        <f>G36-E36</f>
        <v>2028</v>
      </c>
      <c r="G36" s="446">
        <f>'ADJ DETAIL-INPUT'!BC37</f>
        <v>11944</v>
      </c>
      <c r="H36" s="435">
        <f>'CF '!J12</f>
        <v>147</v>
      </c>
      <c r="I36" s="234">
        <f>G36+H36</f>
        <v>12091</v>
      </c>
    </row>
    <row r="37" spans="1:9">
      <c r="A37" s="20">
        <v>18</v>
      </c>
      <c r="B37" s="22" t="s">
        <v>55</v>
      </c>
      <c r="C37" s="22"/>
      <c r="D37" s="22"/>
      <c r="E37" s="234">
        <f>'ADJ DETAIL-INPUT'!E38</f>
        <v>28425</v>
      </c>
      <c r="F37" s="234">
        <f>G37-E37</f>
        <v>-26791</v>
      </c>
      <c r="G37" s="446">
        <f>'ADJ DETAIL-INPUT'!BC38</f>
        <v>1634</v>
      </c>
      <c r="H37" s="435"/>
      <c r="I37" s="234">
        <f t="shared" ref="I37:I38" si="6">G37+H37</f>
        <v>1634</v>
      </c>
    </row>
    <row r="38" spans="1:9">
      <c r="A38" s="20">
        <v>19</v>
      </c>
      <c r="B38" s="22" t="s">
        <v>56</v>
      </c>
      <c r="C38" s="22"/>
      <c r="D38" s="22"/>
      <c r="E38" s="234">
        <f>'ADJ DETAIL-INPUT'!E39</f>
        <v>0</v>
      </c>
      <c r="F38" s="234">
        <f>G38-E38</f>
        <v>0</v>
      </c>
      <c r="G38" s="446">
        <f>'ADJ DETAIL-INPUT'!BC39</f>
        <v>0</v>
      </c>
      <c r="H38" s="435"/>
      <c r="I38" s="234">
        <f t="shared" si="6"/>
        <v>0</v>
      </c>
    </row>
    <row r="39" spans="1:9" ht="6.75" customHeight="1">
      <c r="A39" s="22"/>
      <c r="B39" s="22"/>
      <c r="C39" s="22"/>
      <c r="D39" s="22"/>
      <c r="E39" s="234"/>
      <c r="F39" s="234"/>
      <c r="G39" s="435"/>
      <c r="H39" s="435"/>
      <c r="I39" s="234"/>
    </row>
    <row r="40" spans="1:9">
      <c r="A40" s="20"/>
      <c r="B40" s="22" t="s">
        <v>57</v>
      </c>
      <c r="C40" s="22"/>
      <c r="D40" s="22"/>
      <c r="E40" s="234"/>
      <c r="F40" s="234"/>
      <c r="G40" s="435"/>
      <c r="H40" s="435"/>
      <c r="I40" s="234"/>
    </row>
    <row r="41" spans="1:9">
      <c r="A41" s="20">
        <v>20</v>
      </c>
      <c r="B41" s="22"/>
      <c r="C41" s="22" t="s">
        <v>49</v>
      </c>
      <c r="D41" s="22"/>
      <c r="E41" s="234">
        <f>'ADJ DETAIL-INPUT'!E42</f>
        <v>55880</v>
      </c>
      <c r="F41" s="234">
        <f>G41-E41</f>
        <v>2804</v>
      </c>
      <c r="G41" s="446">
        <f>'ADJ DETAIL-INPUT'!BC42</f>
        <v>58684</v>
      </c>
      <c r="H41" s="435">
        <f>'CF '!J14</f>
        <v>88</v>
      </c>
      <c r="I41" s="234">
        <f t="shared" ref="I41:I44" si="7">G41+H41</f>
        <v>58772</v>
      </c>
    </row>
    <row r="42" spans="1:9">
      <c r="A42" s="20">
        <v>21</v>
      </c>
      <c r="B42" s="22"/>
      <c r="C42" s="22" t="s">
        <v>548</v>
      </c>
      <c r="D42" s="22"/>
      <c r="E42" s="234">
        <f>'ADJ DETAIL-INPUT'!E43</f>
        <v>35595</v>
      </c>
      <c r="F42" s="234">
        <f>G42-E42</f>
        <v>6097.5</v>
      </c>
      <c r="G42" s="446">
        <f>'ADJ DETAIL-INPUT'!BC43</f>
        <v>41692.5</v>
      </c>
      <c r="H42" s="435"/>
      <c r="I42" s="234">
        <f t="shared" si="7"/>
        <v>41692.5</v>
      </c>
    </row>
    <row r="43" spans="1:9">
      <c r="A43" s="422">
        <v>22</v>
      </c>
      <c r="B43" s="424"/>
      <c r="C43" s="424" t="s">
        <v>693</v>
      </c>
      <c r="D43" s="424"/>
      <c r="E43" s="435">
        <f>'ADJ DETAIL-INPUT'!E44</f>
        <v>-9018</v>
      </c>
      <c r="F43" s="435">
        <f>G43-E43</f>
        <v>14503</v>
      </c>
      <c r="G43" s="446">
        <f>'ADJ DETAIL-INPUT'!BC44</f>
        <v>5485</v>
      </c>
      <c r="H43" s="435"/>
      <c r="I43" s="435">
        <f t="shared" ref="I43" si="8">G43+H43</f>
        <v>5485</v>
      </c>
    </row>
    <row r="44" spans="1:9">
      <c r="A44" s="239">
        <v>23</v>
      </c>
      <c r="B44" s="22"/>
      <c r="C44" s="22" t="s">
        <v>27</v>
      </c>
      <c r="D44" s="22"/>
      <c r="E44" s="236">
        <f>'ADJ DETAIL-INPUT'!E45</f>
        <v>0</v>
      </c>
      <c r="F44" s="236">
        <f>G44-E44</f>
        <v>0</v>
      </c>
      <c r="G44" s="444">
        <f>'ADJ DETAIL-INPUT'!BC45</f>
        <v>0</v>
      </c>
      <c r="H44" s="444"/>
      <c r="I44" s="236">
        <f t="shared" si="7"/>
        <v>0</v>
      </c>
    </row>
    <row r="45" spans="1:9">
      <c r="A45" s="20">
        <v>24</v>
      </c>
      <c r="B45" s="22"/>
      <c r="C45" s="22"/>
      <c r="D45" s="22" t="s">
        <v>58</v>
      </c>
      <c r="E45" s="236">
        <f>SUM(E41:E44)</f>
        <v>82457</v>
      </c>
      <c r="F45" s="236">
        <f>SUM(F41:F44)</f>
        <v>23404.5</v>
      </c>
      <c r="G45" s="444">
        <f>SUM(G41:G44)</f>
        <v>105861.5</v>
      </c>
      <c r="H45" s="444">
        <f>SUM(H41:H44)</f>
        <v>88</v>
      </c>
      <c r="I45" s="236">
        <f>SUM(I41:I44)</f>
        <v>105949.5</v>
      </c>
    </row>
    <row r="46" spans="1:9">
      <c r="A46" s="20">
        <v>25</v>
      </c>
      <c r="B46" s="22" t="s">
        <v>59</v>
      </c>
      <c r="C46" s="22"/>
      <c r="D46" s="22"/>
      <c r="E46" s="236">
        <f>E28+E34+E36+E37+E38+E45</f>
        <v>533959</v>
      </c>
      <c r="F46" s="236">
        <f>F28+F34+F36+F37+F38+F45</f>
        <v>-46816.211460105915</v>
      </c>
      <c r="G46" s="444">
        <f>G28+G34+G36+G37+G38+G45</f>
        <v>487142.7885398941</v>
      </c>
      <c r="H46" s="444">
        <f>H28+H34+H36+H37+H38+H45</f>
        <v>1941</v>
      </c>
      <c r="I46" s="236">
        <f>I28+I34+I36+I37+I38+I45</f>
        <v>489083.7885398941</v>
      </c>
    </row>
    <row r="47" spans="1:9" ht="7.5" customHeight="1">
      <c r="A47" s="20"/>
      <c r="B47" s="22"/>
      <c r="C47" s="22"/>
      <c r="D47" s="22"/>
      <c r="E47" s="234"/>
      <c r="F47" s="234"/>
      <c r="G47" s="435"/>
      <c r="H47" s="435"/>
      <c r="I47" s="234"/>
    </row>
    <row r="48" spans="1:9">
      <c r="A48" s="20">
        <v>26</v>
      </c>
      <c r="B48" s="22" t="s">
        <v>60</v>
      </c>
      <c r="C48" s="22"/>
      <c r="D48" s="22"/>
      <c r="E48" s="234">
        <f>E19-E46</f>
        <v>127498</v>
      </c>
      <c r="F48" s="234">
        <f>F19-F46</f>
        <v>-12568.788539894085</v>
      </c>
      <c r="G48" s="435">
        <f>G19-G46</f>
        <v>114929.2114601059</v>
      </c>
      <c r="H48" s="435">
        <f>H19-H46</f>
        <v>42242.458383399979</v>
      </c>
      <c r="I48" s="234">
        <f>I19-I46</f>
        <v>157171.66984350589</v>
      </c>
    </row>
    <row r="49" spans="1:25" ht="5.25" customHeight="1">
      <c r="A49" s="20"/>
      <c r="B49" s="22"/>
      <c r="C49" s="22"/>
      <c r="D49" s="22"/>
      <c r="E49" s="234"/>
      <c r="F49" s="234"/>
      <c r="G49" s="435"/>
      <c r="H49" s="435"/>
      <c r="I49" s="234"/>
    </row>
    <row r="50" spans="1:25">
      <c r="A50" s="20"/>
      <c r="B50" s="22" t="s">
        <v>61</v>
      </c>
      <c r="C50" s="22"/>
      <c r="D50" s="22"/>
      <c r="E50" s="234"/>
      <c r="F50" s="234"/>
      <c r="G50" s="435"/>
      <c r="H50" s="435"/>
      <c r="I50" s="234"/>
    </row>
    <row r="51" spans="1:25">
      <c r="A51" s="422">
        <v>27</v>
      </c>
      <c r="B51" s="22" t="s">
        <v>62</v>
      </c>
      <c r="C51" s="22"/>
      <c r="D51" s="22"/>
      <c r="E51" s="234">
        <f>'ADJ DETAIL-INPUT'!E52</f>
        <v>4963</v>
      </c>
      <c r="F51" s="234">
        <f>G51-E51</f>
        <v>-1641.8355933777575</v>
      </c>
      <c r="G51" s="446">
        <f>'ADJ DETAIL-INPUT'!BC52</f>
        <v>3321.1644066222425</v>
      </c>
      <c r="H51" s="435">
        <f>'CF '!J22</f>
        <v>8871</v>
      </c>
      <c r="I51" s="234">
        <f>G51+H51</f>
        <v>12192.164406622243</v>
      </c>
      <c r="M51" s="146"/>
      <c r="N51" s="146"/>
      <c r="Y51" s="146"/>
    </row>
    <row r="52" spans="1:25">
      <c r="A52" s="422">
        <v>28</v>
      </c>
      <c r="B52" s="2" t="s">
        <v>263</v>
      </c>
      <c r="E52" s="234">
        <f>'ADJ DETAIL-INPUT'!E53</f>
        <v>0</v>
      </c>
      <c r="F52" s="234">
        <f>G52-E52</f>
        <v>-871.93353028462218</v>
      </c>
      <c r="G52" s="446">
        <f>'ADJ DETAIL-INPUT'!BC53</f>
        <v>-871.93353028462218</v>
      </c>
      <c r="H52" s="435">
        <v>-94</v>
      </c>
      <c r="I52" s="234">
        <f>G52+H52</f>
        <v>-965.93353028462218</v>
      </c>
    </row>
    <row r="53" spans="1:25">
      <c r="A53" s="422">
        <v>29</v>
      </c>
      <c r="B53" s="22" t="s">
        <v>63</v>
      </c>
      <c r="C53" s="22"/>
      <c r="D53" s="22"/>
      <c r="E53" s="234">
        <f>'ADJ DETAIL-INPUT'!E54</f>
        <v>7830</v>
      </c>
      <c r="F53" s="234">
        <f>G53-E53</f>
        <v>-1163</v>
      </c>
      <c r="G53" s="446">
        <f>'ADJ DETAIL-INPUT'!BC54</f>
        <v>6667</v>
      </c>
      <c r="H53" s="234"/>
      <c r="I53" s="234">
        <f>G53+H53</f>
        <v>6667</v>
      </c>
      <c r="N53" s="146"/>
    </row>
    <row r="54" spans="1:25">
      <c r="A54" s="20">
        <v>30</v>
      </c>
      <c r="B54" s="22" t="s">
        <v>64</v>
      </c>
      <c r="C54" s="22"/>
      <c r="D54" s="22"/>
      <c r="E54" s="236">
        <f>'ADJ DETAIL-INPUT'!E55</f>
        <v>-318</v>
      </c>
      <c r="F54" s="236">
        <f>G54-E54</f>
        <v>0</v>
      </c>
      <c r="G54" s="444">
        <f>'ADJ DETAIL-INPUT'!BC55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-8892.0194162317057</v>
      </c>
      <c r="G56" s="456">
        <f>G48-SUM(G51:G54)</f>
        <v>106130.98058376828</v>
      </c>
      <c r="H56" s="557">
        <f>H48-SUM(H51:H54)</f>
        <v>33465.458383399979</v>
      </c>
      <c r="I56" s="456">
        <f>I48-SUM(I51:I54)-0.44</f>
        <v>139595.99896716827</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20493.751014790498</v>
      </c>
      <c r="G60" s="556">
        <f>'ADJ DETAIL-INPUT'!BC61</f>
        <v>231528.7510147905</v>
      </c>
      <c r="H60" s="21"/>
      <c r="I60" s="21">
        <f>G60+H60</f>
        <v>231528.7510147905</v>
      </c>
    </row>
    <row r="61" spans="1:25">
      <c r="A61" s="422">
        <v>33</v>
      </c>
      <c r="B61" s="22"/>
      <c r="C61" s="22" t="s">
        <v>69</v>
      </c>
      <c r="D61" s="22"/>
      <c r="E61" s="234">
        <f>'ADJ DETAIL-INPUT'!E62</f>
        <v>930160</v>
      </c>
      <c r="F61" s="234">
        <f t="shared" si="9"/>
        <v>24152.152540610754</v>
      </c>
      <c r="G61" s="446">
        <f>'ADJ DETAIL-INPUT'!BC62</f>
        <v>954312.15254061075</v>
      </c>
      <c r="H61" s="234"/>
      <c r="I61" s="234">
        <f t="shared" ref="I61:I64" si="10">G61+H61</f>
        <v>954312.15254061075</v>
      </c>
      <c r="M61" s="147"/>
    </row>
    <row r="62" spans="1:25">
      <c r="A62" s="422">
        <v>34</v>
      </c>
      <c r="B62" s="22"/>
      <c r="C62" s="22" t="s">
        <v>70</v>
      </c>
      <c r="D62" s="22"/>
      <c r="E62" s="234">
        <f>'ADJ DETAIL-INPUT'!E63</f>
        <v>509897</v>
      </c>
      <c r="F62" s="234">
        <f t="shared" si="9"/>
        <v>70749.205163838924</v>
      </c>
      <c r="G62" s="446">
        <f>'ADJ DETAIL-INPUT'!BC63</f>
        <v>580646.20516383892</v>
      </c>
      <c r="H62" s="234"/>
      <c r="I62" s="234">
        <f t="shared" si="10"/>
        <v>580646.20516383892</v>
      </c>
    </row>
    <row r="63" spans="1:25">
      <c r="A63" s="422">
        <v>35</v>
      </c>
      <c r="B63" s="22"/>
      <c r="C63" s="22" t="s">
        <v>52</v>
      </c>
      <c r="D63" s="22"/>
      <c r="E63" s="234">
        <f>'ADJ DETAIL-INPUT'!E64</f>
        <v>1194477</v>
      </c>
      <c r="F63" s="234">
        <f t="shared" si="9"/>
        <v>65474.516413965262</v>
      </c>
      <c r="G63" s="446">
        <f>'ADJ DETAIL-INPUT'!BC64</f>
        <v>1259951.5164139653</v>
      </c>
      <c r="H63" s="234"/>
      <c r="I63" s="234">
        <f t="shared" si="10"/>
        <v>1259951.5164139653</v>
      </c>
    </row>
    <row r="64" spans="1:25">
      <c r="A64" s="422">
        <v>36</v>
      </c>
      <c r="B64" s="22"/>
      <c r="C64" s="22" t="s">
        <v>71</v>
      </c>
      <c r="D64" s="22"/>
      <c r="E64" s="236">
        <f>'ADJ DETAIL-INPUT'!E65</f>
        <v>279556</v>
      </c>
      <c r="F64" s="236">
        <f t="shared" si="9"/>
        <v>16601.940551537205</v>
      </c>
      <c r="G64" s="444">
        <f>'ADJ DETAIL-INPUT'!BC65</f>
        <v>296157.94055153721</v>
      </c>
      <c r="H64" s="236"/>
      <c r="I64" s="236">
        <f t="shared" si="10"/>
        <v>296157.94055153721</v>
      </c>
    </row>
    <row r="65" spans="1:9">
      <c r="A65" s="20">
        <v>37</v>
      </c>
      <c r="B65" s="22"/>
      <c r="C65" s="22"/>
      <c r="D65" s="22" t="s">
        <v>72</v>
      </c>
      <c r="E65" s="234">
        <f>SUM(E60:E64)</f>
        <v>3125125</v>
      </c>
      <c r="F65" s="234">
        <f t="shared" ref="F65:H65" si="11">SUM(F60:F64)</f>
        <v>197471.56568474264</v>
      </c>
      <c r="G65" s="435">
        <f t="shared" si="11"/>
        <v>3322596.5656847423</v>
      </c>
      <c r="H65" s="234">
        <f t="shared" si="11"/>
        <v>0</v>
      </c>
      <c r="I65" s="234">
        <f>SUM(I60:I64)</f>
        <v>3322596.5656847423</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-11268.805838013766</v>
      </c>
      <c r="G67" s="446">
        <f>'ADJ DETAIL-INPUT'!BC68</f>
        <v>-68346.805838013766</v>
      </c>
      <c r="H67" s="238"/>
      <c r="I67" s="238">
        <f>G67+H67</f>
        <v>-68346.805838013766</v>
      </c>
    </row>
    <row r="68" spans="1:9">
      <c r="A68" s="23">
        <v>39</v>
      </c>
      <c r="B68" s="22"/>
      <c r="C68" s="22" t="s">
        <v>215</v>
      </c>
      <c r="D68" s="22"/>
      <c r="E68" s="234">
        <f>'ADJ DETAIL-INPUT'!E69</f>
        <v>-382437</v>
      </c>
      <c r="F68" s="234">
        <f t="shared" si="9"/>
        <v>-30413.662637474888</v>
      </c>
      <c r="G68" s="446">
        <f>'ADJ DETAIL-INPUT'!BC69</f>
        <v>-412850.66263747489</v>
      </c>
      <c r="H68" s="234"/>
      <c r="I68" s="238">
        <f t="shared" ref="I68:I71" si="12">G68+H68</f>
        <v>-412850.66263747489</v>
      </c>
    </row>
    <row r="69" spans="1:9">
      <c r="A69" s="23">
        <v>40</v>
      </c>
      <c r="B69" s="22"/>
      <c r="C69" s="22" t="s">
        <v>216</v>
      </c>
      <c r="D69" s="22"/>
      <c r="E69" s="234">
        <f>'ADJ DETAIL-INPUT'!E70</f>
        <v>-147016</v>
      </c>
      <c r="F69" s="234">
        <f t="shared" si="9"/>
        <v>1636.9642718816176</v>
      </c>
      <c r="G69" s="446">
        <f>'ADJ DETAIL-INPUT'!BC70</f>
        <v>-145379.03572811838</v>
      </c>
      <c r="H69" s="234"/>
      <c r="I69" s="238">
        <f t="shared" si="12"/>
        <v>-145379.03572811838</v>
      </c>
    </row>
    <row r="70" spans="1:9">
      <c r="A70" s="23">
        <v>41</v>
      </c>
      <c r="B70" s="22"/>
      <c r="C70" s="22" t="s">
        <v>200</v>
      </c>
      <c r="D70" s="22"/>
      <c r="E70" s="234">
        <f>'ADJ DETAIL-INPUT'!E71</f>
        <v>-358989</v>
      </c>
      <c r="F70" s="234">
        <f>G70-E70</f>
        <v>86.606584904366173</v>
      </c>
      <c r="G70" s="446">
        <f>'ADJ DETAIL-INPUT'!BC71</f>
        <v>-358902.39341509563</v>
      </c>
      <c r="H70" s="234"/>
      <c r="I70" s="238">
        <f t="shared" si="12"/>
        <v>-358902.39341509563</v>
      </c>
    </row>
    <row r="71" spans="1:9">
      <c r="A71" s="23">
        <v>42</v>
      </c>
      <c r="B71" s="22"/>
      <c r="C71" s="22" t="s">
        <v>217</v>
      </c>
      <c r="D71" s="22"/>
      <c r="E71" s="234">
        <f>'ADJ DETAIL-INPUT'!E72</f>
        <v>-92865</v>
      </c>
      <c r="F71" s="236">
        <f>G71-E71</f>
        <v>11129.284753587679</v>
      </c>
      <c r="G71" s="446">
        <f>'ADJ DETAIL-INPUT'!BC72</f>
        <v>-81735.715246412321</v>
      </c>
      <c r="H71" s="236"/>
      <c r="I71" s="238">
        <f t="shared" si="12"/>
        <v>-81735.715246412321</v>
      </c>
    </row>
    <row r="72" spans="1:9">
      <c r="A72" s="23">
        <v>43</v>
      </c>
      <c r="B72" s="22" t="s">
        <v>267</v>
      </c>
      <c r="C72" s="22"/>
      <c r="D72" s="22"/>
      <c r="E72" s="263">
        <f>SUM(E67:E71)</f>
        <v>-1038385</v>
      </c>
      <c r="F72" s="263">
        <f t="shared" ref="F72" si="13">SUM(F67:F71)</f>
        <v>-28829.612865114992</v>
      </c>
      <c r="G72" s="263">
        <f>SUM(G67:G71)</f>
        <v>-1067214.6128651151</v>
      </c>
      <c r="H72" s="263">
        <f>SUM(H67:H71)</f>
        <v>0</v>
      </c>
      <c r="I72" s="263">
        <f>SUM(I67:I71)</f>
        <v>-1067214.6128651151</v>
      </c>
    </row>
    <row r="73" spans="1:9">
      <c r="A73" s="23">
        <v>44</v>
      </c>
      <c r="B73" s="22" t="s">
        <v>553</v>
      </c>
      <c r="C73" s="22"/>
      <c r="D73" s="21"/>
      <c r="E73" s="238">
        <f>E65+E72</f>
        <v>2086740</v>
      </c>
      <c r="F73" s="238">
        <f t="shared" ref="F73:H73" si="14">F65+F72</f>
        <v>168641.95281962765</v>
      </c>
      <c r="G73" s="446">
        <f t="shared" si="14"/>
        <v>2255381.9528196272</v>
      </c>
      <c r="H73" s="238">
        <f t="shared" si="14"/>
        <v>0</v>
      </c>
      <c r="I73" s="238">
        <f>I65+I72</f>
        <v>2255381.9528196272</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-45600</v>
      </c>
      <c r="G75" s="444">
        <f>'ADJ DETAIL-INPUT'!BC76</f>
        <v>-464571</v>
      </c>
      <c r="H75" s="294"/>
      <c r="I75" s="236">
        <f>G75+H75</f>
        <v>-464571</v>
      </c>
    </row>
    <row r="76" spans="1:9">
      <c r="A76" s="24">
        <v>46</v>
      </c>
      <c r="B76" s="22"/>
      <c r="C76" s="22" t="s">
        <v>552</v>
      </c>
      <c r="D76" s="22"/>
      <c r="E76" s="238">
        <f>SUM(E73:E75)</f>
        <v>1667769</v>
      </c>
      <c r="F76" s="238">
        <f t="shared" ref="F76:H76" si="16">SUM(F73:F75)</f>
        <v>123041.95281962765</v>
      </c>
      <c r="G76" s="446">
        <f>SUM(G73:G75)</f>
        <v>1790810.9528196272</v>
      </c>
      <c r="H76" s="238">
        <f t="shared" si="16"/>
        <v>0</v>
      </c>
      <c r="I76" s="446">
        <f>G76+H76</f>
        <v>1790810.9528196272</v>
      </c>
    </row>
    <row r="77" spans="1:9">
      <c r="A77" s="23">
        <v>47</v>
      </c>
      <c r="B77" s="22" t="s">
        <v>269</v>
      </c>
      <c r="C77" s="22"/>
      <c r="E77" s="234">
        <f>'ADJ DETAIL-INPUT'!E78</f>
        <v>-2096</v>
      </c>
      <c r="F77" s="234">
        <f t="shared" ref="F77:F78" si="17">G77-E77</f>
        <v>48132</v>
      </c>
      <c r="G77" s="446">
        <f>'ADJ DETAIL-INPUT'!BC78</f>
        <v>46036</v>
      </c>
      <c r="I77" s="238">
        <f>G77+H77</f>
        <v>46036</v>
      </c>
    </row>
    <row r="78" spans="1:9">
      <c r="A78" s="23">
        <v>48</v>
      </c>
      <c r="B78" s="22" t="s">
        <v>256</v>
      </c>
      <c r="C78" s="22"/>
      <c r="E78" s="236">
        <f>'ADJ DETAIL-INPUT'!E79</f>
        <v>44462</v>
      </c>
      <c r="F78" s="236">
        <f t="shared" si="17"/>
        <v>-3752</v>
      </c>
      <c r="G78" s="444">
        <f>'ADJ DETAIL-INPUT'!BC79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167421.95281962765</v>
      </c>
      <c r="G80" s="337">
        <f t="shared" si="19"/>
        <v>1877556.9528196272</v>
      </c>
      <c r="H80" s="337">
        <f t="shared" si="19"/>
        <v>0</v>
      </c>
      <c r="I80" s="337">
        <f t="shared" si="19"/>
        <v>1877556.9528196272</v>
      </c>
    </row>
    <row r="81" spans="1:9" ht="13.5" thickTop="1">
      <c r="A81" s="20">
        <v>51</v>
      </c>
      <c r="B81" s="2" t="s">
        <v>624</v>
      </c>
      <c r="E81" s="261">
        <f>ROUND(E56/E80,4)</f>
        <v>6.7299999999999999E-2</v>
      </c>
      <c r="G81" s="261">
        <f>ROUND(G56/G80,4)</f>
        <v>5.6500000000000002E-2</v>
      </c>
      <c r="I81" s="261">
        <f>ROUND(I56/I80,4)</f>
        <v>7.4300000000000005E-2</v>
      </c>
    </row>
    <row r="82" spans="1:9" ht="6.75" customHeight="1">
      <c r="A82" s="844"/>
      <c r="B82" s="844"/>
      <c r="C82" s="844"/>
      <c r="D82" s="844"/>
      <c r="E82" s="844"/>
      <c r="F82" s="844"/>
      <c r="G82" s="844"/>
      <c r="H82" s="844"/>
      <c r="I82" s="844"/>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3" orientation="portrait" r:id="rId1"/>
  <headerFooter scaleWithDoc="0" alignWithMargins="0">
    <oddHeader>&amp;R Exh. EMA-2</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zoomScale="85" zoomScaleNormal="85" workbookViewId="0">
      <selection activeCell="A2" sqref="A2:N2"/>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873" t="s">
        <v>89</v>
      </c>
      <c r="B1" s="873"/>
      <c r="C1" s="873"/>
      <c r="D1" s="873"/>
      <c r="E1" s="873"/>
      <c r="F1" s="873"/>
      <c r="G1" s="873"/>
      <c r="H1" s="873"/>
      <c r="I1" s="873"/>
      <c r="J1" s="873"/>
      <c r="K1" s="873"/>
      <c r="L1" s="873"/>
      <c r="M1" s="873"/>
      <c r="N1" s="873"/>
    </row>
    <row r="2" spans="1:22" ht="21.75" customHeight="1">
      <c r="A2" s="873" t="s">
        <v>116</v>
      </c>
      <c r="B2" s="873"/>
      <c r="C2" s="873"/>
      <c r="D2" s="873"/>
      <c r="E2" s="873"/>
      <c r="F2" s="873"/>
      <c r="G2" s="873"/>
      <c r="H2" s="873"/>
      <c r="I2" s="873"/>
      <c r="J2" s="873"/>
      <c r="K2" s="873"/>
      <c r="L2" s="873"/>
      <c r="M2" s="873"/>
      <c r="N2" s="873"/>
      <c r="O2" s="226"/>
    </row>
    <row r="3" spans="1:22" ht="15.75" customHeight="1">
      <c r="A3" s="873" t="s">
        <v>251</v>
      </c>
      <c r="B3" s="873"/>
      <c r="C3" s="873"/>
      <c r="D3" s="873"/>
      <c r="E3" s="873"/>
      <c r="F3" s="873"/>
      <c r="G3" s="873"/>
      <c r="H3" s="873"/>
      <c r="I3" s="873"/>
      <c r="J3" s="873"/>
      <c r="K3" s="873"/>
      <c r="L3" s="873"/>
      <c r="M3" s="873"/>
      <c r="N3" s="873"/>
      <c r="O3" s="226"/>
    </row>
    <row r="4" spans="1:22" ht="15.75" customHeight="1">
      <c r="A4" s="873" t="s">
        <v>247</v>
      </c>
      <c r="B4" s="873"/>
      <c r="C4" s="873"/>
      <c r="D4" s="873"/>
      <c r="E4" s="873"/>
      <c r="F4" s="873"/>
      <c r="G4" s="873"/>
      <c r="H4" s="873"/>
      <c r="I4" s="873"/>
      <c r="J4" s="873"/>
      <c r="K4" s="873"/>
      <c r="L4" s="873"/>
      <c r="M4" s="873"/>
      <c r="N4" s="873"/>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863" t="s">
        <v>242</v>
      </c>
      <c r="N6" s="863"/>
      <c r="O6" s="225"/>
    </row>
    <row r="7" spans="1:22">
      <c r="B7" s="49"/>
      <c r="C7" s="49"/>
      <c r="D7" s="875" t="s">
        <v>243</v>
      </c>
      <c r="E7" s="875"/>
      <c r="G7" s="875"/>
      <c r="H7" s="875"/>
      <c r="I7" s="29"/>
      <c r="J7" s="863" t="s">
        <v>244</v>
      </c>
      <c r="K7" s="863"/>
      <c r="L7" s="27"/>
      <c r="M7" s="863" t="s">
        <v>245</v>
      </c>
      <c r="N7" s="863"/>
      <c r="O7" s="225"/>
    </row>
    <row r="8" spans="1:22">
      <c r="B8" s="49"/>
      <c r="C8" s="49"/>
      <c r="D8" s="874" t="s">
        <v>78</v>
      </c>
      <c r="E8" s="874"/>
      <c r="G8" s="874" t="s">
        <v>78</v>
      </c>
      <c r="H8" s="874"/>
      <c r="I8" s="29"/>
      <c r="J8" s="874" t="s">
        <v>78</v>
      </c>
      <c r="K8" s="874"/>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7.4300000000000005E-2</v>
      </c>
      <c r="O9" s="39"/>
      <c r="Q9" s="146" t="s">
        <v>679</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15940.852833466197</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0.24477599999999999</v>
      </c>
      <c r="H11" s="52">
        <f>'ADJ DETAIL-INPUT'!F$81</f>
        <v>47</v>
      </c>
      <c r="I11" s="129"/>
      <c r="J11" s="51">
        <f t="shared" ref="J11:J13" si="0">G11-D11</f>
        <v>0</v>
      </c>
      <c r="K11" s="51">
        <f t="shared" ref="K11:K13" si="1">H11-E11</f>
        <v>0</v>
      </c>
      <c r="L11" s="44"/>
      <c r="M11" s="174">
        <f t="shared" ref="M11:M13" si="2">J11/$M$9*-1</f>
        <v>0</v>
      </c>
      <c r="N11" s="174">
        <f t="shared" ref="N11:N13" si="3">K11*$N$9/$M$9</f>
        <v>0</v>
      </c>
      <c r="O11" s="174">
        <f>(H11*$N$9/$M$9)-(G11/$M$9)</f>
        <v>4.2994171805945767</v>
      </c>
      <c r="P11" s="222">
        <f>SUM(M11:N11)</f>
        <v>0</v>
      </c>
      <c r="Q11" s="175">
        <f t="shared" ref="Q11:Q13" si="4">SUM(M11:N11)</f>
        <v>0</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-45.024792000000005</v>
      </c>
      <c r="H12" s="52">
        <f>'ADJ DETAIL-INPUT'!G$81</f>
        <v>1</v>
      </c>
      <c r="I12" s="129"/>
      <c r="J12" s="51">
        <f t="shared" si="0"/>
        <v>0</v>
      </c>
      <c r="K12" s="51">
        <f t="shared" si="1"/>
        <v>0</v>
      </c>
      <c r="L12" s="182"/>
      <c r="M12" s="174">
        <f t="shared" si="2"/>
        <v>0</v>
      </c>
      <c r="N12" s="174">
        <f t="shared" si="3"/>
        <v>0</v>
      </c>
      <c r="O12" s="174">
        <f t="shared" ref="O12:O38" si="5">(H12*$N$9/$M$9)-(G12/$M$9)</f>
        <v>59.710645126268716</v>
      </c>
      <c r="P12" s="222">
        <f t="shared" ref="P12:P13" si="6">SUM(M12:N12)</f>
        <v>0</v>
      </c>
      <c r="Q12" s="175">
        <f t="shared" si="4"/>
        <v>0</v>
      </c>
      <c r="R12" s="134"/>
      <c r="S12" s="149"/>
    </row>
    <row r="13" spans="1:22" ht="12.75" customHeight="1">
      <c r="A13" s="327">
        <f>'ADJ DETAIL-INPUT'!H$10</f>
        <v>1.03</v>
      </c>
      <c r="B13" s="872" t="str">
        <f>TRIM(CONCATENATE('ADJ DETAIL-INPUT'!H$7," ",'ADJ DETAIL-INPUT'!H$8," ",'ADJ DETAIL-INPUT'!H$9))</f>
        <v>Working Capital</v>
      </c>
      <c r="C13" s="872"/>
      <c r="D13" s="52">
        <v>-19.540416</v>
      </c>
      <c r="E13" s="52">
        <v>-3752</v>
      </c>
      <c r="F13" s="50"/>
      <c r="G13" s="52">
        <f>'ADJ DETAIL-INPUT'!H$57</f>
        <v>-19.540416</v>
      </c>
      <c r="H13" s="52">
        <f>'ADJ DETAIL-INPUT'!H$81</f>
        <v>-3752</v>
      </c>
      <c r="I13" s="59"/>
      <c r="J13" s="51">
        <f t="shared" si="0"/>
        <v>0</v>
      </c>
      <c r="K13" s="51">
        <f t="shared" si="1"/>
        <v>0</v>
      </c>
      <c r="M13" s="174">
        <f t="shared" si="2"/>
        <v>0</v>
      </c>
      <c r="N13" s="174">
        <f t="shared" si="3"/>
        <v>0</v>
      </c>
      <c r="O13" s="174">
        <f t="shared" si="5"/>
        <v>-343.22155875725218</v>
      </c>
      <c r="P13" s="222">
        <f t="shared" si="6"/>
        <v>0</v>
      </c>
      <c r="Q13" s="175">
        <f t="shared" si="4"/>
        <v>0</v>
      </c>
      <c r="R13" s="227"/>
      <c r="S13" s="692"/>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-251.483904</v>
      </c>
      <c r="H14" s="52">
        <f>'ADJ DETAIL-INPUT'!I$81</f>
        <v>-48288</v>
      </c>
      <c r="I14" s="59"/>
      <c r="J14" s="51">
        <f t="shared" ref="J14" si="7">G14-D14</f>
        <v>0</v>
      </c>
      <c r="K14" s="51">
        <f t="shared" ref="K14" si="8">H14-E14</f>
        <v>0</v>
      </c>
      <c r="M14" s="174">
        <f t="shared" ref="M14" si="9">J14/$M$9*-1</f>
        <v>0</v>
      </c>
      <c r="N14" s="174">
        <f t="shared" ref="N14" si="10">K14*$N$9/$M$9</f>
        <v>0</v>
      </c>
      <c r="O14" s="174">
        <f t="shared" ref="O14" si="11">(H14*$N$9/$M$9)-(G14/$M$9)</f>
        <v>-4417.2395067351263</v>
      </c>
      <c r="P14" s="222">
        <f t="shared" ref="P14" si="12">SUM(M14:N14)</f>
        <v>0</v>
      </c>
      <c r="Q14" s="175">
        <f t="shared" ref="Q14" si="13">SUM(M14:N14)</f>
        <v>0</v>
      </c>
      <c r="R14" s="227"/>
      <c r="S14" s="692"/>
      <c r="V14" s="36"/>
    </row>
    <row r="15" spans="1:22">
      <c r="A15" s="328"/>
      <c r="B15" s="25" t="s">
        <v>83</v>
      </c>
      <c r="D15" s="37">
        <f>SUM(D10:D14)</f>
        <v>114707.19566400001</v>
      </c>
      <c r="E15" s="37">
        <f>SUM(E10:E14)</f>
        <v>1658143</v>
      </c>
      <c r="G15" s="37">
        <f>SUM(G10:G14)</f>
        <v>114707.19566400001</v>
      </c>
      <c r="H15" s="37">
        <f>SUM(H10:H14)</f>
        <v>1658143</v>
      </c>
      <c r="I15" s="57"/>
      <c r="J15" s="37">
        <f>SUM(J10:J14)</f>
        <v>0</v>
      </c>
      <c r="K15" s="37">
        <f>SUM(K10:K14)</f>
        <v>0</v>
      </c>
      <c r="L15" s="28"/>
      <c r="M15" s="37">
        <f>SUM(M10:M14)</f>
        <v>0</v>
      </c>
      <c r="N15" s="37">
        <f>SUM(N10:N14)</f>
        <v>0</v>
      </c>
      <c r="O15" s="174">
        <f t="shared" si="5"/>
        <v>11244.401830280636</v>
      </c>
      <c r="S15" s="146"/>
    </row>
    <row r="16" spans="1:22">
      <c r="A16" s="326"/>
      <c r="G16" s="38"/>
      <c r="H16" s="38"/>
      <c r="I16" s="59"/>
      <c r="J16" s="34"/>
      <c r="K16" s="168"/>
      <c r="L16" s="28"/>
      <c r="O16" s="174">
        <f t="shared" si="5"/>
        <v>0</v>
      </c>
      <c r="S16" s="693"/>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94"/>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94"/>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92"/>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293.88</v>
      </c>
      <c r="H20" s="52">
        <f>'ADJ DETAIL-INPUT'!M$81</f>
        <v>0</v>
      </c>
      <c r="I20" s="59"/>
      <c r="J20" s="51">
        <f t="shared" si="14"/>
        <v>0</v>
      </c>
      <c r="K20" s="51">
        <f t="shared" si="15"/>
        <v>0</v>
      </c>
      <c r="L20" s="183"/>
      <c r="M20" s="174">
        <f t="shared" si="16"/>
        <v>0</v>
      </c>
      <c r="N20" s="174">
        <f t="shared" si="17"/>
        <v>0</v>
      </c>
      <c r="O20" s="174">
        <f t="shared" si="5"/>
        <v>-389.09351855039228</v>
      </c>
      <c r="P20" s="222">
        <f t="shared" si="18"/>
        <v>0</v>
      </c>
      <c r="Q20" s="175">
        <f t="shared" si="19"/>
        <v>0</v>
      </c>
      <c r="R20" s="203"/>
      <c r="S20" s="692"/>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-40.29</v>
      </c>
      <c r="H21" s="52">
        <f>'ADJ DETAIL-INPUT'!N$81</f>
        <v>0</v>
      </c>
      <c r="I21" s="59"/>
      <c r="J21" s="51">
        <f t="shared" si="14"/>
        <v>0</v>
      </c>
      <c r="K21" s="51">
        <f t="shared" si="15"/>
        <v>0</v>
      </c>
      <c r="L21" s="183"/>
      <c r="M21" s="174">
        <f t="shared" si="16"/>
        <v>0</v>
      </c>
      <c r="N21" s="174">
        <f t="shared" si="17"/>
        <v>0</v>
      </c>
      <c r="O21" s="174">
        <f t="shared" si="5"/>
        <v>53.343466252876361</v>
      </c>
      <c r="P21" s="222">
        <f t="shared" si="18"/>
        <v>0</v>
      </c>
      <c r="Q21" s="175">
        <f t="shared" si="19"/>
        <v>0</v>
      </c>
      <c r="R21" s="203"/>
      <c r="S21" s="692"/>
      <c r="V21" s="530"/>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92"/>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92"/>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92"/>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92"/>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92"/>
      <c r="T28" s="691"/>
      <c r="U28" s="540"/>
      <c r="V28" s="540"/>
      <c r="W28" s="540"/>
      <c r="X28" s="540"/>
      <c r="Y28" s="540"/>
      <c r="Z28" s="540"/>
      <c r="AA28" s="540"/>
      <c r="AB28" s="540"/>
      <c r="AC28" s="540"/>
      <c r="AD28" s="540"/>
      <c r="AE28" s="540"/>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-594.87</v>
      </c>
      <c r="H29" s="52">
        <f>'ADJ DETAIL-INPUT'!V$81</f>
        <v>0</v>
      </c>
      <c r="I29" s="59"/>
      <c r="J29" s="51">
        <f t="shared" ref="J29" si="24">G29-D29</f>
        <v>0</v>
      </c>
      <c r="K29" s="51">
        <f t="shared" ref="K29" si="25">H29-E29</f>
        <v>0</v>
      </c>
      <c r="L29" s="183"/>
      <c r="M29" s="174">
        <f t="shared" ref="M29" si="26">J29/$M$9*-1</f>
        <v>0</v>
      </c>
      <c r="N29" s="174">
        <f t="shared" ref="N29" si="27">K29*$N$9/$M$9</f>
        <v>0</v>
      </c>
      <c r="O29" s="174">
        <f>(H29*$N$9/$M$9)-(G29/$M$9)</f>
        <v>787.60058996893918</v>
      </c>
      <c r="P29" s="222">
        <f>SUM(M29:N29)</f>
        <v>0</v>
      </c>
      <c r="Q29" s="175">
        <f>SUM(M29:N29)</f>
        <v>0</v>
      </c>
      <c r="R29" s="203"/>
      <c r="S29" s="692"/>
      <c r="T29" s="691"/>
      <c r="U29" s="540"/>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-934</v>
      </c>
      <c r="H30" s="135">
        <f>'ADJ DETAIL-INPUT'!W$81</f>
        <v>0</v>
      </c>
      <c r="I30" s="172"/>
      <c r="J30" s="51">
        <f>G30-D30</f>
        <v>0</v>
      </c>
      <c r="K30" s="51">
        <f>H30-E30</f>
        <v>0</v>
      </c>
      <c r="L30" s="184"/>
      <c r="M30" s="174">
        <f>J30/$M$9*-1</f>
        <v>0</v>
      </c>
      <c r="N30" s="174">
        <f>K30*$N$9/$M$9</f>
        <v>0</v>
      </c>
      <c r="O30" s="174">
        <f>(H30*$N$9/$M$9)-(G30/$M$9)</f>
        <v>1236.6045539882482</v>
      </c>
      <c r="P30" s="222">
        <f>SUM(M30:N30)</f>
        <v>0</v>
      </c>
      <c r="Q30" s="175">
        <f>SUM(M30:N30)</f>
        <v>0</v>
      </c>
      <c r="R30" s="162"/>
      <c r="S30" s="692"/>
      <c r="T30" s="691"/>
      <c r="U30" s="540"/>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91"/>
      <c r="U31" s="540"/>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92"/>
      <c r="T32" s="691"/>
      <c r="U32" s="540"/>
      <c r="V32" s="45"/>
      <c r="W32" s="45"/>
      <c r="X32" s="45"/>
      <c r="Y32" s="45"/>
      <c r="Z32" s="45"/>
      <c r="AA32" s="45"/>
      <c r="AB32" s="45"/>
      <c r="AC32" s="45"/>
      <c r="AD32" s="45"/>
      <c r="AE32" s="45"/>
    </row>
    <row r="33" spans="1:31">
      <c r="A33" s="473">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92"/>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92"/>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-1356.6166570440068</v>
      </c>
      <c r="H35" s="135">
        <f>'ADJ DETAIL-INPUT'!AB$81</f>
        <v>21049.028985405777</v>
      </c>
      <c r="I35" s="172"/>
      <c r="J35" s="51">
        <f t="shared" ref="J35" si="34">G35-D35</f>
        <v>0</v>
      </c>
      <c r="K35" s="51">
        <f t="shared" ref="K35" si="35">H35-E35</f>
        <v>0</v>
      </c>
      <c r="L35" s="184"/>
      <c r="M35" s="174">
        <f t="shared" ref="M35" si="36">J35/$M$9*-1</f>
        <v>0</v>
      </c>
      <c r="N35" s="174">
        <f t="shared" ref="N35" si="37">K35*$N$9/$M$9</f>
        <v>0</v>
      </c>
      <c r="O35" s="174">
        <f>(H35*$N$9/$M$9)-(G35/$M$9)</f>
        <v>3866.7850011514138</v>
      </c>
      <c r="P35" s="222">
        <f>SUM(M35:N35)</f>
        <v>0</v>
      </c>
      <c r="Q35" s="175">
        <f t="shared" si="19"/>
        <v>0</v>
      </c>
      <c r="R35" s="429"/>
      <c r="S35" s="692"/>
      <c r="U35" s="408"/>
      <c r="V35" s="541"/>
      <c r="W35" s="138"/>
      <c r="X35" s="541"/>
      <c r="Y35" s="138"/>
      <c r="Z35" s="542"/>
      <c r="AA35" s="138"/>
      <c r="AB35" s="138"/>
      <c r="AC35" s="408"/>
      <c r="AD35" s="408"/>
      <c r="AE35" s="408"/>
    </row>
    <row r="36" spans="1:31" s="107" customFormat="1">
      <c r="A36" s="330"/>
      <c r="B36" s="49"/>
      <c r="C36" s="50"/>
      <c r="D36" s="191"/>
      <c r="E36" s="191"/>
      <c r="F36" s="50"/>
      <c r="G36" s="122"/>
      <c r="H36" s="122"/>
      <c r="I36" s="59"/>
      <c r="J36" s="193"/>
      <c r="K36" s="191"/>
      <c r="L36" s="185"/>
      <c r="M36" s="194"/>
      <c r="N36" s="194"/>
      <c r="O36" s="174"/>
      <c r="P36" s="221"/>
      <c r="Q36" s="215"/>
      <c r="R36" s="232"/>
      <c r="S36" s="692"/>
      <c r="U36" s="27"/>
      <c r="V36" s="535"/>
      <c r="W36" s="27"/>
      <c r="X36" s="535"/>
      <c r="Y36" s="27"/>
      <c r="Z36" s="535"/>
      <c r="AA36" s="27"/>
      <c r="AB36" s="27"/>
      <c r="AC36" s="543"/>
      <c r="AD36" s="543"/>
      <c r="AE36" s="543"/>
    </row>
    <row r="37" spans="1:31" ht="13.5" thickBot="1">
      <c r="A37" s="331"/>
      <c r="B37" s="25" t="s">
        <v>84</v>
      </c>
      <c r="D37" s="42">
        <f>SUM(D15:D36)</f>
        <v>106569.22900695603</v>
      </c>
      <c r="E37" s="42">
        <f>SUM(E15:E36)</f>
        <v>1679192.0289854058</v>
      </c>
      <c r="G37" s="42">
        <f>SUM(G15:G36)</f>
        <v>106569.22900695603</v>
      </c>
      <c r="H37" s="42">
        <f>SUM(H15:H36)</f>
        <v>1679192.0289854058</v>
      </c>
      <c r="I37" s="57"/>
      <c r="J37" s="42">
        <f>SUM(J15:J36)</f>
        <v>0</v>
      </c>
      <c r="K37" s="42">
        <f>SUM(K15:K36)</f>
        <v>0</v>
      </c>
      <c r="L37" s="28"/>
      <c r="M37" s="42">
        <f>SUM(M15:M36)</f>
        <v>0</v>
      </c>
      <c r="N37" s="42">
        <f>SUM(N15:N36)</f>
        <v>0</v>
      </c>
      <c r="O37" s="174">
        <f t="shared" si="5"/>
        <v>24089.61112713677</v>
      </c>
      <c r="R37" s="162"/>
      <c r="S37" s="217"/>
      <c r="U37" s="27"/>
      <c r="V37" s="33"/>
      <c r="W37" s="27"/>
      <c r="X37" s="33"/>
      <c r="Y37" s="27"/>
      <c r="Z37" s="535"/>
      <c r="AA37" s="27"/>
      <c r="AB37" s="27"/>
      <c r="AC37" s="27"/>
      <c r="AD37" s="27"/>
      <c r="AE37" s="27"/>
    </row>
    <row r="38" spans="1:31" ht="14.25" customHeight="1" thickTop="1">
      <c r="A38" s="482" t="s">
        <v>273</v>
      </c>
      <c r="B38" s="146"/>
      <c r="C38" s="146"/>
      <c r="D38" s="146"/>
      <c r="E38" s="146"/>
      <c r="G38" s="119"/>
      <c r="H38" s="33"/>
      <c r="I38" s="57"/>
      <c r="J38" s="34"/>
      <c r="K38" s="130"/>
      <c r="L38" s="28"/>
      <c r="O38" s="174">
        <f t="shared" si="5"/>
        <v>0</v>
      </c>
      <c r="R38" s="162"/>
      <c r="S38" s="217"/>
      <c r="U38" s="59"/>
      <c r="V38" s="33"/>
      <c r="W38" s="27"/>
      <c r="X38" s="33"/>
      <c r="Y38" s="27"/>
      <c r="Z38" s="535"/>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11520.57</v>
      </c>
      <c r="H39" s="52">
        <f>'ADJ DETAIL-INPUT'!AD$81</f>
        <v>0</v>
      </c>
      <c r="I39" s="59"/>
      <c r="J39" s="51">
        <f t="shared" ref="J39:J61" si="38">G39-D39</f>
        <v>0</v>
      </c>
      <c r="K39" s="51">
        <f t="shared" ref="K39:K61" si="39">H39-E39</f>
        <v>0</v>
      </c>
      <c r="L39" s="28"/>
      <c r="M39" s="174">
        <f t="shared" ref="M39:M61" si="40">J39/$M$9*-1</f>
        <v>0</v>
      </c>
      <c r="N39" s="174">
        <f t="shared" ref="N39:N61" si="41">K39*$N$9/$M$9</f>
        <v>0</v>
      </c>
      <c r="O39" s="174">
        <f t="shared" ref="O39:O46" si="42">(H39*$N$9/$M$9)-(G39/$M$9)</f>
        <v>-15253.093497366588</v>
      </c>
      <c r="P39" s="222">
        <f t="shared" ref="P39:P46" si="43">SUM(M39:N39)</f>
        <v>0</v>
      </c>
      <c r="Q39" s="175">
        <f t="shared" ref="Q39:Q61" si="44">SUM(M39:N39)</f>
        <v>0</v>
      </c>
      <c r="R39" s="162"/>
      <c r="S39" s="217"/>
      <c r="U39" s="27"/>
      <c r="V39" s="27"/>
      <c r="W39" s="27"/>
      <c r="X39" s="33"/>
      <c r="Y39" s="27"/>
      <c r="Z39" s="535"/>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52">
        <v>872.95</v>
      </c>
      <c r="E40" s="52">
        <v>0</v>
      </c>
      <c r="F40" s="50"/>
      <c r="G40" s="52">
        <f>'ADJ DETAIL-INPUT'!AE$57</f>
        <v>872.95</v>
      </c>
      <c r="H40" s="52">
        <f>'ADJ DETAIL-INPUT'!AE$81</f>
        <v>0</v>
      </c>
      <c r="I40" s="59"/>
      <c r="J40" s="51">
        <f t="shared" ref="J40" si="45">G40-D40</f>
        <v>0</v>
      </c>
      <c r="K40" s="51">
        <f t="shared" ref="K40" si="46">H40-E40</f>
        <v>0</v>
      </c>
      <c r="L40" s="840"/>
      <c r="M40" s="174">
        <f t="shared" ref="M40" si="47">J40/$M$9*-1</f>
        <v>0</v>
      </c>
      <c r="N40" s="174">
        <f t="shared" ref="N40" si="48">K40*$N$9/$M$9</f>
        <v>0</v>
      </c>
      <c r="O40" s="174">
        <f t="shared" ref="O40" si="49">(H40*$N$9/$M$9)-(G40/$M$9)</f>
        <v>-1155.7751021456545</v>
      </c>
      <c r="P40" s="222">
        <f t="shared" ref="P40" si="50">SUM(M40:N40)</f>
        <v>0</v>
      </c>
      <c r="Q40" s="175">
        <f t="shared" ref="Q40" si="51">SUM(M40:N40)</f>
        <v>0</v>
      </c>
      <c r="R40" s="429"/>
      <c r="S40" s="217"/>
      <c r="U40" s="27"/>
      <c r="V40" s="27"/>
      <c r="W40" s="27"/>
      <c r="X40" s="33"/>
      <c r="Y40" s="27"/>
      <c r="Z40" s="535"/>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11740.19</v>
      </c>
      <c r="H41" s="52">
        <f>'ADJ DETAIL-INPUT'!AF$81</f>
        <v>0</v>
      </c>
      <c r="I41" s="59"/>
      <c r="J41" s="51">
        <f t="shared" ref="J41" si="52">G41-D41</f>
        <v>0</v>
      </c>
      <c r="K41" s="51">
        <f t="shared" ref="K41" si="53">H41-E41</f>
        <v>0</v>
      </c>
      <c r="L41" s="840"/>
      <c r="M41" s="174">
        <f t="shared" ref="M41" si="54">J41/$M$9*-1</f>
        <v>0</v>
      </c>
      <c r="N41" s="174">
        <f t="shared" ref="N41" si="55">K41*$N$9/$M$9</f>
        <v>0</v>
      </c>
      <c r="O41" s="174">
        <f t="shared" ref="O41" si="56">(H41*$N$9/$M$9)-(G41/$M$9)</f>
        <v>-15543.867685960699</v>
      </c>
      <c r="P41" s="222">
        <f t="shared" ref="P41" si="57">SUM(M41:N41)</f>
        <v>0</v>
      </c>
      <c r="Q41" s="175">
        <f t="shared" ref="Q41" si="58">SUM(M41:N41)</f>
        <v>0</v>
      </c>
      <c r="R41" s="429"/>
      <c r="S41" s="217"/>
      <c r="U41" s="27"/>
      <c r="V41" s="27"/>
      <c r="W41" s="27"/>
      <c r="X41" s="33"/>
      <c r="Y41" s="27"/>
      <c r="Z41" s="535"/>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1905.4406719999999</v>
      </c>
      <c r="H42" s="52">
        <f>'ADJ DETAIL-INPUT'!AG$81</f>
        <v>-766</v>
      </c>
      <c r="I42" s="59"/>
      <c r="J42" s="51">
        <f>G42-D42</f>
        <v>0</v>
      </c>
      <c r="K42" s="51">
        <f>H42-E42</f>
        <v>0</v>
      </c>
      <c r="M42" s="174">
        <f>J42/$M$9*-1</f>
        <v>0</v>
      </c>
      <c r="N42" s="174">
        <f>K42*$N$9/$M$9</f>
        <v>0</v>
      </c>
      <c r="O42" s="174">
        <f>(H42*$N$9/$M$9)-(G42/$M$9)</f>
        <v>-2598.1332726064288</v>
      </c>
      <c r="P42" s="222">
        <f>SUM(M42:N42)</f>
        <v>0</v>
      </c>
      <c r="Q42" s="175">
        <f>SUM(M42:N42)</f>
        <v>0</v>
      </c>
      <c r="R42" s="202"/>
      <c r="S42" s="220"/>
      <c r="U42" s="517"/>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500</v>
      </c>
      <c r="H43" s="52">
        <f>'ADJ DETAIL-INPUT'!AH$81</f>
        <v>0</v>
      </c>
      <c r="I43" s="59"/>
      <c r="J43" s="51">
        <f>G43-D43</f>
        <v>0</v>
      </c>
      <c r="K43" s="51">
        <f>H43-E43</f>
        <v>0</v>
      </c>
      <c r="M43" s="174">
        <f>J43/$M$9*-1</f>
        <v>0</v>
      </c>
      <c r="N43" s="174">
        <f>K43*$N$9/$M$9</f>
        <v>0</v>
      </c>
      <c r="O43" s="174">
        <f>(H43*$N$9/$M$9)-(G43/$M$9)</f>
        <v>-661.99387258471529</v>
      </c>
      <c r="P43" s="222">
        <f>SUM(M43:N43)</f>
        <v>0</v>
      </c>
      <c r="Q43" s="175">
        <f>SUM(M43:N43)</f>
        <v>0</v>
      </c>
      <c r="R43" s="202"/>
      <c r="S43" s="220"/>
      <c r="U43" s="517"/>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-2580.9300000000003</v>
      </c>
      <c r="H44" s="52">
        <f>'ADJ DETAIL-INPUT'!AI$81</f>
        <v>0</v>
      </c>
      <c r="I44" s="59"/>
      <c r="J44" s="51">
        <f t="shared" si="38"/>
        <v>0</v>
      </c>
      <c r="K44" s="51">
        <f t="shared" si="39"/>
        <v>0</v>
      </c>
      <c r="L44" s="28"/>
      <c r="M44" s="174">
        <f t="shared" si="40"/>
        <v>0</v>
      </c>
      <c r="N44" s="174">
        <f t="shared" si="41"/>
        <v>0</v>
      </c>
      <c r="O44" s="174">
        <f t="shared" si="42"/>
        <v>3417.1196911401389</v>
      </c>
      <c r="P44" s="222">
        <f t="shared" si="43"/>
        <v>0</v>
      </c>
      <c r="Q44" s="175">
        <f t="shared" si="44"/>
        <v>0</v>
      </c>
      <c r="R44" s="162"/>
      <c r="S44" s="217"/>
      <c r="U44" s="27"/>
      <c r="V44" s="535"/>
      <c r="W44" s="27"/>
      <c r="X44" s="535"/>
      <c r="Y44" s="27"/>
      <c r="Z44" s="535"/>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-884.8</v>
      </c>
      <c r="H46" s="52">
        <f>'ADJ DETAIL-INPUT'!AK$81</f>
        <v>0</v>
      </c>
      <c r="I46" s="59"/>
      <c r="J46" s="51">
        <f t="shared" si="38"/>
        <v>0</v>
      </c>
      <c r="K46" s="51">
        <f t="shared" si="39"/>
        <v>0</v>
      </c>
      <c r="M46" s="174">
        <f t="shared" si="40"/>
        <v>0</v>
      </c>
      <c r="N46" s="174">
        <f t="shared" si="41"/>
        <v>0</v>
      </c>
      <c r="O46" s="174">
        <f t="shared" si="42"/>
        <v>1171.4643569259122</v>
      </c>
      <c r="P46" s="222">
        <f t="shared" si="43"/>
        <v>0</v>
      </c>
      <c r="Q46" s="175">
        <f t="shared" si="44"/>
        <v>0</v>
      </c>
      <c r="R46" s="202"/>
      <c r="S46" s="220"/>
      <c r="U46" s="517"/>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-2795.81</v>
      </c>
      <c r="H47" s="135">
        <f>'ADJ DETAIL-INPUT'!AL$81</f>
        <v>0</v>
      </c>
      <c r="I47" s="172"/>
      <c r="J47" s="51">
        <f>G47-D47</f>
        <v>0</v>
      </c>
      <c r="K47" s="51">
        <f>H47-E47</f>
        <v>0</v>
      </c>
      <c r="L47" s="184"/>
      <c r="M47" s="174">
        <f>J47/$M$9*-1</f>
        <v>0</v>
      </c>
      <c r="N47" s="174">
        <f>K47*$N$9/$M$9</f>
        <v>0</v>
      </c>
      <c r="O47" s="174">
        <f>(H47*$N$9/$M$9)-(G47/$M$9)</f>
        <v>3701.6181778221458</v>
      </c>
      <c r="P47" s="222">
        <f>SUM(M47:N47)</f>
        <v>0</v>
      </c>
      <c r="Q47" s="175">
        <f t="shared" si="44"/>
        <v>0</v>
      </c>
      <c r="R47" s="205"/>
      <c r="S47" s="217"/>
      <c r="U47" s="517"/>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-1590.27</v>
      </c>
      <c r="H48" s="52">
        <f>'ADJ DETAIL-INPUT'!AM$81</f>
        <v>0</v>
      </c>
      <c r="I48" s="59"/>
      <c r="J48" s="51">
        <f t="shared" ref="J48" si="59">G48-D48</f>
        <v>0</v>
      </c>
      <c r="K48" s="51">
        <f t="shared" ref="K48" si="60">H48-E48</f>
        <v>0</v>
      </c>
      <c r="L48" s="183"/>
      <c r="M48" s="174">
        <f t="shared" ref="M48" si="61">J48/$M$9*-1</f>
        <v>0</v>
      </c>
      <c r="N48" s="174">
        <f t="shared" ref="N48" si="62">K48*$N$9/$M$9</f>
        <v>0</v>
      </c>
      <c r="O48" s="174">
        <f>(H48*$N$9/$M$9)-(G48/$M$9)</f>
        <v>2105.4979915105905</v>
      </c>
      <c r="P48" s="222">
        <f>SUM(M48:N48)</f>
        <v>0</v>
      </c>
      <c r="Q48" s="175">
        <f t="shared" si="44"/>
        <v>0</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-1349.32</v>
      </c>
      <c r="H49" s="52">
        <f>'ADJ DETAIL-INPUT'!AN$81</f>
        <v>0</v>
      </c>
      <c r="I49" s="59"/>
      <c r="J49" s="51">
        <f>G49-D49</f>
        <v>0</v>
      </c>
      <c r="K49" s="51">
        <f>H49-E49</f>
        <v>0</v>
      </c>
      <c r="L49" s="183"/>
      <c r="M49" s="174">
        <f>J49/$M$9*-1</f>
        <v>0</v>
      </c>
      <c r="N49" s="174">
        <f>K49*$N$9/$M$9</f>
        <v>0</v>
      </c>
      <c r="O49" s="174">
        <f>(H49*$N$9/$M$9)-(G49/$M$9)</f>
        <v>1786.4831443120161</v>
      </c>
      <c r="P49" s="222">
        <f>SUM(M49:N49)</f>
        <v>0</v>
      </c>
      <c r="Q49" s="175">
        <f>SUM(M49:N49)</f>
        <v>0</v>
      </c>
      <c r="R49" s="203"/>
      <c r="S49" s="217"/>
      <c r="U49" s="544"/>
      <c r="V49" s="33"/>
      <c r="W49" s="45"/>
      <c r="X49" s="45"/>
      <c r="Y49" s="45"/>
      <c r="Z49" s="45"/>
      <c r="AA49" s="45"/>
      <c r="AB49" s="45"/>
      <c r="AC49" s="45"/>
      <c r="AD49" s="45"/>
      <c r="AE49" s="45"/>
    </row>
    <row r="50" spans="1:31">
      <c r="A50" s="473">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3">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-1403.5019231731299</v>
      </c>
      <c r="H51" s="109">
        <f>'ADJ DETAIL-INPUT'!AP$81</f>
        <v>9316.0669790457214</v>
      </c>
      <c r="I51" s="59"/>
      <c r="J51" s="51">
        <f>G51-D51</f>
        <v>0</v>
      </c>
      <c r="K51" s="51">
        <f>H51-E51</f>
        <v>0</v>
      </c>
      <c r="L51" s="29"/>
      <c r="M51" s="174">
        <f>J51/$M$9*-1</f>
        <v>0</v>
      </c>
      <c r="N51" s="174">
        <f>K51*$N$9/$M$9</f>
        <v>0</v>
      </c>
      <c r="O51" s="174">
        <f>(H51*$N$9/$M$9)-(G51/$M$9)</f>
        <v>2774.6621841511078</v>
      </c>
      <c r="P51" s="222">
        <f>SUM(M51:N51)</f>
        <v>0</v>
      </c>
      <c r="Q51" s="175">
        <f>SUM(M51:N51)</f>
        <v>0</v>
      </c>
      <c r="R51" s="162"/>
      <c r="S51" s="217"/>
      <c r="U51" s="27"/>
      <c r="V51" s="535"/>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-237.87314855879669</v>
      </c>
      <c r="H52" s="151">
        <f>'ADJ DETAIL-INPUT'!AQ$81</f>
        <v>23307.524261841289</v>
      </c>
      <c r="I52" s="173"/>
      <c r="J52" s="51">
        <f t="shared" si="38"/>
        <v>0</v>
      </c>
      <c r="K52" s="51">
        <f t="shared" si="39"/>
        <v>0</v>
      </c>
      <c r="L52" s="40"/>
      <c r="M52" s="174">
        <f t="shared" si="40"/>
        <v>0</v>
      </c>
      <c r="N52" s="174">
        <f t="shared" si="41"/>
        <v>0</v>
      </c>
      <c r="O52" s="174">
        <f t="shared" ref="O52" si="69">(H52*$N$9/$M$9)-(G52/$M$9)</f>
        <v>2607.7556570204511</v>
      </c>
      <c r="P52" s="222">
        <f t="shared" ref="P52" si="70">SUM(M52:N52)</f>
        <v>0</v>
      </c>
      <c r="Q52" s="175">
        <f t="shared" si="44"/>
        <v>0</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-749.11178108126501</v>
      </c>
      <c r="H53" s="151">
        <f>'ADJ DETAIL-INPUT'!AR$81</f>
        <v>51537.676443689525</v>
      </c>
      <c r="I53" s="173"/>
      <c r="J53" s="51">
        <f t="shared" ref="J53:J58" si="71">G53-D53</f>
        <v>0</v>
      </c>
      <c r="K53" s="51">
        <f t="shared" ref="K53:K58" si="72">H53-E53</f>
        <v>0</v>
      </c>
      <c r="L53" s="516"/>
      <c r="M53" s="174">
        <f t="shared" ref="M53:M58" si="73">J53/$M$9*-1</f>
        <v>0</v>
      </c>
      <c r="N53" s="174">
        <f t="shared" ref="N53:N58" si="74">K53*$N$9/$M$9</f>
        <v>0</v>
      </c>
      <c r="O53" s="174">
        <f t="shared" ref="O53:O58" si="75">(H53*$N$9/$M$9)-(G53/$M$9)</f>
        <v>6061.6940434418875</v>
      </c>
      <c r="P53" s="222">
        <f t="shared" ref="P53:P58" si="76">SUM(M53:N53)</f>
        <v>0</v>
      </c>
      <c r="Q53" s="175">
        <f t="shared" ref="Q53:Q58" si="77">SUM(M53:N53)</f>
        <v>0</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-375.20826212708823</v>
      </c>
      <c r="H54" s="151">
        <f>'ADJ DETAIL-INPUT'!AS$81</f>
        <v>35583.899668735903</v>
      </c>
      <c r="I54" s="173"/>
      <c r="J54" s="51">
        <f t="shared" si="71"/>
        <v>0</v>
      </c>
      <c r="K54" s="51">
        <f t="shared" si="72"/>
        <v>0</v>
      </c>
      <c r="L54" s="516"/>
      <c r="M54" s="174">
        <f t="shared" si="73"/>
        <v>0</v>
      </c>
      <c r="N54" s="174">
        <f t="shared" si="74"/>
        <v>0</v>
      </c>
      <c r="O54" s="174">
        <f t="shared" si="75"/>
        <v>3997.2408194877307</v>
      </c>
      <c r="P54" s="222">
        <f t="shared" si="76"/>
        <v>0</v>
      </c>
      <c r="Q54" s="175">
        <f t="shared" si="77"/>
        <v>0</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-1496.0519802474223</v>
      </c>
      <c r="H55" s="151">
        <f>'ADJ DETAIL-INPUT'!AT$81</f>
        <v>10885.756480909702</v>
      </c>
      <c r="I55" s="173"/>
      <c r="J55" s="51">
        <f t="shared" si="71"/>
        <v>0</v>
      </c>
      <c r="K55" s="51">
        <f t="shared" si="72"/>
        <v>0</v>
      </c>
      <c r="L55" s="516"/>
      <c r="M55" s="174">
        <f t="shared" si="73"/>
        <v>0</v>
      </c>
      <c r="N55" s="174">
        <f t="shared" si="74"/>
        <v>0</v>
      </c>
      <c r="O55" s="174">
        <f t="shared" si="75"/>
        <v>3051.6112755814465</v>
      </c>
      <c r="P55" s="222">
        <f t="shared" si="76"/>
        <v>0</v>
      </c>
      <c r="Q55" s="175">
        <f t="shared" si="77"/>
        <v>0</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-7152.9950960000006</v>
      </c>
      <c r="H56" s="151">
        <f>'ADJ DETAIL-INPUT'!AU$81</f>
        <v>92163</v>
      </c>
      <c r="I56" s="173"/>
      <c r="J56" s="51">
        <f t="shared" si="71"/>
        <v>0</v>
      </c>
      <c r="K56" s="51">
        <f t="shared" si="72"/>
        <v>0</v>
      </c>
      <c r="L56" s="516"/>
      <c r="M56" s="174">
        <f t="shared" si="73"/>
        <v>0</v>
      </c>
      <c r="N56" s="174">
        <f t="shared" si="74"/>
        <v>0</v>
      </c>
      <c r="O56" s="174">
        <f t="shared" si="75"/>
        <v>18536.763162424169</v>
      </c>
      <c r="P56" s="222">
        <f t="shared" si="76"/>
        <v>0</v>
      </c>
      <c r="Q56" s="175">
        <f t="shared" si="77"/>
        <v>0</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-3358.6597919999999</v>
      </c>
      <c r="H57" s="151">
        <f>'ADJ DETAIL-INPUT'!AV$81</f>
        <v>13126</v>
      </c>
      <c r="I57" s="173"/>
      <c r="J57" s="51">
        <f t="shared" si="71"/>
        <v>0</v>
      </c>
      <c r="K57" s="51">
        <f t="shared" si="72"/>
        <v>0</v>
      </c>
      <c r="L57" s="516"/>
      <c r="M57" s="174">
        <f t="shared" si="73"/>
        <v>0</v>
      </c>
      <c r="N57" s="174">
        <f t="shared" si="74"/>
        <v>0</v>
      </c>
      <c r="O57" s="174">
        <f t="shared" si="75"/>
        <v>5738.0590763331893</v>
      </c>
      <c r="P57" s="222">
        <f t="shared" si="76"/>
        <v>0</v>
      </c>
      <c r="Q57" s="175">
        <f t="shared" si="77"/>
        <v>0</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-2160.1035360000001</v>
      </c>
      <c r="H58" s="151">
        <f>'ADJ DETAIL-INPUT'!AW$81</f>
        <v>9358</v>
      </c>
      <c r="I58" s="173"/>
      <c r="J58" s="51">
        <f t="shared" si="71"/>
        <v>0</v>
      </c>
      <c r="K58" s="51">
        <f t="shared" si="72"/>
        <v>0</v>
      </c>
      <c r="L58" s="516"/>
      <c r="M58" s="174">
        <f t="shared" si="73"/>
        <v>0</v>
      </c>
      <c r="N58" s="174">
        <f t="shared" si="74"/>
        <v>0</v>
      </c>
      <c r="O58" s="174">
        <f t="shared" si="75"/>
        <v>3780.5184947848124</v>
      </c>
      <c r="P58" s="222">
        <f t="shared" si="76"/>
        <v>0</v>
      </c>
      <c r="Q58" s="175">
        <f t="shared" si="77"/>
        <v>0</v>
      </c>
      <c r="R58" s="429"/>
      <c r="S58" s="217"/>
      <c r="U58" s="138"/>
      <c r="V58" s="33"/>
      <c r="W58" s="138"/>
      <c r="X58" s="47"/>
      <c r="Y58" s="138"/>
      <c r="Z58" s="138"/>
      <c r="AA58" s="138"/>
      <c r="AB58" s="138"/>
      <c r="AC58" s="138"/>
      <c r="AD58" s="138"/>
      <c r="AE58" s="138"/>
    </row>
    <row r="59" spans="1:31">
      <c r="A59" s="473">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104.71915999999999</v>
      </c>
      <c r="H59" s="109">
        <f>'ADJ DETAIL-INPUT'!AX$81</f>
        <v>-15605</v>
      </c>
      <c r="I59" s="59"/>
      <c r="J59" s="51">
        <f t="shared" ref="J59" si="78">G59-D59</f>
        <v>0</v>
      </c>
      <c r="K59" s="51">
        <f t="shared" ref="K59" si="79">H59-E59</f>
        <v>0</v>
      </c>
      <c r="L59" s="27"/>
      <c r="M59" s="174">
        <f t="shared" ref="M59" si="80">J59/$M$9*-1</f>
        <v>0</v>
      </c>
      <c r="N59" s="174">
        <f t="shared" ref="N59" si="81">K59*$N$9/$M$9</f>
        <v>0</v>
      </c>
      <c r="O59" s="174">
        <f t="shared" ref="O59" si="82">(H59*$N$9/$M$9)-(G59/$M$9)</f>
        <v>-1673.746461642751</v>
      </c>
      <c r="P59" s="222">
        <f t="shared" ref="P59" si="83">SUM(M59:N59)</f>
        <v>0</v>
      </c>
      <c r="Q59" s="175">
        <f>SUM(M59:N59)</f>
        <v>0</v>
      </c>
      <c r="R59" s="202"/>
      <c r="S59" s="220"/>
      <c r="V59" s="139"/>
    </row>
    <row r="60" spans="1:31">
      <c r="A60" s="473">
        <f>'ADJ DETAIL-INPUT'!AY$10</f>
        <v>3.1999999999999957</v>
      </c>
      <c r="B60" s="382" t="str">
        <f>TRIM(CONCATENATE('ADJ DETAIL-INPUT'!AY$7," ",'ADJ DETAIL-INPUT'!AY$8," ",'ADJ DETAIL-INPUT'!AY$9))</f>
        <v>PF Normalize CS2/Colstrip Major Maint</v>
      </c>
      <c r="C60" s="169"/>
      <c r="D60" s="52">
        <v>12.64</v>
      </c>
      <c r="E60" s="52">
        <v>0</v>
      </c>
      <c r="F60" s="130"/>
      <c r="G60" s="109">
        <f>'ADJ DETAIL-INPUT'!AY$57</f>
        <v>12.64</v>
      </c>
      <c r="H60" s="109">
        <f>'ADJ DETAIL-INPUT'!AY$81</f>
        <v>0</v>
      </c>
      <c r="I60" s="59"/>
      <c r="J60" s="51">
        <f>G60-D60</f>
        <v>0</v>
      </c>
      <c r="K60" s="51">
        <f>H60-E60</f>
        <v>0</v>
      </c>
      <c r="L60" s="27"/>
      <c r="M60" s="174">
        <f>J60/$M$9*-1</f>
        <v>0</v>
      </c>
      <c r="N60" s="174">
        <f>K60*$N$9/$M$9</f>
        <v>0</v>
      </c>
      <c r="O60" s="174">
        <f>(H60*$N$9/$M$9)-(G60/$M$9)</f>
        <v>-16.735205098941606</v>
      </c>
      <c r="P60" s="222">
        <f>SUM(M60:N60)</f>
        <v>0</v>
      </c>
      <c r="Q60" s="175">
        <f>SUM(M60:N60)</f>
        <v>0</v>
      </c>
      <c r="R60" s="202"/>
      <c r="S60" s="220"/>
      <c r="V60" s="139"/>
    </row>
    <row r="61" spans="1:31">
      <c r="A61" s="473">
        <f>'ADJ DETAIL-INPUT'!AZ$10</f>
        <v>3.2099999999999955</v>
      </c>
      <c r="B61" s="382" t="str">
        <f>TRIM(CONCATENATE('ADJ DETAIL-INPUT'!AZ$7," ",'ADJ DETAIL-INPUT'!AZ$8," ",'ADJ DETAIL-INPUT'!AZ$9))</f>
        <v>Restate 2019 ADFIT</v>
      </c>
      <c r="C61" s="169"/>
      <c r="D61" s="52">
        <v>-159.062736</v>
      </c>
      <c r="E61" s="52">
        <v>-30542</v>
      </c>
      <c r="F61" s="130"/>
      <c r="G61" s="109">
        <f>'ADJ DETAIL-INPUT'!AZ$57</f>
        <v>-159.062736</v>
      </c>
      <c r="H61" s="109">
        <f>'ADJ DETAIL-INPUT'!AZ$81</f>
        <v>-30542</v>
      </c>
      <c r="I61" s="59"/>
      <c r="J61" s="51">
        <f t="shared" si="38"/>
        <v>0</v>
      </c>
      <c r="K61" s="51">
        <f t="shared" si="39"/>
        <v>0</v>
      </c>
      <c r="L61" s="27"/>
      <c r="M61" s="174">
        <f t="shared" si="40"/>
        <v>0</v>
      </c>
      <c r="N61" s="174">
        <f t="shared" si="41"/>
        <v>0</v>
      </c>
      <c r="O61" s="174">
        <f t="shared" ref="O61" si="84">(H61*$N$9/$M$9)-(G61/$M$9)</f>
        <v>-2793.8893516961612</v>
      </c>
      <c r="P61" s="222">
        <f t="shared" ref="P61" si="85">SUM(M61:N61)</f>
        <v>0</v>
      </c>
      <c r="Q61" s="175">
        <f t="shared" si="44"/>
        <v>0</v>
      </c>
      <c r="R61" s="202"/>
      <c r="S61" s="220"/>
      <c r="U61" s="27"/>
      <c r="V61" s="535"/>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106130.98058376832</v>
      </c>
      <c r="H63" s="377">
        <f>SUM(H37:H62)</f>
        <v>1877556.9528196279</v>
      </c>
      <c r="I63" s="57"/>
      <c r="J63" s="170">
        <f>SUM(J37:J62)</f>
        <v>0</v>
      </c>
      <c r="K63" s="170">
        <f>SUM(K37:K62)</f>
        <v>0</v>
      </c>
      <c r="L63" s="28"/>
      <c r="M63" s="170">
        <f>SUM(M37:M62)</f>
        <v>0</v>
      </c>
      <c r="N63" s="170">
        <f>SUM(N37:N62)</f>
        <v>0</v>
      </c>
      <c r="O63" s="119"/>
      <c r="P63" s="231">
        <f>SUM(P9:P52)+P30+SUM(P39:P61)</f>
        <v>0</v>
      </c>
      <c r="Q63" s="222"/>
      <c r="S63" s="220"/>
      <c r="V63" s="509"/>
    </row>
    <row r="64" spans="1:31" ht="13.5" thickTop="1">
      <c r="A64" s="332"/>
      <c r="B64" s="27"/>
      <c r="C64" s="27"/>
      <c r="D64" s="27"/>
      <c r="E64" s="41"/>
      <c r="F64" s="119"/>
      <c r="G64" s="119"/>
      <c r="H64" s="57"/>
      <c r="I64" s="33"/>
      <c r="J64" s="168"/>
      <c r="K64" s="28"/>
      <c r="L64" s="27"/>
      <c r="M64" s="175"/>
      <c r="N64" s="195">
        <f>M63+N63</f>
        <v>0</v>
      </c>
      <c r="O64" s="195"/>
      <c r="Q64" s="175"/>
      <c r="S64" s="138"/>
      <c r="V64" s="36"/>
      <c r="W64" s="36"/>
    </row>
    <row r="65" spans="1:22">
      <c r="A65" s="332"/>
      <c r="B65" s="27"/>
      <c r="C65" s="27"/>
      <c r="D65" s="27"/>
      <c r="E65" s="41"/>
      <c r="F65" s="119"/>
      <c r="G65" s="119"/>
      <c r="H65" s="57"/>
      <c r="I65" s="33"/>
      <c r="J65" s="168"/>
      <c r="K65" s="28"/>
      <c r="L65" s="143"/>
      <c r="M65" s="176" t="s">
        <v>717</v>
      </c>
      <c r="N65" s="230"/>
      <c r="O65" s="195"/>
      <c r="P65" s="231"/>
      <c r="Q65" s="175"/>
      <c r="S65" s="213"/>
      <c r="T65" s="36"/>
      <c r="V65" s="139"/>
    </row>
    <row r="66" spans="1:22" ht="13.5" thickBot="1">
      <c r="A66" s="332"/>
      <c r="B66" s="27"/>
      <c r="C66" s="27"/>
      <c r="D66" s="27"/>
      <c r="E66" s="41"/>
      <c r="F66" s="119"/>
      <c r="G66" s="119"/>
      <c r="H66" s="57"/>
      <c r="I66" s="33"/>
      <c r="J66" s="168"/>
      <c r="K66" s="28"/>
      <c r="M66" s="176" t="s">
        <v>248</v>
      </c>
      <c r="N66" s="196">
        <f>SUM(N64:P65)</f>
        <v>0</v>
      </c>
      <c r="O66" s="228"/>
      <c r="S66" s="214"/>
    </row>
    <row r="67" spans="1:22" ht="13.5" thickTop="1">
      <c r="A67" s="332"/>
      <c r="B67" s="138"/>
      <c r="C67" s="27"/>
      <c r="D67" s="27"/>
      <c r="E67" s="41"/>
      <c r="F67" s="119"/>
      <c r="G67" s="119"/>
      <c r="H67" s="57"/>
      <c r="I67" s="33"/>
      <c r="J67" s="168"/>
      <c r="K67" s="28"/>
      <c r="M67" s="177" t="s">
        <v>249</v>
      </c>
      <c r="N67" s="481">
        <v>44183</v>
      </c>
      <c r="O67" s="178"/>
      <c r="Q67" s="175"/>
      <c r="S67" s="210"/>
    </row>
    <row r="68" spans="1:22" ht="13.5" thickBot="1">
      <c r="A68" s="332"/>
      <c r="B68" s="27"/>
      <c r="C68" s="27"/>
      <c r="D68" s="27"/>
      <c r="E68" s="41"/>
      <c r="F68" s="124"/>
      <c r="G68" s="119"/>
      <c r="H68" s="57"/>
      <c r="I68" s="33"/>
      <c r="J68" s="168"/>
      <c r="K68" s="29"/>
      <c r="L68" s="27"/>
      <c r="M68" s="179" t="s">
        <v>250</v>
      </c>
      <c r="N68" s="180">
        <f>N67+N66</f>
        <v>44183</v>
      </c>
      <c r="O68" s="229"/>
      <c r="P68" s="222"/>
      <c r="R68" s="99">
        <f>N68-'RR SUMMARY'!E24</f>
        <v>-0.45838339997862931</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44183.458383399979</v>
      </c>
      <c r="O127" s="51"/>
      <c r="P127" s="216"/>
      <c r="Q127" s="175">
        <f>N68-N127</f>
        <v>-0.45838339997862931</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tabSelected="1" view="pageBreakPreview" zoomScale="115" zoomScaleNormal="100" zoomScaleSheetLayoutView="115" workbookViewId="0">
      <selection activeCell="L28" sqref="L28"/>
    </sheetView>
  </sheetViews>
  <sheetFormatPr defaultColWidth="9.140625" defaultRowHeight="14.25" customHeight="1"/>
  <cols>
    <col min="1" max="1" width="5.140625" style="645" bestFit="1" customWidth="1"/>
    <col min="2" max="2" width="1.5703125" style="645" customWidth="1"/>
    <col min="3" max="3" width="46.42578125" style="645" customWidth="1"/>
    <col min="4" max="4" width="3" style="645" customWidth="1"/>
    <col min="5" max="5" width="20.140625" style="645" customWidth="1"/>
    <col min="6" max="6" width="4.5703125" style="645" hidden="1" customWidth="1"/>
    <col min="7" max="7" width="12.28515625" style="645" customWidth="1"/>
    <col min="8" max="8" width="16.140625" style="645" customWidth="1"/>
    <col min="9" max="9" width="5.42578125" style="645" customWidth="1"/>
    <col min="10" max="10" width="6.85546875" style="577" customWidth="1"/>
    <col min="11" max="11" width="14.140625" style="577" customWidth="1"/>
    <col min="12" max="12" width="12.85546875" style="577" customWidth="1"/>
    <col min="13" max="13" width="15.140625" style="613" customWidth="1"/>
    <col min="14" max="14" width="14.140625" style="577" customWidth="1"/>
    <col min="15" max="15" width="11.85546875" style="577" customWidth="1"/>
    <col min="16" max="16" width="8.5703125" style="577" hidden="1" customWidth="1"/>
    <col min="17" max="17" width="14.5703125" style="577" hidden="1" customWidth="1"/>
    <col min="18" max="18" width="9.140625" style="577" hidden="1" customWidth="1"/>
    <col min="19" max="19" width="10.42578125" style="577" hidden="1" customWidth="1"/>
    <col min="20" max="21" width="9.5703125" style="577" hidden="1" customWidth="1"/>
    <col min="22" max="22" width="11.42578125" style="577" hidden="1" customWidth="1"/>
    <col min="23" max="23" width="10.42578125" style="577" hidden="1" customWidth="1"/>
    <col min="24" max="24" width="9.140625" style="577" hidden="1" customWidth="1"/>
    <col min="25" max="25" width="17" style="577" hidden="1" customWidth="1"/>
    <col min="26" max="26" width="18" style="577" customWidth="1"/>
    <col min="27" max="27" width="17" style="577" customWidth="1"/>
    <col min="28" max="28" width="15.85546875" style="577" customWidth="1"/>
    <col min="29" max="33" width="9.140625" style="577"/>
    <col min="34" max="34" width="11.42578125" style="577" customWidth="1"/>
    <col min="35" max="16384" width="9.140625" style="577"/>
  </cols>
  <sheetData>
    <row r="1" spans="1:50" ht="19.5" customHeight="1">
      <c r="A1" s="858" t="s">
        <v>116</v>
      </c>
      <c r="B1" s="858"/>
      <c r="C1" s="858"/>
      <c r="D1" s="858"/>
      <c r="E1" s="858"/>
      <c r="F1" s="858"/>
      <c r="G1" s="858"/>
      <c r="H1" s="576"/>
      <c r="I1" s="576"/>
      <c r="J1" s="849" t="s">
        <v>116</v>
      </c>
      <c r="K1" s="850"/>
      <c r="L1" s="850"/>
      <c r="M1" s="850"/>
      <c r="N1" s="851"/>
      <c r="O1" s="578"/>
    </row>
    <row r="2" spans="1:50" ht="14.25" customHeight="1">
      <c r="A2" s="858" t="s">
        <v>683</v>
      </c>
      <c r="B2" s="858"/>
      <c r="C2" s="858"/>
      <c r="D2" s="858"/>
      <c r="E2" s="858"/>
      <c r="F2" s="858"/>
      <c r="G2" s="858"/>
      <c r="H2" s="578"/>
      <c r="I2" s="578"/>
      <c r="J2" s="852" t="s">
        <v>621</v>
      </c>
      <c r="K2" s="853"/>
      <c r="L2" s="853"/>
      <c r="M2" s="853"/>
      <c r="N2" s="854"/>
      <c r="O2" s="579"/>
    </row>
    <row r="3" spans="1:50" ht="14.25" customHeight="1">
      <c r="A3" s="858" t="s">
        <v>241</v>
      </c>
      <c r="B3" s="858"/>
      <c r="C3" s="858"/>
      <c r="D3" s="858"/>
      <c r="E3" s="858"/>
      <c r="F3" s="858"/>
      <c r="G3" s="858"/>
      <c r="H3" s="578"/>
      <c r="I3" s="578"/>
      <c r="J3" s="852" t="s">
        <v>241</v>
      </c>
      <c r="K3" s="853"/>
      <c r="L3" s="853"/>
      <c r="M3" s="853"/>
      <c r="N3" s="854"/>
      <c r="O3" s="579"/>
      <c r="AO3" s="580"/>
    </row>
    <row r="4" spans="1:50" ht="14.25" customHeight="1">
      <c r="A4" s="858" t="str">
        <f>'ADJ DETAIL-INPUT'!A4</f>
        <v>TWELVE MONTHS ENDED DECEMBER 31, 2019</v>
      </c>
      <c r="B4" s="858"/>
      <c r="C4" s="858"/>
      <c r="D4" s="858"/>
      <c r="E4" s="858"/>
      <c r="F4" s="858"/>
      <c r="G4" s="858"/>
      <c r="H4" s="578"/>
      <c r="I4" s="578"/>
      <c r="J4" s="855"/>
      <c r="K4" s="856"/>
      <c r="L4" s="856"/>
      <c r="M4" s="856"/>
      <c r="N4" s="857"/>
      <c r="O4" s="581"/>
    </row>
    <row r="5" spans="1:50" ht="14.25" customHeight="1" thickBot="1">
      <c r="A5" s="579"/>
      <c r="B5" s="579"/>
      <c r="C5" s="579"/>
      <c r="D5" s="579"/>
      <c r="E5" s="579"/>
      <c r="F5" s="579"/>
      <c r="G5" s="579"/>
      <c r="H5" s="578"/>
      <c r="I5" s="578"/>
      <c r="J5" s="571"/>
      <c r="K5" s="572"/>
      <c r="L5" s="572"/>
      <c r="M5" s="572"/>
      <c r="N5" s="573"/>
      <c r="O5" s="581"/>
    </row>
    <row r="6" spans="1:50" ht="14.25" customHeight="1">
      <c r="A6" s="578"/>
      <c r="B6" s="578"/>
      <c r="C6" s="578"/>
      <c r="D6" s="578"/>
      <c r="E6" s="582" t="s">
        <v>677</v>
      </c>
      <c r="F6" s="578"/>
      <c r="G6" s="583"/>
      <c r="H6" s="584"/>
      <c r="I6" s="584"/>
      <c r="J6" s="483" t="s">
        <v>710</v>
      </c>
      <c r="K6" s="484"/>
      <c r="L6" s="484"/>
      <c r="M6" s="484"/>
      <c r="N6" s="485"/>
      <c r="O6" s="572"/>
      <c r="T6" s="580" t="s">
        <v>619</v>
      </c>
      <c r="Y6" s="585"/>
      <c r="Z6" s="585"/>
      <c r="AA6" s="585"/>
      <c r="AR6" s="580"/>
    </row>
    <row r="7" spans="1:50" ht="14.25" customHeight="1">
      <c r="A7" s="579"/>
      <c r="B7" s="579"/>
      <c r="C7" s="848"/>
      <c r="D7" s="848"/>
      <c r="E7" s="582" t="s">
        <v>672</v>
      </c>
      <c r="F7" s="579"/>
      <c r="G7" s="581"/>
      <c r="H7" s="572"/>
      <c r="I7" s="685"/>
      <c r="J7" s="486"/>
      <c r="K7" s="487"/>
      <c r="L7" s="569"/>
      <c r="M7" s="488"/>
      <c r="N7" s="570"/>
      <c r="O7" s="572"/>
      <c r="T7" s="580"/>
      <c r="Y7" s="585"/>
      <c r="Z7" s="585"/>
      <c r="AA7" s="585"/>
      <c r="AR7" s="580"/>
    </row>
    <row r="8" spans="1:50" ht="14.25" customHeight="1">
      <c r="A8" s="579"/>
      <c r="B8" s="579"/>
      <c r="C8" s="579"/>
      <c r="D8" s="579"/>
      <c r="E8" s="586">
        <v>44470</v>
      </c>
      <c r="F8" s="587"/>
      <c r="G8" s="846" t="s">
        <v>793</v>
      </c>
      <c r="H8" s="846" t="s">
        <v>792</v>
      </c>
      <c r="I8" s="588"/>
      <c r="J8" s="486"/>
      <c r="K8" s="489"/>
      <c r="L8" s="569" t="s">
        <v>122</v>
      </c>
      <c r="M8" s="569"/>
      <c r="N8" s="570" t="s">
        <v>123</v>
      </c>
      <c r="O8" s="572"/>
      <c r="T8" s="580"/>
      <c r="Y8" s="585"/>
      <c r="Z8" s="585"/>
      <c r="AA8" s="585"/>
      <c r="AR8" s="580"/>
    </row>
    <row r="9" spans="1:50" ht="18" customHeight="1">
      <c r="A9" s="579" t="s">
        <v>120</v>
      </c>
      <c r="B9" s="579"/>
      <c r="C9" s="579"/>
      <c r="D9" s="579"/>
      <c r="E9" s="582" t="s">
        <v>121</v>
      </c>
      <c r="F9" s="579" t="s">
        <v>121</v>
      </c>
      <c r="G9" s="846"/>
      <c r="H9" s="846"/>
      <c r="I9" s="685"/>
      <c r="J9" s="486"/>
      <c r="K9" s="490" t="s">
        <v>125</v>
      </c>
      <c r="L9" s="490" t="s">
        <v>127</v>
      </c>
      <c r="M9" s="490" t="s">
        <v>128</v>
      </c>
      <c r="N9" s="491" t="s">
        <v>128</v>
      </c>
      <c r="O9" s="589"/>
      <c r="Y9" s="585"/>
      <c r="Z9" s="585"/>
      <c r="AA9" s="585"/>
      <c r="AX9" s="580"/>
    </row>
    <row r="10" spans="1:50" ht="14.25" customHeight="1">
      <c r="A10" s="587" t="s">
        <v>21</v>
      </c>
      <c r="B10" s="579"/>
      <c r="C10" s="587" t="s">
        <v>80</v>
      </c>
      <c r="D10" s="581"/>
      <c r="E10" s="590" t="s">
        <v>124</v>
      </c>
      <c r="F10" s="587" t="s">
        <v>124</v>
      </c>
      <c r="G10" s="847"/>
      <c r="H10" s="847"/>
      <c r="I10" s="685"/>
      <c r="J10" s="486"/>
      <c r="K10" s="487"/>
      <c r="L10" s="487"/>
      <c r="M10" s="488"/>
      <c r="N10" s="492"/>
      <c r="O10" s="589"/>
    </row>
    <row r="11" spans="1:50" ht="14.25" customHeight="1">
      <c r="A11" s="577"/>
      <c r="B11" s="577"/>
      <c r="C11" s="577"/>
      <c r="D11" s="577"/>
      <c r="E11" s="577"/>
      <c r="F11" s="577"/>
      <c r="G11" s="585"/>
      <c r="H11" s="591"/>
      <c r="I11" s="591"/>
      <c r="J11" s="486"/>
      <c r="K11" s="489" t="s">
        <v>18</v>
      </c>
      <c r="L11" s="493">
        <f>100%-L13</f>
        <v>0.5</v>
      </c>
      <c r="M11" s="753">
        <v>4.965E-2</v>
      </c>
      <c r="N11" s="495">
        <f>ROUND(L11*M11,4)</f>
        <v>2.4799999999999999E-2</v>
      </c>
      <c r="O11" s="592" t="s">
        <v>228</v>
      </c>
      <c r="Q11" s="593" t="s">
        <v>235</v>
      </c>
      <c r="R11" s="594"/>
      <c r="S11" s="595" t="s">
        <v>142</v>
      </c>
      <c r="T11" s="596"/>
      <c r="U11" s="579" t="s">
        <v>141</v>
      </c>
    </row>
    <row r="12" spans="1:50" ht="14.25" customHeight="1">
      <c r="A12" s="597">
        <v>1</v>
      </c>
      <c r="B12" s="577"/>
      <c r="C12" s="577" t="s">
        <v>180</v>
      </c>
      <c r="D12" s="577"/>
      <c r="E12" s="598">
        <f>'ADJ DETAIL-INPUT'!BC81</f>
        <v>1877556.9528196282</v>
      </c>
      <c r="F12" s="598" t="e">
        <f>'ADJ DETAIL-INPUT'!#REF!</f>
        <v>#REF!</v>
      </c>
      <c r="G12" s="599"/>
      <c r="H12" s="600"/>
      <c r="I12" s="600"/>
      <c r="J12" s="486"/>
      <c r="K12" s="489"/>
      <c r="L12" s="493"/>
      <c r="M12" s="494"/>
      <c r="N12" s="495"/>
      <c r="O12" s="602">
        <f>SUM(N11:N12)</f>
        <v>2.4799999999999999E-2</v>
      </c>
      <c r="Q12" s="603" t="s">
        <v>236</v>
      </c>
      <c r="R12" s="581"/>
      <c r="S12" s="579" t="s">
        <v>122</v>
      </c>
      <c r="T12" s="579" t="s">
        <v>141</v>
      </c>
      <c r="U12" s="579" t="s">
        <v>123</v>
      </c>
    </row>
    <row r="13" spans="1:50" ht="14.25" customHeight="1">
      <c r="A13" s="597"/>
      <c r="B13" s="577"/>
      <c r="C13" s="577"/>
      <c r="D13" s="577"/>
      <c r="E13" s="601"/>
      <c r="F13" s="601"/>
      <c r="G13" s="604"/>
      <c r="H13" s="604"/>
      <c r="I13" s="604"/>
      <c r="J13" s="486"/>
      <c r="K13" s="489" t="s">
        <v>11</v>
      </c>
      <c r="L13" s="493">
        <v>0.5</v>
      </c>
      <c r="M13" s="753">
        <v>9.9000000000000005E-2</v>
      </c>
      <c r="N13" s="495">
        <f>ROUND(L13*M13,4)</f>
        <v>4.9500000000000002E-2</v>
      </c>
      <c r="Q13" s="587" t="s">
        <v>125</v>
      </c>
      <c r="R13" s="581"/>
      <c r="S13" s="587" t="s">
        <v>127</v>
      </c>
      <c r="T13" s="587" t="s">
        <v>128</v>
      </c>
      <c r="U13" s="587" t="s">
        <v>128</v>
      </c>
    </row>
    <row r="14" spans="1:50" ht="14.25" customHeight="1">
      <c r="A14" s="597">
        <v>2</v>
      </c>
      <c r="B14" s="577"/>
      <c r="C14" s="577" t="s">
        <v>130</v>
      </c>
      <c r="D14" s="577"/>
      <c r="E14" s="605">
        <f>$N$15</f>
        <v>7.4300000000000005E-2</v>
      </c>
      <c r="F14" s="606"/>
      <c r="G14" s="607"/>
      <c r="H14" s="607"/>
      <c r="I14" s="607"/>
      <c r="J14" s="486"/>
      <c r="K14" s="489"/>
      <c r="L14" s="496"/>
      <c r="M14" s="497"/>
      <c r="N14" s="495"/>
      <c r="Q14" s="596"/>
      <c r="R14" s="594"/>
      <c r="S14" s="596"/>
      <c r="T14" s="596"/>
      <c r="U14" s="596"/>
    </row>
    <row r="15" spans="1:50" ht="14.25" customHeight="1" thickBot="1">
      <c r="A15" s="597"/>
      <c r="B15" s="577"/>
      <c r="C15" s="577"/>
      <c r="D15" s="577"/>
      <c r="E15" s="606"/>
      <c r="F15" s="606"/>
      <c r="G15" s="606"/>
      <c r="H15" s="606"/>
      <c r="I15" s="606"/>
      <c r="J15" s="486"/>
      <c r="K15" s="489" t="s">
        <v>135</v>
      </c>
      <c r="L15" s="498">
        <f>SUM(L11:L13)</f>
        <v>1</v>
      </c>
      <c r="M15" s="497"/>
      <c r="N15" s="499">
        <f>SUM(N11:N13)</f>
        <v>7.4300000000000005E-2</v>
      </c>
      <c r="O15" s="591"/>
      <c r="Q15" s="577" t="s">
        <v>129</v>
      </c>
      <c r="R15" s="604"/>
      <c r="S15" s="608">
        <v>0.4415</v>
      </c>
      <c r="T15" s="608">
        <v>7.7499999999999999E-2</v>
      </c>
      <c r="U15" s="608">
        <f>ROUND(S15*T15,4)</f>
        <v>3.4200000000000001E-2</v>
      </c>
    </row>
    <row r="16" spans="1:50" ht="14.25" customHeight="1" thickTop="1" thickBot="1">
      <c r="A16" s="597">
        <v>3</v>
      </c>
      <c r="B16" s="577"/>
      <c r="C16" s="577" t="s">
        <v>131</v>
      </c>
      <c r="D16" s="577"/>
      <c r="E16" s="609">
        <f>ROUND(E12*E14,4)</f>
        <v>139502.4816</v>
      </c>
      <c r="F16" s="609" t="e">
        <f t="shared" ref="F16" si="0">ROUND(F12*F14,4)</f>
        <v>#REF!</v>
      </c>
      <c r="G16" s="610"/>
      <c r="H16" s="610"/>
      <c r="I16" s="610"/>
      <c r="J16" s="500"/>
      <c r="K16" s="501"/>
      <c r="L16" s="502"/>
      <c r="M16" s="503"/>
      <c r="N16" s="504"/>
      <c r="O16" s="589"/>
      <c r="R16" s="611"/>
      <c r="S16" s="608"/>
      <c r="T16" s="608"/>
      <c r="U16" s="608"/>
    </row>
    <row r="17" spans="1:29" ht="14.25" customHeight="1">
      <c r="A17" s="597"/>
      <c r="B17" s="577"/>
      <c r="C17" s="577"/>
      <c r="D17" s="577"/>
      <c r="E17" s="601"/>
      <c r="F17" s="601"/>
      <c r="G17" s="604"/>
      <c r="H17" s="604"/>
      <c r="I17" s="604"/>
      <c r="J17" s="612"/>
      <c r="O17" s="589"/>
      <c r="Q17" s="614" t="s">
        <v>132</v>
      </c>
      <c r="R17" s="615"/>
      <c r="S17" s="616">
        <v>3.39E-2</v>
      </c>
      <c r="T17" s="616">
        <v>7.0800000000000002E-2</v>
      </c>
      <c r="U17" s="616">
        <f>ROUND(S17*T17,4)</f>
        <v>2.3999999999999998E-3</v>
      </c>
    </row>
    <row r="18" spans="1:29" ht="14.25" customHeight="1">
      <c r="A18" s="597">
        <v>4</v>
      </c>
      <c r="B18" s="577"/>
      <c r="C18" s="577" t="s">
        <v>133</v>
      </c>
      <c r="D18" s="577"/>
      <c r="E18" s="617">
        <f>'ADJ DETAIL-INPUT'!BC57</f>
        <v>106130.98058376829</v>
      </c>
      <c r="F18" s="618" t="e">
        <f>'ADJ DETAIL-INPUT'!#REF!</f>
        <v>#REF!</v>
      </c>
      <c r="G18" s="604"/>
      <c r="H18" s="619"/>
      <c r="I18" s="619"/>
      <c r="L18" s="620"/>
      <c r="M18" s="620"/>
      <c r="O18" s="589"/>
      <c r="P18" s="620"/>
      <c r="R18" s="611"/>
      <c r="S18" s="608"/>
      <c r="T18" s="608"/>
      <c r="U18" s="608"/>
      <c r="V18" s="621" t="s">
        <v>228</v>
      </c>
      <c r="W18" s="621" t="s">
        <v>229</v>
      </c>
      <c r="AC18" s="622"/>
    </row>
    <row r="19" spans="1:29" ht="14.25" customHeight="1">
      <c r="A19" s="597"/>
      <c r="B19" s="577"/>
      <c r="C19" s="577"/>
      <c r="D19" s="577"/>
      <c r="E19" s="577"/>
      <c r="F19" s="577"/>
      <c r="G19" s="585"/>
      <c r="H19" s="585"/>
      <c r="I19" s="585"/>
      <c r="O19" s="589"/>
      <c r="P19" s="623"/>
      <c r="R19" s="611"/>
      <c r="S19" s="608"/>
      <c r="T19" s="608"/>
      <c r="U19" s="608"/>
      <c r="V19" s="624"/>
      <c r="W19" s="624"/>
    </row>
    <row r="20" spans="1:29" ht="14.25" customHeight="1">
      <c r="A20" s="597">
        <v>5</v>
      </c>
      <c r="B20" s="577"/>
      <c r="C20" s="577" t="s">
        <v>134</v>
      </c>
      <c r="D20" s="577"/>
      <c r="E20" s="601">
        <f>E16-E18</f>
        <v>33371.501016231705</v>
      </c>
      <c r="F20" s="601" t="e">
        <f t="shared" ref="F20" si="1">F16-F18</f>
        <v>#REF!</v>
      </c>
      <c r="G20" s="604"/>
      <c r="H20" s="604"/>
      <c r="I20" s="604"/>
      <c r="K20" s="585"/>
      <c r="L20" s="710"/>
      <c r="M20" s="715"/>
      <c r="N20" s="585"/>
      <c r="O20" s="585"/>
      <c r="P20" s="585"/>
      <c r="Q20" s="585"/>
      <c r="R20" s="611"/>
      <c r="S20" s="607"/>
      <c r="T20" s="607"/>
      <c r="U20" s="607"/>
      <c r="V20" s="585"/>
      <c r="W20" s="689"/>
      <c r="X20" s="585"/>
      <c r="Y20" s="585"/>
      <c r="Z20" s="585"/>
    </row>
    <row r="21" spans="1:29" ht="14.25" customHeight="1">
      <c r="A21" s="597"/>
      <c r="B21" s="577"/>
      <c r="C21" s="577"/>
      <c r="D21" s="577"/>
      <c r="E21" s="577"/>
      <c r="F21" s="577"/>
      <c r="G21" s="591"/>
      <c r="H21" s="591"/>
      <c r="I21" s="591"/>
      <c r="J21" s="591"/>
      <c r="K21" s="711"/>
      <c r="L21" s="710"/>
      <c r="M21" s="715"/>
      <c r="N21" s="585"/>
      <c r="O21" s="585"/>
      <c r="P21" s="585"/>
      <c r="Q21" s="585"/>
      <c r="R21" s="611"/>
      <c r="S21" s="607"/>
      <c r="T21" s="607"/>
      <c r="U21" s="607"/>
      <c r="V21" s="585"/>
      <c r="W21" s="585"/>
      <c r="X21" s="585"/>
      <c r="Y21" s="585"/>
      <c r="Z21" s="585"/>
      <c r="AA21" s="585"/>
      <c r="AB21" s="585"/>
    </row>
    <row r="22" spans="1:29" ht="14.25" customHeight="1">
      <c r="A22" s="597">
        <v>6</v>
      </c>
      <c r="B22" s="577"/>
      <c r="C22" s="577" t="s">
        <v>136</v>
      </c>
      <c r="D22" s="577"/>
      <c r="E22" s="626">
        <f>'CF '!E24</f>
        <v>0.75529400000000002</v>
      </c>
      <c r="F22" s="626">
        <f>'CF '!F24</f>
        <v>0</v>
      </c>
      <c r="G22" s="627"/>
      <c r="H22" s="627"/>
      <c r="I22" s="627"/>
      <c r="J22" s="591"/>
      <c r="K22" s="711"/>
      <c r="L22" s="710"/>
      <c r="M22" s="710"/>
      <c r="N22" s="712"/>
      <c r="O22" s="591"/>
      <c r="P22" s="585"/>
      <c r="Q22" s="585"/>
      <c r="R22" s="611"/>
      <c r="S22" s="607"/>
      <c r="T22" s="607"/>
      <c r="U22" s="607"/>
      <c r="V22" s="585"/>
      <c r="W22" s="585"/>
      <c r="X22" s="585"/>
      <c r="Y22" s="585"/>
      <c r="Z22" s="585"/>
      <c r="AA22" s="585"/>
      <c r="AB22" s="585"/>
    </row>
    <row r="23" spans="1:29" ht="13.5" customHeight="1" thickBot="1">
      <c r="A23" s="597"/>
      <c r="B23" s="577"/>
      <c r="C23" s="577"/>
      <c r="D23" s="577"/>
      <c r="E23" s="629"/>
      <c r="F23" s="629">
        <v>2017</v>
      </c>
      <c r="G23" s="630"/>
      <c r="H23" s="630"/>
      <c r="I23" s="630"/>
      <c r="J23" s="591"/>
      <c r="K23" s="711"/>
      <c r="L23" s="710"/>
      <c r="M23" s="710"/>
      <c r="N23" s="581"/>
      <c r="O23" s="585"/>
      <c r="P23" s="585"/>
      <c r="Q23" s="585"/>
      <c r="R23" s="611"/>
      <c r="S23" s="607"/>
      <c r="T23" s="607"/>
      <c r="U23" s="607"/>
      <c r="V23" s="585"/>
      <c r="W23" s="585"/>
      <c r="X23" s="585"/>
      <c r="Y23" s="585"/>
      <c r="Z23" s="585"/>
      <c r="AA23" s="585"/>
      <c r="AB23" s="585"/>
    </row>
    <row r="24" spans="1:29" ht="14.25" customHeight="1" thickBot="1">
      <c r="A24" s="597">
        <v>7</v>
      </c>
      <c r="B24" s="577"/>
      <c r="C24" s="577" t="s">
        <v>651</v>
      </c>
      <c r="D24" s="577"/>
      <c r="E24" s="631">
        <f>E20/E22</f>
        <v>44183.458383399979</v>
      </c>
      <c r="F24" s="632" t="e">
        <f t="shared" ref="F24" si="2">ROUND(F20/F22,0)</f>
        <v>#REF!</v>
      </c>
      <c r="G24" s="820">
        <f>'ADJ DETAIL-INPUT'!BD83</f>
        <v>-44183.009458927008</v>
      </c>
      <c r="H24" s="821">
        <v>0</v>
      </c>
      <c r="I24" s="633"/>
      <c r="J24" s="591"/>
      <c r="K24" s="604"/>
      <c r="L24" s="710"/>
      <c r="M24" s="710"/>
      <c r="N24" s="713"/>
      <c r="O24" s="634"/>
      <c r="P24" s="585"/>
      <c r="Q24" s="585"/>
      <c r="R24" s="611"/>
      <c r="S24" s="606"/>
      <c r="T24" s="606"/>
      <c r="U24" s="607"/>
      <c r="V24" s="585"/>
      <c r="W24" s="585"/>
      <c r="X24" s="585"/>
      <c r="Y24" s="585"/>
      <c r="Z24" s="585"/>
      <c r="AA24" s="585"/>
      <c r="AB24" s="585"/>
    </row>
    <row r="25" spans="1:29" ht="14.25" customHeight="1">
      <c r="A25" s="597"/>
      <c r="B25" s="596"/>
      <c r="C25" s="577"/>
      <c r="D25" s="577"/>
      <c r="E25" s="601"/>
      <c r="F25" s="577"/>
      <c r="G25" s="591"/>
      <c r="H25" s="635"/>
      <c r="I25" s="635"/>
      <c r="J25" s="636"/>
      <c r="K25" s="610"/>
      <c r="L25" s="610"/>
      <c r="M25" s="637"/>
      <c r="N25" s="610"/>
      <c r="O25" s="637"/>
      <c r="P25" s="591"/>
      <c r="Q25" s="591"/>
      <c r="R25" s="635"/>
      <c r="S25" s="638"/>
      <c r="T25" s="638"/>
      <c r="U25" s="524"/>
      <c r="V25" s="591"/>
      <c r="W25" s="591"/>
      <c r="X25" s="591"/>
      <c r="Y25" s="585"/>
      <c r="Z25" s="604"/>
      <c r="AA25" s="585"/>
      <c r="AB25" s="585"/>
      <c r="AC25" s="622"/>
    </row>
    <row r="26" spans="1:29" ht="14.25" customHeight="1">
      <c r="A26" s="597">
        <v>8</v>
      </c>
      <c r="B26" s="596"/>
      <c r="C26" s="577" t="s">
        <v>652</v>
      </c>
      <c r="D26" s="577"/>
      <c r="E26" s="604">
        <f>'ADJ DETAIL-INPUT'!BC14+'ADJ DETAIL-INPUT'!BC15</f>
        <v>531722</v>
      </c>
      <c r="F26" s="604" t="e">
        <f>'ADJ DETAIL-INPUT'!#REF!+'ADJ DETAIL-INPUT'!#REF!</f>
        <v>#REF!</v>
      </c>
      <c r="G26" s="610"/>
      <c r="H26" s="639"/>
      <c r="I26" s="639"/>
      <c r="J26" s="591"/>
      <c r="K26" s="610"/>
      <c r="L26" s="610"/>
      <c r="M26" s="610"/>
      <c r="N26" s="610"/>
      <c r="O26" s="637"/>
      <c r="P26" s="591"/>
      <c r="Q26" s="591"/>
      <c r="R26" s="635"/>
      <c r="S26" s="638"/>
      <c r="T26" s="638"/>
      <c r="U26" s="524"/>
      <c r="V26" s="591"/>
      <c r="W26" s="591"/>
      <c r="X26" s="591"/>
      <c r="Y26" s="585"/>
      <c r="Z26" s="607"/>
      <c r="AA26" s="585"/>
      <c r="AB26" s="585"/>
    </row>
    <row r="27" spans="1:29" ht="14.25" customHeight="1">
      <c r="A27" s="597"/>
      <c r="B27" s="596"/>
      <c r="C27" s="577"/>
      <c r="D27" s="577"/>
      <c r="E27" s="577"/>
      <c r="F27" s="577"/>
      <c r="G27" s="591"/>
      <c r="H27" s="640"/>
      <c r="I27" s="640"/>
      <c r="J27" s="641"/>
      <c r="K27" s="687"/>
      <c r="L27" s="687"/>
      <c r="M27" s="690"/>
      <c r="N27" s="687"/>
      <c r="O27" s="687"/>
      <c r="P27" s="591"/>
      <c r="Q27" s="591"/>
      <c r="R27" s="635"/>
      <c r="S27" s="638"/>
      <c r="T27" s="638"/>
      <c r="U27" s="524"/>
      <c r="V27" s="591"/>
      <c r="W27" s="591"/>
      <c r="X27" s="591"/>
      <c r="Y27" s="585"/>
      <c r="Z27" s="585"/>
      <c r="AA27" s="585"/>
      <c r="AB27" s="585"/>
    </row>
    <row r="28" spans="1:29" ht="14.25" customHeight="1" thickBot="1">
      <c r="A28" s="597">
        <v>9</v>
      </c>
      <c r="B28" s="596"/>
      <c r="C28" s="577" t="s">
        <v>137</v>
      </c>
      <c r="D28" s="577"/>
      <c r="E28" s="642">
        <f>ROUND(E24/E26,4)</f>
        <v>8.3099999999999993E-2</v>
      </c>
      <c r="F28" s="642" t="e">
        <f t="shared" ref="F28" si="3">ROUND(F24/F26,4)</f>
        <v>#REF!</v>
      </c>
      <c r="G28" s="822">
        <f>G24/E26</f>
        <v>-8.3094191060228861E-2</v>
      </c>
      <c r="H28" s="823">
        <v>0</v>
      </c>
      <c r="I28" s="643"/>
      <c r="J28" s="589"/>
      <c r="K28" s="589"/>
      <c r="L28" s="687"/>
      <c r="M28" s="610"/>
      <c r="N28" s="687"/>
      <c r="O28" s="644"/>
      <c r="P28" s="591"/>
      <c r="Q28" s="591"/>
      <c r="R28" s="610"/>
      <c r="S28" s="524"/>
      <c r="T28" s="638"/>
      <c r="U28" s="524"/>
      <c r="V28" s="591"/>
      <c r="W28" s="591"/>
      <c r="X28" s="591"/>
      <c r="Y28" s="585"/>
      <c r="Z28" s="585"/>
      <c r="AA28" s="585"/>
      <c r="AB28" s="585"/>
    </row>
    <row r="29" spans="1:29" ht="14.25" customHeight="1" thickTop="1">
      <c r="E29" s="646"/>
      <c r="F29" s="646"/>
      <c r="G29" s="596"/>
      <c r="H29" s="595"/>
      <c r="I29" s="647"/>
      <c r="J29" s="589"/>
      <c r="K29" s="591"/>
      <c r="L29" s="648"/>
      <c r="M29" s="687"/>
      <c r="N29" s="648"/>
      <c r="O29" s="687"/>
      <c r="P29" s="591"/>
      <c r="Q29" s="591"/>
      <c r="R29" s="591"/>
      <c r="S29" s="591"/>
      <c r="T29" s="591"/>
      <c r="U29" s="591"/>
      <c r="V29" s="591"/>
      <c r="W29" s="591"/>
      <c r="X29" s="591"/>
      <c r="Y29" s="585"/>
      <c r="Z29" s="585"/>
      <c r="AA29" s="585"/>
      <c r="AB29" s="585"/>
    </row>
    <row r="30" spans="1:29" ht="14.25" customHeight="1">
      <c r="A30" s="597">
        <v>10</v>
      </c>
      <c r="B30" s="596"/>
      <c r="C30" s="577" t="s">
        <v>709</v>
      </c>
      <c r="D30" s="577"/>
      <c r="E30" s="610">
        <v>530123</v>
      </c>
      <c r="F30" s="604">
        <v>505346</v>
      </c>
      <c r="G30" s="824"/>
      <c r="H30" s="825"/>
      <c r="I30" s="610"/>
      <c r="J30" s="589"/>
      <c r="K30" s="648" t="s">
        <v>807</v>
      </c>
      <c r="L30" s="589"/>
      <c r="M30" s="644"/>
      <c r="N30" s="589"/>
      <c r="O30" s="644"/>
      <c r="P30" s="591"/>
      <c r="Q30" s="591"/>
      <c r="R30" s="591"/>
      <c r="S30" s="591"/>
      <c r="T30" s="591"/>
      <c r="U30" s="591"/>
      <c r="V30" s="591"/>
      <c r="W30" s="591"/>
      <c r="X30" s="591"/>
      <c r="Y30" s="585"/>
      <c r="Z30" s="585"/>
      <c r="AA30" s="585"/>
      <c r="AB30" s="585"/>
    </row>
    <row r="31" spans="1:29" ht="14.25" customHeight="1">
      <c r="A31" s="597"/>
      <c r="B31" s="596"/>
      <c r="C31" s="577"/>
      <c r="D31" s="577"/>
      <c r="E31" s="649"/>
      <c r="F31" s="577"/>
      <c r="G31" s="577"/>
      <c r="H31" s="825"/>
      <c r="I31" s="524"/>
      <c r="J31" s="589"/>
      <c r="K31" s="589"/>
      <c r="L31" s="650"/>
      <c r="M31" s="637"/>
      <c r="N31" s="650"/>
      <c r="O31" s="637"/>
      <c r="P31" s="591"/>
      <c r="Q31" s="591"/>
      <c r="R31" s="591"/>
      <c r="S31" s="591"/>
      <c r="T31" s="591"/>
      <c r="U31" s="591"/>
      <c r="V31" s="591"/>
      <c r="W31" s="591"/>
      <c r="X31" s="591"/>
      <c r="Y31" s="585"/>
      <c r="Z31" s="585"/>
      <c r="AA31" s="585"/>
      <c r="AB31" s="585"/>
    </row>
    <row r="32" spans="1:29" ht="14.25" customHeight="1" thickBot="1">
      <c r="A32" s="597">
        <v>11</v>
      </c>
      <c r="B32" s="596"/>
      <c r="C32" s="577" t="s">
        <v>137</v>
      </c>
      <c r="D32" s="577"/>
      <c r="E32" s="651">
        <f>ROUND(E24/E30,4)</f>
        <v>8.3299999999999999E-2</v>
      </c>
      <c r="F32" s="642" t="e">
        <f t="shared" ref="F32" si="4">ROUND(F24/F30,4)</f>
        <v>#REF!</v>
      </c>
      <c r="G32" s="822">
        <f>G24/F30</f>
        <v>-8.7431204479558572E-2</v>
      </c>
      <c r="H32" s="823">
        <v>0</v>
      </c>
      <c r="I32" s="643"/>
      <c r="J32" s="589"/>
      <c r="K32" s="591"/>
      <c r="L32" s="585"/>
      <c r="M32" s="625"/>
      <c r="N32" s="585"/>
      <c r="O32" s="585"/>
      <c r="P32" s="591"/>
      <c r="Q32" s="591"/>
      <c r="R32" s="591"/>
      <c r="S32" s="591"/>
      <c r="T32" s="591"/>
      <c r="U32" s="591"/>
      <c r="V32" s="591"/>
      <c r="W32" s="591"/>
      <c r="X32" s="591"/>
      <c r="Y32" s="585"/>
      <c r="Z32" s="585"/>
      <c r="AA32" s="585"/>
      <c r="AB32" s="585"/>
    </row>
    <row r="33" spans="1:28" ht="14.25" customHeight="1" thickTop="1">
      <c r="A33" s="646"/>
      <c r="B33" s="646"/>
      <c r="C33" s="646"/>
      <c r="D33" s="646"/>
      <c r="E33" s="652"/>
      <c r="F33" s="646"/>
      <c r="G33" s="646"/>
      <c r="H33" s="646"/>
      <c r="I33" s="646"/>
      <c r="J33" s="589"/>
      <c r="K33" s="591"/>
      <c r="L33" s="524"/>
      <c r="M33" s="625"/>
      <c r="N33" s="524"/>
      <c r="O33" s="591"/>
      <c r="P33" s="591"/>
      <c r="Q33" s="591"/>
      <c r="R33" s="591"/>
      <c r="S33" s="591"/>
      <c r="T33" s="591"/>
      <c r="U33" s="591"/>
      <c r="V33" s="591"/>
      <c r="W33" s="591"/>
      <c r="X33" s="591"/>
      <c r="Y33" s="585"/>
      <c r="Z33" s="585"/>
      <c r="AA33" s="585"/>
      <c r="AB33" s="585"/>
    </row>
    <row r="34" spans="1:28" ht="14.25" customHeight="1">
      <c r="J34" s="591"/>
      <c r="K34" s="591"/>
      <c r="L34" s="591"/>
      <c r="M34" s="628"/>
      <c r="N34" s="591"/>
      <c r="O34" s="591"/>
      <c r="P34" s="653"/>
      <c r="Q34" s="591"/>
      <c r="R34" s="591"/>
      <c r="S34" s="591"/>
      <c r="T34" s="591"/>
      <c r="U34" s="591"/>
      <c r="V34" s="591"/>
      <c r="W34" s="591"/>
      <c r="X34" s="591"/>
    </row>
    <row r="35" spans="1:28" ht="14.25" customHeight="1">
      <c r="J35" s="591"/>
      <c r="K35" s="591"/>
      <c r="L35" s="591"/>
      <c r="M35" s="628"/>
      <c r="N35" s="591"/>
      <c r="O35" s="591"/>
      <c r="P35" s="653"/>
      <c r="Q35" s="591"/>
      <c r="R35" s="591"/>
      <c r="S35" s="591"/>
      <c r="T35" s="591"/>
      <c r="U35" s="591"/>
      <c r="V35" s="591"/>
      <c r="W35" s="591"/>
      <c r="X35" s="591"/>
    </row>
    <row r="36" spans="1:28" ht="14.25" customHeight="1">
      <c r="J36" s="591"/>
      <c r="K36" s="591"/>
      <c r="L36" s="591"/>
      <c r="M36" s="628"/>
      <c r="N36" s="591"/>
      <c r="O36" s="591"/>
      <c r="P36" s="653"/>
      <c r="Q36" s="591"/>
      <c r="R36" s="591"/>
      <c r="S36" s="591"/>
      <c r="T36" s="591"/>
      <c r="U36" s="591"/>
      <c r="V36" s="591"/>
      <c r="W36" s="591"/>
      <c r="X36" s="591"/>
    </row>
    <row r="37" spans="1:28" ht="14.25" customHeight="1">
      <c r="J37" s="591"/>
      <c r="K37" s="591"/>
      <c r="L37" s="591"/>
      <c r="M37" s="628"/>
      <c r="N37" s="591"/>
      <c r="O37" s="591"/>
      <c r="P37" s="653"/>
      <c r="Q37" s="591"/>
      <c r="R37" s="591"/>
      <c r="S37" s="591"/>
      <c r="T37" s="591"/>
      <c r="U37" s="591"/>
      <c r="V37" s="591"/>
      <c r="W37" s="591"/>
      <c r="X37" s="591"/>
    </row>
    <row r="38" spans="1:28" ht="14.25" customHeight="1">
      <c r="J38" s="591"/>
      <c r="K38" s="591"/>
      <c r="L38" s="591"/>
      <c r="M38" s="628"/>
      <c r="N38" s="591"/>
      <c r="O38" s="591"/>
      <c r="P38" s="653"/>
      <c r="Q38" s="591"/>
      <c r="R38" s="591"/>
      <c r="S38" s="591"/>
      <c r="T38" s="591"/>
      <c r="U38" s="591"/>
      <c r="V38" s="591"/>
      <c r="W38" s="591"/>
      <c r="X38" s="591"/>
    </row>
    <row r="39" spans="1:28" ht="14.25" customHeight="1">
      <c r="J39" s="591"/>
      <c r="K39" s="591"/>
      <c r="L39" s="591"/>
      <c r="M39" s="628"/>
      <c r="N39" s="591"/>
      <c r="O39" s="591"/>
      <c r="P39" s="653"/>
      <c r="Q39" s="591"/>
      <c r="R39" s="591"/>
      <c r="S39" s="591"/>
      <c r="T39" s="591"/>
      <c r="U39" s="591"/>
      <c r="V39" s="591"/>
      <c r="W39" s="591"/>
      <c r="X39" s="591"/>
    </row>
    <row r="40" spans="1:28" ht="14.25" customHeight="1">
      <c r="J40" s="591"/>
      <c r="K40" s="591"/>
      <c r="L40" s="591"/>
      <c r="M40" s="628"/>
      <c r="N40" s="591"/>
      <c r="O40" s="591"/>
      <c r="P40" s="653"/>
      <c r="Q40" s="591"/>
      <c r="R40" s="591"/>
      <c r="S40" s="591"/>
      <c r="T40" s="591"/>
      <c r="U40" s="591"/>
      <c r="V40" s="591"/>
      <c r="W40" s="591"/>
      <c r="X40" s="591"/>
    </row>
    <row r="41" spans="1:28" ht="14.25" customHeight="1">
      <c r="J41" s="591"/>
      <c r="K41" s="591"/>
      <c r="L41" s="591"/>
      <c r="M41" s="628"/>
      <c r="N41" s="591"/>
      <c r="O41" s="591"/>
      <c r="P41" s="653"/>
      <c r="Q41" s="591"/>
      <c r="R41" s="591"/>
      <c r="S41" s="591"/>
      <c r="T41" s="591"/>
      <c r="U41" s="591"/>
      <c r="V41" s="591"/>
      <c r="W41" s="591"/>
      <c r="X41" s="591"/>
    </row>
    <row r="42" spans="1:28" ht="14.25" customHeight="1">
      <c r="J42" s="591"/>
      <c r="K42" s="591"/>
      <c r="L42" s="591"/>
      <c r="M42" s="628"/>
      <c r="N42" s="591"/>
      <c r="O42" s="591"/>
      <c r="P42" s="591"/>
      <c r="Q42" s="591"/>
      <c r="R42" s="591"/>
      <c r="S42" s="591"/>
      <c r="T42" s="591"/>
      <c r="U42" s="591"/>
      <c r="V42" s="591"/>
      <c r="W42" s="591"/>
      <c r="X42" s="591"/>
    </row>
    <row r="43" spans="1:28" ht="14.25" customHeight="1">
      <c r="J43" s="591"/>
      <c r="K43" s="591"/>
      <c r="L43" s="591"/>
      <c r="M43" s="628"/>
      <c r="N43" s="591"/>
      <c r="O43" s="591"/>
      <c r="P43" s="591"/>
      <c r="Q43" s="591"/>
      <c r="R43" s="591"/>
      <c r="S43" s="591"/>
      <c r="T43" s="591"/>
      <c r="U43" s="591"/>
      <c r="V43" s="591"/>
      <c r="W43" s="591"/>
      <c r="X43" s="591"/>
    </row>
    <row r="44" spans="1:28" ht="14.25" customHeight="1">
      <c r="O44" s="591"/>
      <c r="P44" s="591"/>
      <c r="Q44" s="591"/>
      <c r="R44" s="591"/>
      <c r="S44" s="591"/>
      <c r="T44" s="591"/>
      <c r="U44" s="591"/>
      <c r="V44" s="591"/>
      <c r="W44" s="591"/>
      <c r="X44" s="591"/>
    </row>
    <row r="45" spans="1:28" ht="14.25" customHeight="1">
      <c r="O45" s="591"/>
      <c r="P45" s="591"/>
      <c r="Q45" s="591"/>
      <c r="R45" s="591"/>
      <c r="S45" s="591"/>
      <c r="T45" s="591"/>
      <c r="U45" s="591"/>
      <c r="V45" s="591"/>
      <c r="W45" s="591"/>
      <c r="X45" s="591"/>
    </row>
    <row r="46" spans="1:28" ht="14.25" customHeight="1">
      <c r="E46" s="654"/>
    </row>
    <row r="47" spans="1:28" ht="14.25" customHeight="1">
      <c r="E47" s="654"/>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 EMA-2
</oddHeader>
    <oddFooter>&amp;RPage &amp;P of &amp;N</oddFoot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tabSelected="1" view="pageBreakPreview" zoomScale="130" zoomScaleNormal="100" zoomScaleSheetLayoutView="130" workbookViewId="0">
      <selection activeCell="L28" sqref="L28"/>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860" t="s">
        <v>179</v>
      </c>
      <c r="B2" s="860"/>
      <c r="C2" s="860"/>
      <c r="D2" s="860"/>
      <c r="E2" s="860"/>
      <c r="G2" s="99"/>
    </row>
    <row r="3" spans="1:52">
      <c r="A3" s="859" t="s">
        <v>241</v>
      </c>
      <c r="B3" s="859"/>
      <c r="C3" s="859"/>
      <c r="D3" s="859"/>
      <c r="E3" s="859"/>
      <c r="F3" s="391"/>
      <c r="G3" s="391"/>
      <c r="K3" s="27"/>
      <c r="L3" s="27"/>
      <c r="X3" s="27"/>
      <c r="Y3" s="27"/>
      <c r="Z3" s="27"/>
      <c r="AA3" s="27"/>
      <c r="AB3" s="27"/>
      <c r="AC3" s="27"/>
      <c r="AD3" s="27"/>
      <c r="AE3" s="27"/>
      <c r="AF3" s="27"/>
      <c r="AG3" s="27"/>
      <c r="AH3" s="27"/>
      <c r="AI3" s="27"/>
      <c r="AJ3" s="27"/>
      <c r="AK3" s="27"/>
      <c r="AL3" s="27"/>
      <c r="AM3" s="27"/>
      <c r="AN3" s="27"/>
      <c r="AO3" s="27"/>
      <c r="AP3" s="27"/>
      <c r="AQ3" s="508"/>
      <c r="AR3" s="27"/>
      <c r="AS3" s="27"/>
      <c r="AT3" s="27"/>
    </row>
    <row r="4" spans="1:52">
      <c r="A4" s="859" t="str">
        <f>'RR SUMMARY'!A4:H4</f>
        <v>TWELVE MONTHS ENDED DECEMBER 31, 2019</v>
      </c>
      <c r="B4" s="859"/>
      <c r="C4" s="859"/>
      <c r="D4" s="859"/>
      <c r="E4" s="859"/>
      <c r="G4" s="99"/>
      <c r="J4" s="536"/>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6"/>
      <c r="E5" s="512"/>
      <c r="G5" s="99"/>
      <c r="J5" s="533" t="s">
        <v>181</v>
      </c>
      <c r="K5" s="532"/>
      <c r="L5" s="27"/>
      <c r="V5" s="392"/>
      <c r="X5" s="27"/>
      <c r="Y5" s="27"/>
      <c r="Z5" s="27"/>
      <c r="AA5" s="27"/>
      <c r="AB5" s="27"/>
      <c r="AC5" s="27"/>
      <c r="AD5" s="27"/>
      <c r="AE5" s="27"/>
      <c r="AF5" s="27"/>
      <c r="AG5" s="27"/>
      <c r="AH5" s="27"/>
      <c r="AI5" s="27"/>
      <c r="AJ5" s="27"/>
      <c r="AK5" s="27"/>
      <c r="AL5" s="27"/>
      <c r="AM5" s="27"/>
      <c r="AN5" s="27"/>
      <c r="AO5" s="27"/>
      <c r="AP5" s="27"/>
      <c r="AQ5" s="27"/>
      <c r="AR5" s="27"/>
      <c r="AS5" s="27"/>
      <c r="AT5" s="508"/>
    </row>
    <row r="6" spans="1:52" s="26" customFormat="1" ht="13.5">
      <c r="A6" s="546" t="s">
        <v>120</v>
      </c>
      <c r="B6" s="546"/>
      <c r="C6" s="546"/>
      <c r="D6" s="546"/>
      <c r="E6" s="112"/>
      <c r="G6" s="100"/>
      <c r="J6" s="534" t="s">
        <v>171</v>
      </c>
      <c r="K6" s="532"/>
      <c r="L6" s="532"/>
      <c r="Q6" s="131"/>
      <c r="X6" s="507"/>
      <c r="Y6" s="507"/>
      <c r="Z6" s="507"/>
      <c r="AA6" s="507"/>
      <c r="AB6" s="507"/>
      <c r="AC6" s="507"/>
      <c r="AD6" s="507"/>
      <c r="AE6" s="507"/>
      <c r="AF6" s="507"/>
      <c r="AG6" s="507"/>
      <c r="AH6" s="507"/>
      <c r="AI6" s="507"/>
      <c r="AJ6" s="507"/>
      <c r="AK6" s="507"/>
      <c r="AL6" s="507"/>
      <c r="AM6" s="507"/>
      <c r="AN6" s="507"/>
      <c r="AO6" s="507"/>
      <c r="AP6" s="507"/>
      <c r="AQ6" s="507"/>
      <c r="AR6" s="507"/>
      <c r="AS6" s="507"/>
      <c r="AT6" s="507"/>
      <c r="AZ6" s="392" t="s">
        <v>622</v>
      </c>
    </row>
    <row r="7" spans="1:52" s="26" customFormat="1" ht="13.5">
      <c r="A7" s="101" t="s">
        <v>21</v>
      </c>
      <c r="B7" s="546"/>
      <c r="C7" s="101" t="s">
        <v>80</v>
      </c>
      <c r="D7" s="538"/>
      <c r="E7" s="113" t="s">
        <v>172</v>
      </c>
      <c r="G7" s="100"/>
      <c r="K7" s="532"/>
      <c r="L7" s="532"/>
      <c r="Q7" s="131"/>
      <c r="X7" s="507"/>
      <c r="Y7" s="507"/>
      <c r="Z7" s="507"/>
      <c r="AA7" s="507"/>
      <c r="AB7" s="507"/>
      <c r="AC7" s="507"/>
      <c r="AD7" s="507"/>
      <c r="AE7" s="507"/>
      <c r="AF7" s="507"/>
      <c r="AG7" s="507"/>
      <c r="AH7" s="507"/>
      <c r="AI7" s="507"/>
      <c r="AJ7" s="507"/>
      <c r="AK7" s="507"/>
      <c r="AL7" s="507"/>
      <c r="AM7" s="507"/>
      <c r="AN7" s="507"/>
      <c r="AO7" s="507"/>
      <c r="AP7" s="507"/>
      <c r="AQ7" s="507"/>
      <c r="AR7" s="507"/>
      <c r="AS7" s="507"/>
      <c r="AT7" s="507"/>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7">
        <v>1</v>
      </c>
      <c r="C9" s="102" t="s">
        <v>32</v>
      </c>
      <c r="E9" s="114">
        <v>1</v>
      </c>
      <c r="J9" s="103">
        <f>'RR SUMMARY'!E24</f>
        <v>44183.458383399979</v>
      </c>
      <c r="K9" s="165"/>
      <c r="L9" s="27"/>
    </row>
    <row r="10" spans="1:52">
      <c r="A10" s="547"/>
      <c r="E10" s="114"/>
      <c r="J10" s="99"/>
      <c r="K10" s="105"/>
      <c r="L10" s="27"/>
    </row>
    <row r="11" spans="1:52">
      <c r="A11" s="547"/>
      <c r="C11" s="97" t="s">
        <v>173</v>
      </c>
      <c r="D11" s="386"/>
      <c r="E11" s="548"/>
      <c r="F11" s="96"/>
      <c r="J11" s="99"/>
      <c r="K11" s="105"/>
      <c r="L11" s="27"/>
    </row>
    <row r="12" spans="1:52">
      <c r="A12" s="547">
        <v>2</v>
      </c>
      <c r="C12" s="386" t="s">
        <v>174</v>
      </c>
      <c r="D12" s="528"/>
      <c r="E12" s="549">
        <v>3.3262885794710221E-3</v>
      </c>
      <c r="F12" s="526"/>
      <c r="J12" s="99">
        <f>ROUND($J$9*E12,0)</f>
        <v>147</v>
      </c>
      <c r="K12" s="105"/>
      <c r="L12" s="27"/>
    </row>
    <row r="13" spans="1:52">
      <c r="A13" s="547"/>
      <c r="C13" s="386"/>
      <c r="D13" s="386"/>
      <c r="E13" s="549"/>
      <c r="J13" s="99"/>
      <c r="K13" s="105"/>
      <c r="L13" s="27"/>
    </row>
    <row r="14" spans="1:52">
      <c r="A14" s="547">
        <v>3</v>
      </c>
      <c r="C14" s="386" t="s">
        <v>175</v>
      </c>
      <c r="D14" s="386"/>
      <c r="E14" s="549">
        <v>2E-3</v>
      </c>
      <c r="J14" s="99">
        <f>ROUND($J$9*E14,0)</f>
        <v>88</v>
      </c>
      <c r="K14" s="105"/>
      <c r="L14" s="27"/>
    </row>
    <row r="15" spans="1:52">
      <c r="A15" s="547"/>
      <c r="C15" s="386"/>
      <c r="D15" s="386"/>
      <c r="E15" s="549"/>
      <c r="J15" s="99"/>
      <c r="K15" s="105"/>
      <c r="L15" s="27"/>
      <c r="AP15" s="201"/>
    </row>
    <row r="16" spans="1:52">
      <c r="A16" s="547">
        <v>4</v>
      </c>
      <c r="C16" s="386" t="s">
        <v>176</v>
      </c>
      <c r="D16" s="528"/>
      <c r="E16" s="549">
        <v>3.8605159538162764E-2</v>
      </c>
      <c r="F16" s="527"/>
      <c r="J16" s="99">
        <f>ROUND($J$9*E16,0)</f>
        <v>1706</v>
      </c>
      <c r="K16" s="105"/>
      <c r="L16" s="27"/>
    </row>
    <row r="17" spans="1:61">
      <c r="A17" s="547"/>
      <c r="C17" s="386"/>
      <c r="D17" s="386"/>
      <c r="E17" s="550"/>
      <c r="J17" s="99"/>
      <c r="K17" s="105"/>
      <c r="L17" s="27"/>
    </row>
    <row r="18" spans="1:61">
      <c r="A18" s="547">
        <v>6</v>
      </c>
      <c r="C18" s="386" t="s">
        <v>177</v>
      </c>
      <c r="D18" s="386"/>
      <c r="E18" s="116">
        <f>SUM(E12:E16)</f>
        <v>4.393144811763379E-2</v>
      </c>
      <c r="J18" s="104">
        <f>SUM(J12:J16)</f>
        <v>1941</v>
      </c>
      <c r="K18" s="105"/>
      <c r="L18" s="27"/>
    </row>
    <row r="19" spans="1:61">
      <c r="C19" s="386"/>
      <c r="D19" s="386"/>
      <c r="E19" s="115"/>
      <c r="J19" s="99"/>
      <c r="K19" s="105"/>
      <c r="L19" s="529"/>
    </row>
    <row r="20" spans="1:61">
      <c r="A20" s="547">
        <v>7</v>
      </c>
      <c r="C20" s="386" t="s">
        <v>178</v>
      </c>
      <c r="D20" s="386"/>
      <c r="E20" s="115">
        <f>E9-E18</f>
        <v>0.95606855188236617</v>
      </c>
      <c r="J20" s="105">
        <f>J9-J18</f>
        <v>42242.458383399979</v>
      </c>
      <c r="K20" s="105"/>
      <c r="L20" s="27"/>
      <c r="AP20" s="201"/>
    </row>
    <row r="21" spans="1:61">
      <c r="C21" s="386"/>
      <c r="D21" s="386"/>
      <c r="E21" s="115"/>
      <c r="J21" s="105"/>
      <c r="K21" s="105"/>
      <c r="L21" s="27"/>
      <c r="BC21" s="25">
        <v>109</v>
      </c>
      <c r="BI21" s="25">
        <v>-2</v>
      </c>
    </row>
    <row r="22" spans="1:61">
      <c r="A22" s="516">
        <v>8</v>
      </c>
      <c r="B22" s="146"/>
      <c r="C22" s="550" t="s">
        <v>682</v>
      </c>
      <c r="D22" s="551"/>
      <c r="E22" s="552">
        <v>0.20077439589529689</v>
      </c>
      <c r="G22" s="99"/>
      <c r="J22" s="106">
        <f>ROUND(J20*0.21,0)</f>
        <v>8871</v>
      </c>
      <c r="K22" s="105"/>
      <c r="L22" s="27"/>
    </row>
    <row r="23" spans="1:61">
      <c r="A23" s="146"/>
      <c r="B23" s="146"/>
      <c r="C23" s="550"/>
      <c r="D23" s="550"/>
      <c r="E23" s="549"/>
      <c r="G23" s="99"/>
      <c r="K23" s="27"/>
      <c r="L23" s="115"/>
    </row>
    <row r="24" spans="1:61" ht="13.5" thickBot="1">
      <c r="A24" s="516">
        <v>9</v>
      </c>
      <c r="B24" s="146"/>
      <c r="C24" s="553" t="s">
        <v>179</v>
      </c>
      <c r="D24" s="550"/>
      <c r="E24" s="554">
        <f>ROUND(E20-E22,6)</f>
        <v>0.75529400000000002</v>
      </c>
      <c r="J24" s="132">
        <f>J20-J22</f>
        <v>33371.458383399979</v>
      </c>
      <c r="K24" s="105"/>
      <c r="L24" s="27"/>
    </row>
    <row r="25" spans="1:61" ht="13.5" thickTop="1">
      <c r="K25" s="27"/>
      <c r="L25" s="27"/>
      <c r="BG25" s="25">
        <v>622</v>
      </c>
    </row>
    <row r="26" spans="1:61">
      <c r="J26" s="139">
        <f>J24/E24</f>
        <v>44183.401938053234</v>
      </c>
      <c r="K26" s="535"/>
      <c r="L26" s="27"/>
    </row>
    <row r="28" spans="1:61">
      <c r="J28" s="139">
        <f>J26-'RR SUMMARY'!E24</f>
        <v>-5.6445346745022107E-2</v>
      </c>
    </row>
    <row r="30" spans="1:61">
      <c r="AP30" s="200"/>
    </row>
    <row r="35" spans="42:42">
      <c r="AP35" s="200"/>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EMA-2</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14"/>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K98"/>
  <sheetViews>
    <sheetView tabSelected="1" view="pageBreakPreview" zoomScaleNormal="100" zoomScaleSheetLayoutView="100" workbookViewId="0">
      <pane xSplit="4" ySplit="12" topLeftCell="AD13" activePane="bottomRight" state="frozen"/>
      <selection activeCell="L28" sqref="L28"/>
      <selection pane="topRight" activeCell="L28" sqref="L28"/>
      <selection pane="bottomLeft" activeCell="L28" sqref="L28"/>
      <selection pane="bottomRight" activeCell="L28" sqref="L28"/>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0.42578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6"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32" bestFit="1" customWidth="1"/>
    <col min="29" max="29" width="11" style="434" customWidth="1"/>
    <col min="30" max="30" width="11" style="436" customWidth="1"/>
    <col min="31" max="31" width="15.28515625" style="436" bestFit="1" customWidth="1"/>
    <col min="32" max="32" width="13.28515625" style="436" bestFit="1" customWidth="1"/>
    <col min="33" max="33" width="17.42578125" style="435" customWidth="1"/>
    <col min="34" max="34" width="10.42578125" style="435" bestFit="1" customWidth="1"/>
    <col min="35" max="37" width="10.42578125" style="732" bestFit="1" customWidth="1"/>
    <col min="38" max="38" width="11.85546875" style="436" customWidth="1"/>
    <col min="39" max="39" width="12" style="435" customWidth="1"/>
    <col min="40" max="40" width="12.1406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2.85546875" style="436" customWidth="1"/>
    <col min="53" max="53" width="9" style="435" hidden="1" customWidth="1"/>
    <col min="54" max="54" width="9" style="436" hidden="1" customWidth="1"/>
    <col min="55" max="55" width="16.140625" style="437" customWidth="1"/>
    <col min="56" max="57" width="16.140625" style="436" customWidth="1"/>
    <col min="58" max="16384" width="10.5703125" style="409"/>
  </cols>
  <sheetData>
    <row r="1" spans="1:57" ht="12.75" customHeight="1">
      <c r="D1" s="845"/>
      <c r="E1" s="845"/>
      <c r="F1" s="436"/>
      <c r="G1" s="436"/>
      <c r="H1" s="436"/>
      <c r="I1" s="436"/>
      <c r="J1" s="436"/>
      <c r="K1" s="436"/>
      <c r="L1" s="436"/>
      <c r="M1" s="436"/>
      <c r="N1" s="436"/>
      <c r="O1" s="436"/>
      <c r="P1" s="436"/>
      <c r="Q1" s="436"/>
      <c r="R1" s="436"/>
      <c r="AI1" s="768"/>
      <c r="AK1" s="716"/>
      <c r="AZ1" s="474"/>
      <c r="BD1" s="474"/>
    </row>
    <row r="2" spans="1:57" ht="18" customHeight="1">
      <c r="A2" s="574" t="s">
        <v>185</v>
      </c>
      <c r="D2" s="410"/>
      <c r="E2" s="563" t="s">
        <v>676</v>
      </c>
      <c r="F2" s="655" t="s">
        <v>802</v>
      </c>
      <c r="G2" s="434"/>
      <c r="H2" s="434"/>
      <c r="I2" s="434"/>
      <c r="J2" s="434"/>
      <c r="K2" s="438"/>
      <c r="L2" s="434"/>
      <c r="M2" s="434"/>
      <c r="N2" s="434"/>
      <c r="O2" s="434"/>
      <c r="P2" s="434"/>
      <c r="Q2" s="434"/>
      <c r="R2" s="434"/>
      <c r="S2" s="436"/>
      <c r="V2" s="717"/>
      <c r="W2" s="673"/>
      <c r="X2" s="436"/>
      <c r="Y2" s="436"/>
      <c r="Z2" s="664"/>
      <c r="AA2" s="676"/>
      <c r="AB2" s="747"/>
      <c r="AD2" s="434" t="s">
        <v>273</v>
      </c>
      <c r="AE2" s="434"/>
      <c r="AF2" s="434"/>
      <c r="AG2" s="714"/>
      <c r="AH2" s="714"/>
      <c r="AI2" s="769"/>
      <c r="AJ2" s="716"/>
      <c r="AK2" s="716"/>
      <c r="AL2" s="684"/>
      <c r="AM2" s="436"/>
      <c r="AN2" s="436"/>
      <c r="AO2" s="684"/>
      <c r="AP2" s="771"/>
      <c r="AQ2" s="436"/>
      <c r="AR2" s="436"/>
      <c r="AS2" s="436"/>
      <c r="AT2" s="436"/>
      <c r="AV2" s="781"/>
      <c r="AW2" s="780"/>
      <c r="AX2" s="764"/>
      <c r="AY2" s="664"/>
      <c r="AZ2" s="786"/>
      <c r="BA2" s="436"/>
      <c r="BB2" s="684"/>
      <c r="BC2" s="434"/>
    </row>
    <row r="3" spans="1:57" ht="14.25" customHeight="1">
      <c r="A3" s="574" t="s">
        <v>678</v>
      </c>
      <c r="D3" s="410"/>
      <c r="E3" s="564"/>
      <c r="G3" s="437"/>
      <c r="H3" s="676"/>
      <c r="I3" s="434"/>
      <c r="J3" s="434"/>
      <c r="K3" s="434"/>
      <c r="L3" s="434"/>
      <c r="M3" s="434"/>
      <c r="N3" s="434"/>
      <c r="O3" s="673"/>
      <c r="P3" s="434"/>
      <c r="Q3" s="677"/>
      <c r="R3" s="677"/>
      <c r="S3" s="436"/>
      <c r="T3" s="676"/>
      <c r="U3" s="676"/>
      <c r="V3" s="718"/>
      <c r="W3" s="673"/>
      <c r="X3" s="436"/>
      <c r="Y3" s="436"/>
      <c r="Z3" s="510"/>
      <c r="AA3" s="681"/>
      <c r="AB3" s="748"/>
      <c r="AG3" s="714"/>
      <c r="AH3" s="714"/>
      <c r="AI3" s="769"/>
      <c r="AJ3" s="718"/>
      <c r="AK3" s="718"/>
      <c r="AL3" s="677"/>
      <c r="AM3" s="510"/>
      <c r="AN3" s="510"/>
      <c r="AO3" s="772"/>
      <c r="AP3" s="771"/>
      <c r="AQ3" s="510"/>
      <c r="AR3" s="510"/>
      <c r="AS3" s="510"/>
      <c r="AT3" s="510"/>
      <c r="AU3" s="778"/>
      <c r="AV3" s="781"/>
      <c r="AW3" s="780"/>
      <c r="AX3" s="510"/>
      <c r="AY3" s="510"/>
      <c r="AZ3" s="438" t="s">
        <v>784</v>
      </c>
      <c r="BA3" s="770"/>
      <c r="BB3" s="677"/>
      <c r="BC3" s="510"/>
      <c r="BD3" s="438" t="s">
        <v>787</v>
      </c>
      <c r="BE3" s="805"/>
    </row>
    <row r="4" spans="1:57" ht="17.25" customHeight="1">
      <c r="A4" s="574" t="s">
        <v>736</v>
      </c>
      <c r="D4" s="410"/>
      <c r="E4" s="565"/>
      <c r="G4" s="436"/>
      <c r="H4" s="676"/>
      <c r="I4" s="436"/>
      <c r="J4" s="436"/>
      <c r="K4" s="474"/>
      <c r="L4" s="474"/>
      <c r="M4" s="436"/>
      <c r="N4" s="436"/>
      <c r="O4" s="673"/>
      <c r="P4" s="436"/>
      <c r="Q4" s="670"/>
      <c r="R4" s="670"/>
      <c r="S4" s="438"/>
      <c r="T4" s="676"/>
      <c r="U4" s="676"/>
      <c r="V4" s="744"/>
      <c r="X4" s="438"/>
      <c r="Y4" s="438"/>
      <c r="Z4" s="665"/>
      <c r="AA4" s="681"/>
      <c r="AB4" s="748"/>
      <c r="AD4" s="515"/>
      <c r="AE4" s="515"/>
      <c r="AF4" s="515"/>
      <c r="AG4" s="714"/>
      <c r="AH4" s="714"/>
      <c r="AI4" s="769"/>
      <c r="AJ4" s="742"/>
      <c r="AK4" s="742"/>
      <c r="AL4" s="677"/>
      <c r="AM4" s="714"/>
      <c r="AN4" s="474"/>
      <c r="AO4" s="772"/>
      <c r="AP4" s="771"/>
      <c r="AQ4" s="771"/>
      <c r="AR4" s="771"/>
      <c r="AS4" s="771"/>
      <c r="AT4" s="771"/>
      <c r="AU4" s="778"/>
      <c r="AV4" s="782"/>
      <c r="AW4" s="670"/>
      <c r="AX4" s="670"/>
      <c r="AY4" s="670"/>
      <c r="AZ4" s="390" t="s">
        <v>785</v>
      </c>
      <c r="BA4" s="770"/>
      <c r="BB4" s="677"/>
      <c r="BC4" s="434"/>
      <c r="BD4" s="390" t="s">
        <v>783</v>
      </c>
    </row>
    <row r="5" spans="1:57" ht="12.75" customHeight="1">
      <c r="A5" s="574" t="s">
        <v>186</v>
      </c>
      <c r="D5" s="410"/>
      <c r="E5" s="440"/>
      <c r="F5" s="656"/>
      <c r="G5" s="510"/>
      <c r="H5" s="676"/>
      <c r="I5" s="474"/>
      <c r="J5" s="474"/>
      <c r="K5" s="474"/>
      <c r="L5" s="474"/>
      <c r="M5" s="474"/>
      <c r="N5" s="474"/>
      <c r="O5" s="673"/>
      <c r="P5" s="474"/>
      <c r="Q5" s="670"/>
      <c r="R5" s="670"/>
      <c r="S5" s="474"/>
      <c r="T5" s="676"/>
      <c r="U5" s="674"/>
      <c r="V5" s="741"/>
      <c r="W5" s="766"/>
      <c r="X5" s="474"/>
      <c r="Y5" s="474"/>
      <c r="Z5" s="474"/>
      <c r="AA5" s="681"/>
      <c r="AB5" s="766"/>
      <c r="AC5" s="474"/>
      <c r="AD5" s="674"/>
      <c r="AE5" s="674"/>
      <c r="AF5" s="672"/>
      <c r="AG5" s="674"/>
      <c r="AH5" s="677"/>
      <c r="AI5" s="741"/>
      <c r="AJ5" s="754"/>
      <c r="AK5" s="754"/>
      <c r="AL5" s="674"/>
      <c r="AM5" s="674"/>
      <c r="AN5" s="474"/>
      <c r="AO5" s="674"/>
      <c r="AP5" s="677"/>
      <c r="AQ5" s="714"/>
      <c r="AR5" s="714"/>
      <c r="AS5" s="714"/>
      <c r="AT5" s="714"/>
      <c r="AU5" s="778"/>
      <c r="AV5" s="674"/>
      <c r="AW5" s="674"/>
      <c r="AX5" s="670"/>
      <c r="AY5" s="474"/>
      <c r="AZ5" s="438" t="s">
        <v>775</v>
      </c>
      <c r="BA5" s="770"/>
      <c r="BB5" s="677"/>
      <c r="BC5" s="434"/>
      <c r="BD5" s="438" t="s">
        <v>791</v>
      </c>
    </row>
    <row r="6" spans="1:57" s="412" customFormat="1" ht="5.25" customHeight="1">
      <c r="A6" s="506"/>
      <c r="D6" s="411"/>
      <c r="F6" s="439"/>
      <c r="G6" s="436"/>
      <c r="H6" s="474"/>
      <c r="I6" s="474"/>
      <c r="J6" s="672"/>
      <c r="K6" s="474"/>
      <c r="L6" s="474"/>
      <c r="M6" s="672"/>
      <c r="N6" s="672"/>
      <c r="O6" s="672"/>
      <c r="P6" s="672"/>
      <c r="Q6" s="671"/>
      <c r="R6" s="671"/>
      <c r="S6" s="674"/>
      <c r="T6" s="674"/>
      <c r="U6" s="672"/>
      <c r="V6" s="743"/>
      <c r="W6" s="688"/>
      <c r="X6" s="674"/>
      <c r="Y6" s="672"/>
      <c r="Z6" s="666"/>
      <c r="AA6" s="682"/>
      <c r="AB6" s="749"/>
      <c r="AC6" s="390"/>
      <c r="AD6" s="680"/>
      <c r="AE6" s="680"/>
      <c r="AF6" s="680"/>
      <c r="AG6" s="680"/>
      <c r="AH6" s="680"/>
      <c r="AI6" s="743"/>
      <c r="AJ6" s="743"/>
      <c r="AK6" s="743"/>
      <c r="AL6" s="671"/>
      <c r="AM6" s="762"/>
      <c r="AN6" s="474"/>
      <c r="AO6" s="671"/>
      <c r="AP6" s="773"/>
      <c r="AQ6" s="762"/>
      <c r="AR6" s="762"/>
      <c r="AS6" s="762"/>
      <c r="AT6" s="762"/>
      <c r="AU6" s="762"/>
      <c r="AV6" s="762"/>
      <c r="AW6" s="671"/>
      <c r="AX6" s="671"/>
      <c r="AY6" s="671"/>
      <c r="AZ6" s="474"/>
      <c r="BA6" s="762"/>
      <c r="BB6" s="671"/>
      <c r="BC6" s="520"/>
      <c r="BD6" s="474"/>
      <c r="BE6" s="806"/>
    </row>
    <row r="7" spans="1:57" s="412" customFormat="1" ht="12" customHeight="1">
      <c r="A7" s="413"/>
      <c r="B7" s="414"/>
      <c r="C7" s="415"/>
      <c r="D7" s="415"/>
      <c r="E7" s="566"/>
      <c r="F7" s="657" t="s">
        <v>1</v>
      </c>
      <c r="G7" s="661" t="s">
        <v>1</v>
      </c>
      <c r="H7" s="661" t="s">
        <v>257</v>
      </c>
      <c r="I7" s="661" t="s">
        <v>686</v>
      </c>
      <c r="J7" s="661" t="s">
        <v>3</v>
      </c>
      <c r="K7" s="661" t="s">
        <v>5</v>
      </c>
      <c r="L7" s="661" t="s">
        <v>15</v>
      </c>
      <c r="M7" s="661" t="s">
        <v>16</v>
      </c>
      <c r="N7" s="661" t="s">
        <v>4</v>
      </c>
      <c r="O7" s="661" t="s">
        <v>592</v>
      </c>
      <c r="P7" s="661" t="s">
        <v>6</v>
      </c>
      <c r="Q7" s="661" t="s">
        <v>5</v>
      </c>
      <c r="R7" s="661" t="s">
        <v>224</v>
      </c>
      <c r="S7" s="675" t="s">
        <v>625</v>
      </c>
      <c r="T7" s="675" t="s">
        <v>3</v>
      </c>
      <c r="U7" s="675" t="s">
        <v>647</v>
      </c>
      <c r="V7" s="745" t="s">
        <v>675</v>
      </c>
      <c r="W7" s="235" t="s">
        <v>5</v>
      </c>
      <c r="X7" s="235" t="s">
        <v>3</v>
      </c>
      <c r="Y7" s="235" t="s">
        <v>119</v>
      </c>
      <c r="Z7" s="667" t="s">
        <v>648</v>
      </c>
      <c r="AA7" s="667" t="s">
        <v>656</v>
      </c>
      <c r="AB7" s="750" t="s">
        <v>737</v>
      </c>
      <c r="AC7" s="235" t="s">
        <v>20</v>
      </c>
      <c r="AD7" s="704" t="s">
        <v>7</v>
      </c>
      <c r="AE7" s="704" t="s">
        <v>7</v>
      </c>
      <c r="AF7" s="704" t="s">
        <v>7</v>
      </c>
      <c r="AG7" s="235" t="s">
        <v>231</v>
      </c>
      <c r="AH7" s="235" t="s">
        <v>231</v>
      </c>
      <c r="AI7" s="733" t="s">
        <v>231</v>
      </c>
      <c r="AJ7" s="733" t="s">
        <v>231</v>
      </c>
      <c r="AK7" s="733" t="s">
        <v>231</v>
      </c>
      <c r="AL7" s="704" t="s">
        <v>7</v>
      </c>
      <c r="AM7" s="235" t="s">
        <v>231</v>
      </c>
      <c r="AN7" s="235" t="s">
        <v>231</v>
      </c>
      <c r="AO7" s="704" t="s">
        <v>7</v>
      </c>
      <c r="AP7" s="661" t="s">
        <v>231</v>
      </c>
      <c r="AQ7" s="661" t="s">
        <v>231</v>
      </c>
      <c r="AR7" s="661" t="s">
        <v>231</v>
      </c>
      <c r="AS7" s="661" t="s">
        <v>231</v>
      </c>
      <c r="AT7" s="661" t="s">
        <v>231</v>
      </c>
      <c r="AU7" s="235" t="s">
        <v>7</v>
      </c>
      <c r="AV7" s="235" t="s">
        <v>7</v>
      </c>
      <c r="AW7" s="704" t="s">
        <v>7</v>
      </c>
      <c r="AX7" s="704" t="s">
        <v>7</v>
      </c>
      <c r="AY7" s="704" t="s">
        <v>670</v>
      </c>
      <c r="AZ7" s="235" t="s">
        <v>5</v>
      </c>
      <c r="BA7" s="699" t="s">
        <v>7</v>
      </c>
      <c r="BB7" s="699" t="s">
        <v>7</v>
      </c>
      <c r="BC7" s="521" t="s">
        <v>781</v>
      </c>
      <c r="BD7" s="789" t="s">
        <v>804</v>
      </c>
      <c r="BE7" s="789" t="s">
        <v>782</v>
      </c>
    </row>
    <row r="8" spans="1:57" s="412" customFormat="1">
      <c r="A8" s="416" t="s">
        <v>8</v>
      </c>
      <c r="B8" s="417"/>
      <c r="C8" s="418"/>
      <c r="D8" s="418"/>
      <c r="E8" s="440" t="s">
        <v>261</v>
      </c>
      <c r="F8" s="658" t="s">
        <v>10</v>
      </c>
      <c r="G8" s="662" t="s">
        <v>259</v>
      </c>
      <c r="H8" s="662" t="s">
        <v>122</v>
      </c>
      <c r="I8" s="662" t="s">
        <v>687</v>
      </c>
      <c r="J8" s="662" t="s">
        <v>13</v>
      </c>
      <c r="K8" s="662" t="s">
        <v>14</v>
      </c>
      <c r="L8" s="662" t="s">
        <v>29</v>
      </c>
      <c r="M8" s="662" t="s">
        <v>29</v>
      </c>
      <c r="N8" s="662" t="s">
        <v>17</v>
      </c>
      <c r="O8" s="662" t="s">
        <v>668</v>
      </c>
      <c r="P8" s="662" t="s">
        <v>19</v>
      </c>
      <c r="Q8" s="662" t="s">
        <v>225</v>
      </c>
      <c r="R8" s="662" t="s">
        <v>711</v>
      </c>
      <c r="S8" s="440" t="s">
        <v>182</v>
      </c>
      <c r="T8" s="678" t="s">
        <v>627</v>
      </c>
      <c r="U8" s="678" t="s">
        <v>673</v>
      </c>
      <c r="V8" s="734" t="s">
        <v>669</v>
      </c>
      <c r="W8" s="440" t="s">
        <v>18</v>
      </c>
      <c r="X8" s="440" t="s">
        <v>117</v>
      </c>
      <c r="Y8" s="440" t="s">
        <v>2</v>
      </c>
      <c r="Z8" s="440" t="s">
        <v>649</v>
      </c>
      <c r="AA8" s="683" t="s">
        <v>12</v>
      </c>
      <c r="AB8" s="751" t="s">
        <v>680</v>
      </c>
      <c r="AC8" s="440" t="s">
        <v>33</v>
      </c>
      <c r="AD8" s="705" t="s">
        <v>739</v>
      </c>
      <c r="AE8" s="705" t="s">
        <v>70</v>
      </c>
      <c r="AF8" s="705" t="s">
        <v>629</v>
      </c>
      <c r="AG8" s="440" t="s">
        <v>667</v>
      </c>
      <c r="AH8" s="440" t="s">
        <v>752</v>
      </c>
      <c r="AI8" s="734" t="s">
        <v>222</v>
      </c>
      <c r="AJ8" s="734" t="s">
        <v>222</v>
      </c>
      <c r="AK8" s="734" t="s">
        <v>239</v>
      </c>
      <c r="AL8" s="705" t="s">
        <v>692</v>
      </c>
      <c r="AM8" s="440" t="s">
        <v>657</v>
      </c>
      <c r="AN8" s="440" t="s">
        <v>14</v>
      </c>
      <c r="AO8" s="705" t="s">
        <v>688</v>
      </c>
      <c r="AP8" s="662" t="s">
        <v>754</v>
      </c>
      <c r="AQ8" s="662" t="s">
        <v>767</v>
      </c>
      <c r="AR8" s="777" t="s">
        <v>757</v>
      </c>
      <c r="AS8" s="777" t="s">
        <v>769</v>
      </c>
      <c r="AT8" s="777" t="s">
        <v>757</v>
      </c>
      <c r="AU8" s="440" t="s">
        <v>740</v>
      </c>
      <c r="AV8" s="440" t="s">
        <v>741</v>
      </c>
      <c r="AW8" s="705" t="s">
        <v>744</v>
      </c>
      <c r="AX8" s="705" t="s">
        <v>766</v>
      </c>
      <c r="AY8" s="705" t="s">
        <v>649</v>
      </c>
      <c r="AZ8" s="787" t="s">
        <v>776</v>
      </c>
      <c r="BA8" s="700" t="s">
        <v>743</v>
      </c>
      <c r="BB8" s="700" t="s">
        <v>743</v>
      </c>
      <c r="BC8" s="519" t="s">
        <v>231</v>
      </c>
      <c r="BD8" s="793" t="s">
        <v>805</v>
      </c>
      <c r="BE8" s="790" t="s">
        <v>778</v>
      </c>
    </row>
    <row r="9" spans="1:57" s="412" customFormat="1">
      <c r="A9" s="419" t="s">
        <v>21</v>
      </c>
      <c r="B9" s="420"/>
      <c r="C9" s="421"/>
      <c r="D9" s="421" t="s">
        <v>22</v>
      </c>
      <c r="E9" s="441" t="s">
        <v>262</v>
      </c>
      <c r="F9" s="659" t="s">
        <v>24</v>
      </c>
      <c r="G9" s="663" t="s">
        <v>260</v>
      </c>
      <c r="H9" s="663" t="s">
        <v>76</v>
      </c>
      <c r="I9" s="663" t="s">
        <v>24</v>
      </c>
      <c r="J9" s="663" t="s">
        <v>27</v>
      </c>
      <c r="K9" s="663" t="s">
        <v>28</v>
      </c>
      <c r="L9" s="663" t="s">
        <v>76</v>
      </c>
      <c r="M9" s="663" t="s">
        <v>76</v>
      </c>
      <c r="N9" s="663" t="s">
        <v>30</v>
      </c>
      <c r="O9" s="663" t="s">
        <v>29</v>
      </c>
      <c r="P9" s="663" t="s">
        <v>646</v>
      </c>
      <c r="Q9" s="663" t="s">
        <v>27</v>
      </c>
      <c r="R9" s="663" t="s">
        <v>258</v>
      </c>
      <c r="S9" s="441" t="s">
        <v>76</v>
      </c>
      <c r="T9" s="679" t="s">
        <v>628</v>
      </c>
      <c r="U9" s="679" t="s">
        <v>674</v>
      </c>
      <c r="V9" s="735"/>
      <c r="W9" s="441" t="s">
        <v>31</v>
      </c>
      <c r="X9" s="441" t="s">
        <v>118</v>
      </c>
      <c r="Y9" s="441" t="s">
        <v>25</v>
      </c>
      <c r="Z9" s="441" t="s">
        <v>655</v>
      </c>
      <c r="AA9" s="441" t="s">
        <v>26</v>
      </c>
      <c r="AB9" s="752" t="s">
        <v>681</v>
      </c>
      <c r="AC9" s="441" t="s">
        <v>76</v>
      </c>
      <c r="AD9" s="706" t="s">
        <v>26</v>
      </c>
      <c r="AE9" s="706" t="s">
        <v>748</v>
      </c>
      <c r="AF9" s="706" t="s">
        <v>182</v>
      </c>
      <c r="AG9" s="441" t="s">
        <v>666</v>
      </c>
      <c r="AH9" s="441" t="s">
        <v>551</v>
      </c>
      <c r="AI9" s="735" t="s">
        <v>238</v>
      </c>
      <c r="AJ9" s="735" t="s">
        <v>223</v>
      </c>
      <c r="AK9" s="735" t="s">
        <v>240</v>
      </c>
      <c r="AL9" s="706" t="s">
        <v>29</v>
      </c>
      <c r="AM9" s="441" t="s">
        <v>29</v>
      </c>
      <c r="AN9" s="441" t="s">
        <v>28</v>
      </c>
      <c r="AO9" s="706" t="s">
        <v>689</v>
      </c>
      <c r="AP9" s="663" t="s">
        <v>755</v>
      </c>
      <c r="AQ9" s="663" t="s">
        <v>768</v>
      </c>
      <c r="AR9" s="663" t="s">
        <v>756</v>
      </c>
      <c r="AS9" s="663" t="s">
        <v>770</v>
      </c>
      <c r="AT9" s="663" t="s">
        <v>763</v>
      </c>
      <c r="AU9" s="441" t="s">
        <v>122</v>
      </c>
      <c r="AV9" s="706" t="s">
        <v>789</v>
      </c>
      <c r="AW9" s="706" t="s">
        <v>790</v>
      </c>
      <c r="AX9" s="706" t="s">
        <v>689</v>
      </c>
      <c r="AY9" s="706" t="s">
        <v>655</v>
      </c>
      <c r="AZ9" s="441" t="s">
        <v>773</v>
      </c>
      <c r="BA9" s="701"/>
      <c r="BB9" s="701"/>
      <c r="BC9" s="466" t="s">
        <v>135</v>
      </c>
      <c r="BD9" s="791" t="s">
        <v>806</v>
      </c>
      <c r="BE9" s="791" t="s">
        <v>779</v>
      </c>
    </row>
    <row r="10" spans="1:57" s="458" customFormat="1">
      <c r="B10" s="461" t="s">
        <v>563</v>
      </c>
      <c r="E10" s="459">
        <v>1</v>
      </c>
      <c r="F10" s="459">
        <f>1+0.01</f>
        <v>1.01</v>
      </c>
      <c r="G10" s="459">
        <f>F10+0.01</f>
        <v>1.02</v>
      </c>
      <c r="H10" s="460">
        <f>G10+0.01</f>
        <v>1.03</v>
      </c>
      <c r="I10" s="460">
        <f>H10+0.01</f>
        <v>1.04</v>
      </c>
      <c r="J10" s="460">
        <v>2.0099999999999998</v>
      </c>
      <c r="K10" s="460">
        <f>J10+0.01</f>
        <v>2.0199999999999996</v>
      </c>
      <c r="L10" s="460">
        <f t="shared" ref="L10:S10" si="0">K10+0.01</f>
        <v>2.0299999999999994</v>
      </c>
      <c r="M10" s="460">
        <f t="shared" si="0"/>
        <v>2.0399999999999991</v>
      </c>
      <c r="N10" s="460">
        <f t="shared" si="0"/>
        <v>2.0499999999999989</v>
      </c>
      <c r="O10" s="460">
        <f t="shared" si="0"/>
        <v>2.0599999999999987</v>
      </c>
      <c r="P10" s="460">
        <f t="shared" si="0"/>
        <v>2.0699999999999985</v>
      </c>
      <c r="Q10" s="460">
        <f t="shared" si="0"/>
        <v>2.0799999999999983</v>
      </c>
      <c r="R10" s="460">
        <f t="shared" si="0"/>
        <v>2.0899999999999981</v>
      </c>
      <c r="S10" s="460">
        <f t="shared" si="0"/>
        <v>2.0999999999999979</v>
      </c>
      <c r="T10" s="460">
        <f t="shared" ref="T10" si="1">S10+0.01</f>
        <v>2.1099999999999977</v>
      </c>
      <c r="U10" s="460">
        <f t="shared" ref="U10" si="2">T10+0.01</f>
        <v>2.1199999999999974</v>
      </c>
      <c r="V10" s="719">
        <f t="shared" ref="V10" si="3">U10+0.01</f>
        <v>2.1299999999999972</v>
      </c>
      <c r="W10" s="460">
        <f t="shared" ref="W10" si="4">V10+0.01</f>
        <v>2.139999999999997</v>
      </c>
      <c r="X10" s="460">
        <f t="shared" ref="X10" si="5">W10+0.01</f>
        <v>2.1499999999999968</v>
      </c>
      <c r="Y10" s="460">
        <f t="shared" ref="Y10" si="6">X10+0.01</f>
        <v>2.1599999999999966</v>
      </c>
      <c r="Z10" s="460">
        <f t="shared" ref="Z10" si="7">Y10+0.01</f>
        <v>2.1699999999999964</v>
      </c>
      <c r="AA10" s="460">
        <f t="shared" ref="AA10" si="8">Z10+0.01</f>
        <v>2.1799999999999962</v>
      </c>
      <c r="AB10" s="719">
        <f t="shared" ref="AB10" si="9">AA10+0.01</f>
        <v>2.1899999999999959</v>
      </c>
      <c r="AC10" s="460" t="s">
        <v>591</v>
      </c>
      <c r="AD10" s="460" t="s">
        <v>746</v>
      </c>
      <c r="AE10" s="460" t="s">
        <v>747</v>
      </c>
      <c r="AF10" s="460">
        <v>3.01</v>
      </c>
      <c r="AG10" s="460">
        <f>AF10+0.01</f>
        <v>3.0199999999999996</v>
      </c>
      <c r="AH10" s="460">
        <f>AG10+0.01</f>
        <v>3.0299999999999994</v>
      </c>
      <c r="AI10" s="719">
        <f>AH10+0.01</f>
        <v>3.0399999999999991</v>
      </c>
      <c r="AJ10" s="719">
        <f t="shared" ref="AJ10:AN10" si="10">AI10+0.01</f>
        <v>3.0499999999999989</v>
      </c>
      <c r="AK10" s="719">
        <f t="shared" si="10"/>
        <v>3.0599999999999987</v>
      </c>
      <c r="AL10" s="460">
        <f>AK10+0.01</f>
        <v>3.0699999999999985</v>
      </c>
      <c r="AM10" s="460">
        <f t="shared" si="10"/>
        <v>3.0799999999999983</v>
      </c>
      <c r="AN10" s="460">
        <f t="shared" si="10"/>
        <v>3.0899999999999981</v>
      </c>
      <c r="AO10" s="460">
        <f t="shared" ref="AO10" si="11">AN10+0.01</f>
        <v>3.0999999999999979</v>
      </c>
      <c r="AP10" s="460">
        <f t="shared" ref="AP10" si="12">AO10+0.01</f>
        <v>3.1099999999999977</v>
      </c>
      <c r="AQ10" s="460">
        <f t="shared" ref="AQ10:AT10" si="13">AP10+0.01</f>
        <v>3.1199999999999974</v>
      </c>
      <c r="AR10" s="460">
        <f t="shared" si="13"/>
        <v>3.1299999999999972</v>
      </c>
      <c r="AS10" s="460">
        <f t="shared" si="13"/>
        <v>3.139999999999997</v>
      </c>
      <c r="AT10" s="460">
        <f t="shared" si="13"/>
        <v>3.1499999999999968</v>
      </c>
      <c r="AU10" s="460">
        <f>AT10+0.01</f>
        <v>3.1599999999999966</v>
      </c>
      <c r="AV10" s="460">
        <f t="shared" ref="AV10" si="14">AU10+0.01</f>
        <v>3.1699999999999964</v>
      </c>
      <c r="AW10" s="460">
        <f t="shared" ref="AW10" si="15">AV10+0.01</f>
        <v>3.1799999999999962</v>
      </c>
      <c r="AX10" s="460">
        <f t="shared" ref="AX10" si="16">AW10+0.01</f>
        <v>3.1899999999999959</v>
      </c>
      <c r="AY10" s="460">
        <f t="shared" ref="AY10" si="17">AX10+0.01</f>
        <v>3.1999999999999957</v>
      </c>
      <c r="AZ10" s="460">
        <f>AY10+0.01</f>
        <v>3.2099999999999955</v>
      </c>
      <c r="BA10" s="702">
        <f>AZ10+0.01</f>
        <v>3.2199999999999953</v>
      </c>
      <c r="BB10" s="702">
        <f>BA10+0.01</f>
        <v>3.2299999999999951</v>
      </c>
      <c r="BC10" s="467" t="s">
        <v>671</v>
      </c>
      <c r="BD10" s="794" t="s">
        <v>786</v>
      </c>
      <c r="BE10" s="792" t="s">
        <v>780</v>
      </c>
    </row>
    <row r="11" spans="1:57" s="458" customFormat="1">
      <c r="B11" s="461" t="s">
        <v>564</v>
      </c>
      <c r="E11" s="459" t="s">
        <v>565</v>
      </c>
      <c r="F11" s="459" t="s">
        <v>566</v>
      </c>
      <c r="G11" s="459" t="s">
        <v>567</v>
      </c>
      <c r="H11" s="460" t="s">
        <v>568</v>
      </c>
      <c r="I11" s="460" t="s">
        <v>684</v>
      </c>
      <c r="J11" s="460" t="s">
        <v>569</v>
      </c>
      <c r="K11" s="460" t="s">
        <v>597</v>
      </c>
      <c r="L11" s="460" t="s">
        <v>570</v>
      </c>
      <c r="M11" s="460" t="s">
        <v>571</v>
      </c>
      <c r="N11" s="460" t="s">
        <v>572</v>
      </c>
      <c r="O11" s="460" t="s">
        <v>573</v>
      </c>
      <c r="P11" s="460" t="s">
        <v>595</v>
      </c>
      <c r="Q11" s="460" t="s">
        <v>576</v>
      </c>
      <c r="R11" s="460" t="s">
        <v>577</v>
      </c>
      <c r="S11" s="460" t="s">
        <v>626</v>
      </c>
      <c r="T11" s="460" t="s">
        <v>631</v>
      </c>
      <c r="U11" s="460" t="s">
        <v>578</v>
      </c>
      <c r="V11" s="720" t="s">
        <v>579</v>
      </c>
      <c r="W11" s="460" t="s">
        <v>580</v>
      </c>
      <c r="X11" s="460" t="s">
        <v>574</v>
      </c>
      <c r="Y11" s="460" t="s">
        <v>575</v>
      </c>
      <c r="Z11" s="668" t="s">
        <v>639</v>
      </c>
      <c r="AA11" s="460" t="s">
        <v>658</v>
      </c>
      <c r="AB11" s="720" t="s">
        <v>738</v>
      </c>
      <c r="AC11" s="460"/>
      <c r="AD11" s="460" t="s">
        <v>749</v>
      </c>
      <c r="AE11" s="460" t="s">
        <v>750</v>
      </c>
      <c r="AF11" s="460" t="s">
        <v>630</v>
      </c>
      <c r="AG11" s="460" t="s">
        <v>644</v>
      </c>
      <c r="AH11" s="460" t="s">
        <v>753</v>
      </c>
      <c r="AI11" s="719" t="s">
        <v>581</v>
      </c>
      <c r="AJ11" s="719" t="s">
        <v>582</v>
      </c>
      <c r="AK11" s="719" t="s">
        <v>583</v>
      </c>
      <c r="AL11" s="668" t="s">
        <v>714</v>
      </c>
      <c r="AM11" s="460" t="s">
        <v>690</v>
      </c>
      <c r="AN11" s="460" t="s">
        <v>596</v>
      </c>
      <c r="AO11" s="668" t="s">
        <v>713</v>
      </c>
      <c r="AP11" s="668" t="s">
        <v>758</v>
      </c>
      <c r="AQ11" s="460" t="s">
        <v>759</v>
      </c>
      <c r="AR11" s="460" t="s">
        <v>760</v>
      </c>
      <c r="AS11" s="460" t="s">
        <v>761</v>
      </c>
      <c r="AT11" s="460" t="s">
        <v>762</v>
      </c>
      <c r="AU11" s="460" t="s">
        <v>684</v>
      </c>
      <c r="AV11" s="460" t="s">
        <v>742</v>
      </c>
      <c r="AW11" s="668" t="s">
        <v>745</v>
      </c>
      <c r="AX11" s="668" t="s">
        <v>691</v>
      </c>
      <c r="AY11" s="668" t="s">
        <v>639</v>
      </c>
      <c r="AZ11" s="668" t="s">
        <v>774</v>
      </c>
      <c r="BA11" s="460"/>
      <c r="BB11" s="668"/>
      <c r="BC11" s="467"/>
      <c r="BD11" s="795" t="s">
        <v>777</v>
      </c>
      <c r="BE11" s="792" t="s">
        <v>135</v>
      </c>
    </row>
    <row r="12" spans="1:57" s="458" customFormat="1" ht="5.25" customHeight="1">
      <c r="B12" s="461"/>
      <c r="E12" s="459"/>
      <c r="F12" s="459"/>
      <c r="G12" s="459"/>
      <c r="H12" s="460"/>
      <c r="I12" s="459"/>
      <c r="J12" s="459"/>
      <c r="K12" s="460"/>
      <c r="L12" s="459"/>
      <c r="M12" s="459"/>
      <c r="N12" s="459"/>
      <c r="O12" s="459"/>
      <c r="P12" s="459"/>
      <c r="Q12" s="459"/>
      <c r="R12" s="459"/>
      <c r="S12" s="459"/>
      <c r="T12" s="460"/>
      <c r="U12" s="460"/>
      <c r="V12" s="720"/>
      <c r="W12" s="459"/>
      <c r="X12" s="459"/>
      <c r="Y12" s="459"/>
      <c r="Z12" s="668"/>
      <c r="AA12" s="460"/>
      <c r="AB12" s="720"/>
      <c r="AC12" s="460"/>
      <c r="AD12" s="460"/>
      <c r="AE12" s="460"/>
      <c r="AF12" s="460"/>
      <c r="AG12" s="460"/>
      <c r="AH12" s="460"/>
      <c r="AI12" s="736"/>
      <c r="AJ12" s="736"/>
      <c r="AK12" s="736"/>
      <c r="AL12" s="668"/>
      <c r="AM12" s="459"/>
      <c r="AN12" s="460"/>
      <c r="AO12" s="668"/>
      <c r="AP12" s="668"/>
      <c r="AQ12" s="459"/>
      <c r="AR12" s="459"/>
      <c r="AS12" s="459"/>
      <c r="AT12" s="459"/>
      <c r="AU12" s="459"/>
      <c r="AV12" s="459"/>
      <c r="AW12" s="668"/>
      <c r="AX12" s="668"/>
      <c r="AY12" s="668"/>
      <c r="AZ12" s="668"/>
      <c r="BA12" s="459"/>
      <c r="BB12" s="668"/>
      <c r="BC12" s="467"/>
      <c r="BD12" s="795"/>
      <c r="BE12" s="807"/>
    </row>
    <row r="13" spans="1:57">
      <c r="B13" s="409" t="s">
        <v>187</v>
      </c>
      <c r="H13" s="436"/>
      <c r="V13" s="721"/>
      <c r="W13" s="442"/>
      <c r="Z13" s="442"/>
      <c r="AA13" s="442"/>
      <c r="AB13" s="721"/>
      <c r="AG13" s="436"/>
      <c r="AH13" s="436"/>
      <c r="AL13" s="442"/>
      <c r="AO13" s="442"/>
      <c r="AP13" s="442"/>
      <c r="AW13" s="442"/>
      <c r="AX13" s="442"/>
      <c r="AY13" s="442"/>
      <c r="AZ13" s="442"/>
      <c r="BB13" s="442"/>
      <c r="BC13" s="468"/>
      <c r="BD13" s="796"/>
      <c r="BE13" s="808"/>
    </row>
    <row r="14" spans="1:57" s="423" customFormat="1">
      <c r="A14" s="422">
        <v>1</v>
      </c>
      <c r="B14" s="423" t="s">
        <v>188</v>
      </c>
      <c r="E14" s="449">
        <f>'ROO INPUT'!F14</f>
        <v>546549</v>
      </c>
      <c r="F14" s="457">
        <v>0</v>
      </c>
      <c r="G14" s="457">
        <v>0</v>
      </c>
      <c r="H14" s="457">
        <v>0</v>
      </c>
      <c r="I14" s="457">
        <v>0</v>
      </c>
      <c r="J14" s="457">
        <v>-18871</v>
      </c>
      <c r="K14" s="457">
        <v>0</v>
      </c>
      <c r="L14" s="457">
        <v>0</v>
      </c>
      <c r="M14" s="457">
        <v>0</v>
      </c>
      <c r="N14" s="457">
        <v>0</v>
      </c>
      <c r="O14" s="457">
        <v>0</v>
      </c>
      <c r="P14" s="457">
        <v>0</v>
      </c>
      <c r="Q14" s="457">
        <v>0</v>
      </c>
      <c r="R14" s="457">
        <v>0</v>
      </c>
      <c r="S14" s="457">
        <v>-3836</v>
      </c>
      <c r="T14" s="457">
        <v>-21727</v>
      </c>
      <c r="U14" s="457">
        <v>0</v>
      </c>
      <c r="V14" s="722">
        <v>0</v>
      </c>
      <c r="W14" s="457">
        <v>0</v>
      </c>
      <c r="X14" s="457">
        <v>1740</v>
      </c>
      <c r="Y14" s="457">
        <v>0</v>
      </c>
      <c r="Z14" s="457">
        <v>0</v>
      </c>
      <c r="AA14" s="457">
        <v>0</v>
      </c>
      <c r="AB14" s="722">
        <v>0</v>
      </c>
      <c r="AC14" s="293">
        <f>SUM(E14:AB14)</f>
        <v>503855</v>
      </c>
      <c r="AD14" s="457">
        <v>0</v>
      </c>
      <c r="AE14" s="457">
        <v>0</v>
      </c>
      <c r="AF14" s="457">
        <v>26639</v>
      </c>
      <c r="AG14" s="457">
        <v>0</v>
      </c>
      <c r="AH14" s="457">
        <v>0</v>
      </c>
      <c r="AI14" s="722">
        <v>0</v>
      </c>
      <c r="AJ14" s="722">
        <v>0</v>
      </c>
      <c r="AK14" s="722">
        <v>0</v>
      </c>
      <c r="AL14" s="457">
        <v>0</v>
      </c>
      <c r="AM14" s="457">
        <v>0</v>
      </c>
      <c r="AN14" s="457">
        <v>0</v>
      </c>
      <c r="AO14" s="457">
        <v>0</v>
      </c>
      <c r="AP14" s="457">
        <v>0</v>
      </c>
      <c r="AQ14" s="457">
        <v>0</v>
      </c>
      <c r="AR14" s="457">
        <v>0</v>
      </c>
      <c r="AS14" s="457">
        <v>0</v>
      </c>
      <c r="AT14" s="457">
        <v>0</v>
      </c>
      <c r="AU14" s="457">
        <v>0</v>
      </c>
      <c r="AV14" s="457">
        <v>0</v>
      </c>
      <c r="AW14" s="457">
        <v>0</v>
      </c>
      <c r="AX14" s="457">
        <v>0</v>
      </c>
      <c r="AY14" s="457">
        <v>0</v>
      </c>
      <c r="AZ14" s="457">
        <v>0</v>
      </c>
      <c r="BA14" s="457">
        <v>0</v>
      </c>
      <c r="BB14" s="457">
        <v>0</v>
      </c>
      <c r="BC14" s="469">
        <f>SUM(AC14:BB14)</f>
        <v>530494</v>
      </c>
      <c r="BD14" s="797"/>
      <c r="BE14" s="809">
        <f t="shared" ref="BE14:BE19" si="18">SUM(BC14:BD14)</f>
        <v>530494</v>
      </c>
    </row>
    <row r="15" spans="1:57"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21">
        <v>0</v>
      </c>
      <c r="W15" s="436">
        <v>0</v>
      </c>
      <c r="X15" s="435" t="s">
        <v>593</v>
      </c>
      <c r="Y15" s="435">
        <v>0</v>
      </c>
      <c r="Z15" s="442">
        <v>0</v>
      </c>
      <c r="AA15" s="436">
        <v>0</v>
      </c>
      <c r="AB15" s="721">
        <v>0</v>
      </c>
      <c r="AC15" s="434">
        <f>SUM(E15:AB15)</f>
        <v>1228</v>
      </c>
      <c r="AD15" s="436">
        <v>0</v>
      </c>
      <c r="AE15" s="436">
        <v>0</v>
      </c>
      <c r="AF15" s="436">
        <v>0</v>
      </c>
      <c r="AG15" s="435">
        <v>0</v>
      </c>
      <c r="AH15" s="435">
        <v>0</v>
      </c>
      <c r="AI15" s="732">
        <v>0</v>
      </c>
      <c r="AJ15" s="732">
        <v>0</v>
      </c>
      <c r="AK15" s="732">
        <v>0</v>
      </c>
      <c r="AL15" s="442">
        <v>0</v>
      </c>
      <c r="AM15" s="435">
        <v>0</v>
      </c>
      <c r="AN15" s="435">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68">
        <f t="shared" ref="BC15:BC19" si="19">SUM(AC15:BB15)</f>
        <v>1228</v>
      </c>
      <c r="BD15" s="796">
        <v>0</v>
      </c>
      <c r="BE15" s="808">
        <f t="shared" si="18"/>
        <v>1228</v>
      </c>
    </row>
    <row r="16" spans="1:57" s="424" customFormat="1">
      <c r="A16" s="422">
        <v>3</v>
      </c>
      <c r="B16" s="424" t="s">
        <v>190</v>
      </c>
      <c r="E16" s="454">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23">
        <v>0</v>
      </c>
      <c r="W16" s="443">
        <v>0</v>
      </c>
      <c r="X16" s="444">
        <v>0</v>
      </c>
      <c r="Y16" s="444">
        <v>0</v>
      </c>
      <c r="Z16" s="443">
        <v>0</v>
      </c>
      <c r="AA16" s="443">
        <v>-17144</v>
      </c>
      <c r="AB16" s="723">
        <v>0</v>
      </c>
      <c r="AC16" s="237">
        <f>SUM(E16:AB16)</f>
        <v>36286</v>
      </c>
      <c r="AD16" s="443">
        <v>17183</v>
      </c>
      <c r="AE16" s="443">
        <v>0</v>
      </c>
      <c r="AF16" s="443">
        <v>0</v>
      </c>
      <c r="AG16" s="444">
        <v>0</v>
      </c>
      <c r="AH16" s="444">
        <v>0</v>
      </c>
      <c r="AI16" s="727">
        <v>0</v>
      </c>
      <c r="AJ16" s="727">
        <v>0</v>
      </c>
      <c r="AK16" s="727">
        <v>0</v>
      </c>
      <c r="AL16" s="443">
        <v>0</v>
      </c>
      <c r="AM16" s="444">
        <v>0</v>
      </c>
      <c r="AN16" s="444">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70">
        <f t="shared" si="19"/>
        <v>53469</v>
      </c>
      <c r="BD16" s="798">
        <v>0</v>
      </c>
      <c r="BE16" s="810">
        <f t="shared" si="18"/>
        <v>53469</v>
      </c>
    </row>
    <row r="17" spans="1:57" s="424" customFormat="1">
      <c r="A17" s="422">
        <v>4</v>
      </c>
      <c r="B17" s="424" t="s">
        <v>191</v>
      </c>
      <c r="E17" s="427">
        <f t="shared" ref="E17:AJ17" si="20">SUM(E14:E16)</f>
        <v>601207</v>
      </c>
      <c r="F17" s="435">
        <f t="shared" si="20"/>
        <v>0</v>
      </c>
      <c r="G17" s="435">
        <f t="shared" si="20"/>
        <v>0</v>
      </c>
      <c r="H17" s="435">
        <f t="shared" si="20"/>
        <v>0</v>
      </c>
      <c r="I17" s="435">
        <f t="shared" ref="I17" si="21">SUM(I14:I16)</f>
        <v>0</v>
      </c>
      <c r="J17" s="435">
        <f t="shared" si="20"/>
        <v>-18871</v>
      </c>
      <c r="K17" s="436">
        <f t="shared" ref="K17" si="22">SUM(K14:K16)</f>
        <v>0</v>
      </c>
      <c r="L17" s="435">
        <f t="shared" si="20"/>
        <v>0</v>
      </c>
      <c r="M17" s="435">
        <f t="shared" si="20"/>
        <v>0</v>
      </c>
      <c r="N17" s="435">
        <f t="shared" si="20"/>
        <v>0</v>
      </c>
      <c r="O17" s="435">
        <f t="shared" si="20"/>
        <v>0</v>
      </c>
      <c r="P17" s="435">
        <f t="shared" si="20"/>
        <v>0</v>
      </c>
      <c r="Q17" s="435">
        <f t="shared" si="20"/>
        <v>0</v>
      </c>
      <c r="R17" s="435">
        <f t="shared" si="20"/>
        <v>0</v>
      </c>
      <c r="S17" s="435">
        <f t="shared" si="20"/>
        <v>-3836</v>
      </c>
      <c r="T17" s="436">
        <f t="shared" ref="T17" si="23">SUM(T14:T16)</f>
        <v>-21727</v>
      </c>
      <c r="U17" s="436">
        <f>SUM(U14:U16)</f>
        <v>0</v>
      </c>
      <c r="V17" s="721">
        <f t="shared" ref="V17" si="24">SUM(V14:V16)</f>
        <v>0</v>
      </c>
      <c r="W17" s="436">
        <f>SUM(W14:W16)</f>
        <v>0</v>
      </c>
      <c r="X17" s="435">
        <f>SUM(X14:X16)</f>
        <v>1740</v>
      </c>
      <c r="Y17" s="435">
        <f>SUM(Y14:Y16)</f>
        <v>0</v>
      </c>
      <c r="Z17" s="442">
        <f t="shared" ref="Z17" si="25">SUM(Z14:Z16)</f>
        <v>0</v>
      </c>
      <c r="AA17" s="436">
        <f t="shared" ref="AA17" si="26">SUM(AA14:AA16)</f>
        <v>-17144</v>
      </c>
      <c r="AB17" s="721">
        <f>SUM(AB14:AB16)</f>
        <v>0</v>
      </c>
      <c r="AC17" s="434">
        <f t="shared" si="20"/>
        <v>541369</v>
      </c>
      <c r="AD17" s="436">
        <f t="shared" si="20"/>
        <v>17183</v>
      </c>
      <c r="AE17" s="436">
        <f t="shared" ref="AE17" si="27">SUM(AE14:AE16)</f>
        <v>0</v>
      </c>
      <c r="AF17" s="436">
        <f t="shared" ref="AF17" si="28">SUM(AF14:AF16)</f>
        <v>26639</v>
      </c>
      <c r="AG17" s="435">
        <f>SUM(AG14:AG16)</f>
        <v>0</v>
      </c>
      <c r="AH17" s="435">
        <f>SUM(AH14:AH16)</f>
        <v>0</v>
      </c>
      <c r="AI17" s="732">
        <f>SUM(AI14:AI16)</f>
        <v>0</v>
      </c>
      <c r="AJ17" s="732">
        <f t="shared" si="20"/>
        <v>0</v>
      </c>
      <c r="AK17" s="732">
        <f t="shared" ref="AK17" si="29">SUM(AK14:AK16)</f>
        <v>0</v>
      </c>
      <c r="AL17" s="442">
        <f>SUM(AL14:AL16)</f>
        <v>0</v>
      </c>
      <c r="AM17" s="435">
        <f t="shared" ref="AM17" si="30">SUM(AM14:AM16)</f>
        <v>0</v>
      </c>
      <c r="AN17" s="435">
        <f>SUM(AN14:AN16)</f>
        <v>0</v>
      </c>
      <c r="AO17" s="442">
        <f>SUM(AO14:AO16)</f>
        <v>0</v>
      </c>
      <c r="AP17" s="442">
        <f t="shared" ref="AP17" si="31">SUM(AP14:AP16)</f>
        <v>0</v>
      </c>
      <c r="AQ17" s="435">
        <f t="shared" ref="AQ17:AV17" si="32">SUM(AQ14:AQ16)</f>
        <v>0</v>
      </c>
      <c r="AR17" s="435">
        <f t="shared" si="32"/>
        <v>0</v>
      </c>
      <c r="AS17" s="435">
        <f t="shared" si="32"/>
        <v>0</v>
      </c>
      <c r="AT17" s="435">
        <f t="shared" si="32"/>
        <v>0</v>
      </c>
      <c r="AU17" s="435">
        <f t="shared" si="32"/>
        <v>0</v>
      </c>
      <c r="AV17" s="435">
        <f t="shared" si="32"/>
        <v>0</v>
      </c>
      <c r="AW17" s="442">
        <f t="shared" ref="AW17:AX17" si="33">SUM(AW14:AW16)</f>
        <v>0</v>
      </c>
      <c r="AX17" s="442">
        <f t="shared" si="33"/>
        <v>0</v>
      </c>
      <c r="AY17" s="442">
        <f>SUM(AY14:AY16)</f>
        <v>0</v>
      </c>
      <c r="AZ17" s="442">
        <f>SUM(AZ14:AZ16)</f>
        <v>0</v>
      </c>
      <c r="BA17" s="435">
        <f>SUM(BA14:BA16)</f>
        <v>0</v>
      </c>
      <c r="BB17" s="442">
        <f>SUM(BB14:BB16)</f>
        <v>0</v>
      </c>
      <c r="BC17" s="468">
        <f t="shared" si="19"/>
        <v>585191</v>
      </c>
      <c r="BD17" s="796">
        <f>SUM(BD14:BD16)</f>
        <v>0</v>
      </c>
      <c r="BE17" s="808">
        <f t="shared" si="18"/>
        <v>585191</v>
      </c>
    </row>
    <row r="18" spans="1:57" s="424" customFormat="1">
      <c r="A18" s="422">
        <v>5</v>
      </c>
      <c r="B18" s="424" t="s">
        <v>192</v>
      </c>
      <c r="E18" s="454">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23">
        <v>0</v>
      </c>
      <c r="W18" s="443">
        <v>0</v>
      </c>
      <c r="X18" s="444">
        <v>0</v>
      </c>
      <c r="Y18" s="444">
        <v>0</v>
      </c>
      <c r="Z18" s="443">
        <v>0</v>
      </c>
      <c r="AA18" s="443">
        <v>-39208</v>
      </c>
      <c r="AB18" s="723">
        <v>0</v>
      </c>
      <c r="AC18" s="237">
        <f>SUM(E18:AB18)</f>
        <v>23698</v>
      </c>
      <c r="AD18" s="443">
        <v>3133</v>
      </c>
      <c r="AE18" s="443">
        <v>658</v>
      </c>
      <c r="AF18" s="443">
        <f>-10789+181</f>
        <v>-10608</v>
      </c>
      <c r="AG18" s="444">
        <v>0</v>
      </c>
      <c r="AH18" s="444">
        <v>0</v>
      </c>
      <c r="AI18" s="727">
        <v>0</v>
      </c>
      <c r="AJ18" s="727">
        <v>0</v>
      </c>
      <c r="AK18" s="727">
        <v>0</v>
      </c>
      <c r="AL18" s="443">
        <v>0</v>
      </c>
      <c r="AM18" s="444">
        <v>0</v>
      </c>
      <c r="AN18" s="444">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70">
        <f t="shared" si="19"/>
        <v>16881</v>
      </c>
      <c r="BD18" s="798">
        <v>0</v>
      </c>
      <c r="BE18" s="810">
        <f t="shared" si="18"/>
        <v>16881</v>
      </c>
    </row>
    <row r="19" spans="1:57" s="424" customFormat="1">
      <c r="A19" s="422">
        <v>6</v>
      </c>
      <c r="B19" s="424" t="s">
        <v>193</v>
      </c>
      <c r="E19" s="427">
        <f t="shared" ref="E19:AL19" si="34">SUM(E17:E18)</f>
        <v>661457</v>
      </c>
      <c r="F19" s="435">
        <f t="shared" si="34"/>
        <v>0</v>
      </c>
      <c r="G19" s="435">
        <f t="shared" si="34"/>
        <v>0</v>
      </c>
      <c r="H19" s="435">
        <f t="shared" si="34"/>
        <v>0</v>
      </c>
      <c r="I19" s="435">
        <f t="shared" ref="I19" si="35">SUM(I17:I18)</f>
        <v>0</v>
      </c>
      <c r="J19" s="435">
        <f t="shared" si="34"/>
        <v>-18885</v>
      </c>
      <c r="K19" s="436">
        <f t="shared" ref="K19" si="36">SUM(K17:K18)</f>
        <v>0</v>
      </c>
      <c r="L19" s="435">
        <f t="shared" si="34"/>
        <v>0</v>
      </c>
      <c r="M19" s="435">
        <f t="shared" si="34"/>
        <v>0</v>
      </c>
      <c r="N19" s="435">
        <f t="shared" si="34"/>
        <v>0</v>
      </c>
      <c r="O19" s="435">
        <f t="shared" si="34"/>
        <v>0</v>
      </c>
      <c r="P19" s="435">
        <f t="shared" si="34"/>
        <v>0</v>
      </c>
      <c r="Q19" s="435">
        <f t="shared" si="34"/>
        <v>0</v>
      </c>
      <c r="R19" s="435">
        <f t="shared" si="34"/>
        <v>0</v>
      </c>
      <c r="S19" s="435">
        <f t="shared" si="34"/>
        <v>-953</v>
      </c>
      <c r="T19" s="436">
        <f t="shared" ref="T19" si="37">SUM(T17:T18)</f>
        <v>-21940</v>
      </c>
      <c r="U19" s="436">
        <f>SUM(U17:U18)</f>
        <v>0</v>
      </c>
      <c r="V19" s="721">
        <f>SUM(V17:V18)</f>
        <v>0</v>
      </c>
      <c r="W19" s="436">
        <f>SUM(W17:W18)</f>
        <v>0</v>
      </c>
      <c r="X19" s="435">
        <f>SUM(X17:X18)</f>
        <v>1740</v>
      </c>
      <c r="Y19" s="435">
        <f>SUM(Y17:Y18)</f>
        <v>0</v>
      </c>
      <c r="Z19" s="442">
        <f t="shared" ref="Z19" si="38">SUM(Z17:Z18)</f>
        <v>0</v>
      </c>
      <c r="AA19" s="436">
        <f t="shared" ref="AA19" si="39">SUM(AA17:AA18)</f>
        <v>-56352</v>
      </c>
      <c r="AB19" s="721">
        <f>SUM(AB17:AB18)</f>
        <v>0</v>
      </c>
      <c r="AC19" s="434">
        <f t="shared" si="34"/>
        <v>565067</v>
      </c>
      <c r="AD19" s="436">
        <f t="shared" ref="AD19:AI19" si="40">SUM(AD17:AD18)</f>
        <v>20316</v>
      </c>
      <c r="AE19" s="436">
        <f t="shared" si="40"/>
        <v>658</v>
      </c>
      <c r="AF19" s="436">
        <f t="shared" si="40"/>
        <v>16031</v>
      </c>
      <c r="AG19" s="436">
        <f t="shared" si="40"/>
        <v>0</v>
      </c>
      <c r="AH19" s="436">
        <f t="shared" si="40"/>
        <v>0</v>
      </c>
      <c r="AI19" s="732">
        <f t="shared" si="40"/>
        <v>0</v>
      </c>
      <c r="AJ19" s="732">
        <f t="shared" si="34"/>
        <v>0</v>
      </c>
      <c r="AK19" s="716">
        <f t="shared" si="34"/>
        <v>0</v>
      </c>
      <c r="AL19" s="442">
        <f t="shared" si="34"/>
        <v>0</v>
      </c>
      <c r="AM19" s="435">
        <f t="shared" ref="AM19" si="41">SUM(AM17:AM18)</f>
        <v>0</v>
      </c>
      <c r="AN19" s="436">
        <f t="shared" ref="AN19:AP19" si="42">SUM(AN17:AN18)</f>
        <v>0</v>
      </c>
      <c r="AO19" s="442">
        <f>SUM(AO17:AO18)</f>
        <v>0</v>
      </c>
      <c r="AP19" s="442">
        <f t="shared" si="42"/>
        <v>0</v>
      </c>
      <c r="AQ19" s="435">
        <f t="shared" ref="AQ19:AV19" si="43">SUM(AQ17:AQ18)</f>
        <v>0</v>
      </c>
      <c r="AR19" s="435">
        <f t="shared" si="43"/>
        <v>0</v>
      </c>
      <c r="AS19" s="435">
        <f t="shared" si="43"/>
        <v>0</v>
      </c>
      <c r="AT19" s="435">
        <f t="shared" si="43"/>
        <v>0</v>
      </c>
      <c r="AU19" s="435">
        <f t="shared" si="43"/>
        <v>0</v>
      </c>
      <c r="AV19" s="435">
        <f t="shared" si="43"/>
        <v>0</v>
      </c>
      <c r="AW19" s="442">
        <f t="shared" ref="AW19:AX19" si="44">SUM(AW17:AW18)</f>
        <v>0</v>
      </c>
      <c r="AX19" s="442">
        <f t="shared" si="44"/>
        <v>0</v>
      </c>
      <c r="AY19" s="442">
        <f>SUM(AY17:AY18)</f>
        <v>0</v>
      </c>
      <c r="AZ19" s="442">
        <f>SUM(AZ17:AZ18)</f>
        <v>0</v>
      </c>
      <c r="BA19" s="435">
        <f>SUM(BA17:BA18)</f>
        <v>0</v>
      </c>
      <c r="BB19" s="442">
        <f>SUM(BB17:BB18)</f>
        <v>0</v>
      </c>
      <c r="BC19" s="468">
        <f t="shared" si="19"/>
        <v>602072</v>
      </c>
      <c r="BD19" s="796">
        <f>SUM(BD17:BD18)</f>
        <v>0</v>
      </c>
      <c r="BE19" s="808">
        <f t="shared" si="18"/>
        <v>602072</v>
      </c>
    </row>
    <row r="20" spans="1:57" s="424" customFormat="1" ht="8.25" customHeight="1">
      <c r="A20" s="422"/>
      <c r="E20" s="427"/>
      <c r="F20" s="435"/>
      <c r="G20" s="435"/>
      <c r="H20" s="435"/>
      <c r="I20" s="435"/>
      <c r="J20" s="435"/>
      <c r="K20" s="436"/>
      <c r="L20" s="435"/>
      <c r="M20" s="435"/>
      <c r="N20" s="435"/>
      <c r="O20" s="435"/>
      <c r="P20" s="435"/>
      <c r="Q20" s="435"/>
      <c r="R20" s="435"/>
      <c r="S20" s="435"/>
      <c r="T20" s="436"/>
      <c r="U20" s="436"/>
      <c r="V20" s="721"/>
      <c r="W20" s="436"/>
      <c r="X20" s="435"/>
      <c r="Y20" s="435"/>
      <c r="Z20" s="442"/>
      <c r="AA20" s="436"/>
      <c r="AB20" s="721"/>
      <c r="AC20" s="434"/>
      <c r="AD20" s="436"/>
      <c r="AE20" s="436"/>
      <c r="AF20" s="436"/>
      <c r="AG20" s="436"/>
      <c r="AH20" s="436"/>
      <c r="AI20" s="732"/>
      <c r="AJ20" s="732"/>
      <c r="AK20" s="716"/>
      <c r="AL20" s="442"/>
      <c r="AM20" s="435"/>
      <c r="AN20" s="436"/>
      <c r="AO20" s="442"/>
      <c r="AP20" s="442"/>
      <c r="AQ20" s="435"/>
      <c r="AR20" s="435"/>
      <c r="AS20" s="435"/>
      <c r="AT20" s="435"/>
      <c r="AU20" s="435"/>
      <c r="AV20" s="435"/>
      <c r="AW20" s="442"/>
      <c r="AX20" s="442"/>
      <c r="AY20" s="442"/>
      <c r="AZ20" s="442"/>
      <c r="BA20" s="435"/>
      <c r="BB20" s="442"/>
      <c r="BC20" s="468"/>
      <c r="BD20" s="796"/>
      <c r="BE20" s="808"/>
    </row>
    <row r="21" spans="1:57" s="424" customFormat="1">
      <c r="A21" s="422"/>
      <c r="B21" s="424" t="s">
        <v>194</v>
      </c>
      <c r="E21" s="427"/>
      <c r="F21" s="435"/>
      <c r="G21" s="435"/>
      <c r="H21" s="435"/>
      <c r="I21" s="435"/>
      <c r="J21" s="435"/>
      <c r="K21" s="436"/>
      <c r="L21" s="435"/>
      <c r="M21" s="435"/>
      <c r="N21" s="435"/>
      <c r="O21" s="435"/>
      <c r="P21" s="435"/>
      <c r="Q21" s="435"/>
      <c r="R21" s="435"/>
      <c r="S21" s="435"/>
      <c r="T21" s="436"/>
      <c r="U21" s="436"/>
      <c r="V21" s="721"/>
      <c r="W21" s="436"/>
      <c r="X21" s="435"/>
      <c r="Y21" s="435"/>
      <c r="Z21" s="442"/>
      <c r="AA21" s="436"/>
      <c r="AB21" s="721"/>
      <c r="AC21" s="434"/>
      <c r="AD21" s="436"/>
      <c r="AE21" s="436"/>
      <c r="AF21" s="436"/>
      <c r="AG21" s="436"/>
      <c r="AH21" s="436"/>
      <c r="AI21" s="732"/>
      <c r="AJ21" s="732"/>
      <c r="AK21" s="716"/>
      <c r="AL21" s="442"/>
      <c r="AM21" s="436"/>
      <c r="AN21" s="436"/>
      <c r="AO21" s="442"/>
      <c r="AP21" s="442"/>
      <c r="AQ21" s="436"/>
      <c r="AR21" s="436"/>
      <c r="AS21" s="436"/>
      <c r="AT21" s="436"/>
      <c r="AU21" s="436"/>
      <c r="AV21" s="436"/>
      <c r="AW21" s="442"/>
      <c r="AX21" s="442"/>
      <c r="AY21" s="442"/>
      <c r="AZ21" s="442"/>
      <c r="BA21" s="436"/>
      <c r="BB21" s="442"/>
      <c r="BC21" s="468"/>
      <c r="BD21" s="796"/>
      <c r="BE21" s="808"/>
    </row>
    <row r="22" spans="1:57" s="424" customFormat="1">
      <c r="A22" s="422"/>
      <c r="B22" s="424" t="s">
        <v>195</v>
      </c>
      <c r="E22" s="427"/>
      <c r="F22" s="435"/>
      <c r="G22" s="435"/>
      <c r="H22" s="435"/>
      <c r="I22" s="435"/>
      <c r="J22" s="435"/>
      <c r="K22" s="436"/>
      <c r="L22" s="435"/>
      <c r="M22" s="435"/>
      <c r="N22" s="435"/>
      <c r="O22" s="435"/>
      <c r="P22" s="435"/>
      <c r="Q22" s="435"/>
      <c r="R22" s="435"/>
      <c r="S22" s="435"/>
      <c r="T22" s="436"/>
      <c r="U22" s="436"/>
      <c r="V22" s="721"/>
      <c r="W22" s="436"/>
      <c r="X22" s="435"/>
      <c r="Y22" s="435"/>
      <c r="Z22" s="442"/>
      <c r="AA22" s="436"/>
      <c r="AB22" s="721"/>
      <c r="AC22" s="434"/>
      <c r="AD22" s="436"/>
      <c r="AE22" s="436"/>
      <c r="AF22" s="436"/>
      <c r="AG22" s="436"/>
      <c r="AH22" s="436"/>
      <c r="AI22" s="732"/>
      <c r="AJ22" s="732"/>
      <c r="AK22" s="716"/>
      <c r="AL22" s="442"/>
      <c r="AM22" s="436"/>
      <c r="AN22" s="436"/>
      <c r="AO22" s="442"/>
      <c r="AP22" s="442"/>
      <c r="AQ22" s="436"/>
      <c r="AR22" s="436"/>
      <c r="AS22" s="436"/>
      <c r="AT22" s="436"/>
      <c r="AU22" s="436"/>
      <c r="AV22" s="436"/>
      <c r="AW22" s="442"/>
      <c r="AX22" s="442"/>
      <c r="AY22" s="442"/>
      <c r="AZ22" s="442"/>
      <c r="BA22" s="436"/>
      <c r="BB22" s="442"/>
      <c r="BC22" s="468">
        <f t="shared" ref="BC22:BC28" si="45">SUM(AC22:BB22)</f>
        <v>0</v>
      </c>
      <c r="BD22" s="796"/>
      <c r="BE22" s="808">
        <f t="shared" ref="BE22:BE28" si="46">SUM(BC22:BD22)</f>
        <v>0</v>
      </c>
    </row>
    <row r="23" spans="1:57"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21">
        <v>0</v>
      </c>
      <c r="W23" s="436">
        <v>0</v>
      </c>
      <c r="X23" s="435">
        <v>300</v>
      </c>
      <c r="Y23" s="435">
        <v>-5</v>
      </c>
      <c r="Z23" s="442">
        <v>-926</v>
      </c>
      <c r="AA23" s="436">
        <v>-35686</v>
      </c>
      <c r="AB23" s="721">
        <v>0</v>
      </c>
      <c r="AC23" s="434">
        <f>SUM(E23:AB23)</f>
        <v>134241</v>
      </c>
      <c r="AD23" s="436">
        <f>5733-AD24</f>
        <v>9232</v>
      </c>
      <c r="AE23" s="436">
        <f>-447</f>
        <v>-447</v>
      </c>
      <c r="AF23" s="436">
        <v>0</v>
      </c>
      <c r="AG23" s="436">
        <v>231</v>
      </c>
      <c r="AH23" s="436">
        <v>0</v>
      </c>
      <c r="AI23" s="716">
        <v>1169</v>
      </c>
      <c r="AJ23" s="716">
        <v>0</v>
      </c>
      <c r="AK23" s="716">
        <v>392</v>
      </c>
      <c r="AL23" s="442">
        <v>0</v>
      </c>
      <c r="AM23" s="436">
        <v>0</v>
      </c>
      <c r="AN23" s="436">
        <v>0</v>
      </c>
      <c r="AO23" s="442">
        <v>0</v>
      </c>
      <c r="AP23" s="442">
        <v>0</v>
      </c>
      <c r="AQ23" s="436">
        <v>0</v>
      </c>
      <c r="AR23" s="436">
        <v>0</v>
      </c>
      <c r="AS23" s="436">
        <v>0</v>
      </c>
      <c r="AT23" s="436">
        <v>0</v>
      </c>
      <c r="AU23" s="436">
        <v>0</v>
      </c>
      <c r="AV23" s="436">
        <v>995</v>
      </c>
      <c r="AW23" s="442">
        <f>780+220+386</f>
        <v>1386</v>
      </c>
      <c r="AX23" s="442">
        <v>0</v>
      </c>
      <c r="AY23" s="442">
        <v>-16</v>
      </c>
      <c r="AZ23" s="442"/>
      <c r="BA23" s="436">
        <v>0</v>
      </c>
      <c r="BB23" s="442">
        <v>0</v>
      </c>
      <c r="BC23" s="468">
        <f t="shared" si="45"/>
        <v>147183</v>
      </c>
      <c r="BD23" s="796"/>
      <c r="BE23" s="808">
        <f t="shared" si="46"/>
        <v>147183</v>
      </c>
    </row>
    <row r="24" spans="1:57"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21">
        <v>0</v>
      </c>
      <c r="W24" s="436">
        <v>0</v>
      </c>
      <c r="X24" s="435">
        <v>0</v>
      </c>
      <c r="Y24" s="435">
        <v>0</v>
      </c>
      <c r="Z24" s="442">
        <v>0</v>
      </c>
      <c r="AA24" s="436">
        <v>-14801</v>
      </c>
      <c r="AB24" s="721">
        <v>0</v>
      </c>
      <c r="AC24" s="434">
        <f>SUM(E24:AB24)</f>
        <v>74282</v>
      </c>
      <c r="AD24" s="436">
        <v>-3499</v>
      </c>
      <c r="AE24" s="436">
        <v>0</v>
      </c>
      <c r="AF24" s="436">
        <v>0</v>
      </c>
      <c r="AG24" s="436">
        <v>0</v>
      </c>
      <c r="AH24" s="436">
        <v>0</v>
      </c>
      <c r="AI24" s="732">
        <v>0</v>
      </c>
      <c r="AJ24" s="732">
        <v>0</v>
      </c>
      <c r="AK24" s="716"/>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68">
        <f t="shared" si="45"/>
        <v>70783</v>
      </c>
      <c r="BD24" s="796">
        <v>0</v>
      </c>
      <c r="BE24" s="808">
        <f t="shared" si="46"/>
        <v>70783</v>
      </c>
    </row>
    <row r="25" spans="1:57"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21">
        <v>0</v>
      </c>
      <c r="W25" s="436">
        <v>0</v>
      </c>
      <c r="X25" s="435">
        <v>0</v>
      </c>
      <c r="Y25" s="435">
        <v>0</v>
      </c>
      <c r="Z25" s="442">
        <v>0</v>
      </c>
      <c r="AA25" s="436">
        <v>0</v>
      </c>
      <c r="AB25" s="721">
        <f>2762+805</f>
        <v>3567</v>
      </c>
      <c r="AC25" s="434">
        <f>SUM(E25:AB25)</f>
        <v>36014</v>
      </c>
      <c r="AD25" s="436">
        <v>0</v>
      </c>
      <c r="AE25" s="436">
        <v>0</v>
      </c>
      <c r="AF25" s="436">
        <v>0</v>
      </c>
      <c r="AG25" s="436">
        <v>0</v>
      </c>
      <c r="AH25" s="436">
        <v>0</v>
      </c>
      <c r="AI25" s="732">
        <v>0</v>
      </c>
      <c r="AJ25" s="732">
        <v>0</v>
      </c>
      <c r="AK25" s="716">
        <v>0</v>
      </c>
      <c r="AL25" s="442">
        <v>0</v>
      </c>
      <c r="AM25" s="436">
        <v>0</v>
      </c>
      <c r="AN25" s="436">
        <v>0</v>
      </c>
      <c r="AO25" s="442">
        <v>0</v>
      </c>
      <c r="AP25" s="442">
        <v>0</v>
      </c>
      <c r="AQ25" s="436">
        <f>11+216</f>
        <v>227</v>
      </c>
      <c r="AR25" s="436">
        <f>65+139</f>
        <v>204</v>
      </c>
      <c r="AS25" s="436">
        <f>37+592</f>
        <v>629</v>
      </c>
      <c r="AT25" s="436">
        <v>0</v>
      </c>
      <c r="AU25" s="436">
        <v>0</v>
      </c>
      <c r="AV25" s="436">
        <v>97</v>
      </c>
      <c r="AW25" s="442">
        <f>68+23</f>
        <v>91</v>
      </c>
      <c r="AX25" s="442">
        <v>3053</v>
      </c>
      <c r="AY25" s="442">
        <v>0</v>
      </c>
      <c r="AZ25" s="442">
        <v>0</v>
      </c>
      <c r="BA25" s="436">
        <v>0</v>
      </c>
      <c r="BB25" s="442"/>
      <c r="BC25" s="468">
        <f t="shared" si="45"/>
        <v>40315</v>
      </c>
      <c r="BD25" s="796">
        <v>0</v>
      </c>
      <c r="BE25" s="808">
        <f t="shared" si="46"/>
        <v>40315</v>
      </c>
    </row>
    <row r="26" spans="1:57"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21">
        <v>0</v>
      </c>
      <c r="W26" s="436">
        <v>0</v>
      </c>
      <c r="X26" s="436">
        <v>0</v>
      </c>
      <c r="Y26" s="436">
        <v>0</v>
      </c>
      <c r="Z26" s="442">
        <v>0</v>
      </c>
      <c r="AA26" s="436"/>
      <c r="AB26" s="721"/>
      <c r="AC26" s="434">
        <f>SUM(E26:AB26)</f>
        <v>2620</v>
      </c>
      <c r="AD26" s="436">
        <v>0</v>
      </c>
      <c r="AE26" s="436">
        <v>0</v>
      </c>
      <c r="AF26" s="436">
        <v>0</v>
      </c>
      <c r="AG26" s="436">
        <v>-1869</v>
      </c>
      <c r="AH26" s="436">
        <v>0</v>
      </c>
      <c r="AI26" s="716"/>
      <c r="AJ26" s="716"/>
      <c r="AK26" s="716"/>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68">
        <f t="shared" si="45"/>
        <v>-1783</v>
      </c>
      <c r="BD26" s="796">
        <v>0</v>
      </c>
      <c r="BE26" s="808">
        <f t="shared" si="46"/>
        <v>-1783</v>
      </c>
    </row>
    <row r="27" spans="1:57" s="424" customFormat="1">
      <c r="A27" s="422">
        <v>11</v>
      </c>
      <c r="C27" s="424" t="s">
        <v>198</v>
      </c>
      <c r="E27" s="454">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23">
        <v>0</v>
      </c>
      <c r="W27" s="443">
        <v>0</v>
      </c>
      <c r="X27" s="444">
        <v>0</v>
      </c>
      <c r="Y27" s="444">
        <v>0</v>
      </c>
      <c r="Z27" s="443">
        <v>0</v>
      </c>
      <c r="AA27" s="443">
        <v>0</v>
      </c>
      <c r="AB27" s="723">
        <v>0</v>
      </c>
      <c r="AC27" s="237">
        <f>SUM(E27:AB27)</f>
        <v>16840</v>
      </c>
      <c r="AD27" s="443">
        <v>0</v>
      </c>
      <c r="AE27" s="443">
        <v>0</v>
      </c>
      <c r="AF27" s="443">
        <v>0</v>
      </c>
      <c r="AG27" s="443">
        <v>0</v>
      </c>
      <c r="AH27" s="443">
        <v>0</v>
      </c>
      <c r="AI27" s="727">
        <v>0</v>
      </c>
      <c r="AJ27" s="727">
        <v>0</v>
      </c>
      <c r="AK27" s="723">
        <v>0</v>
      </c>
      <c r="AL27" s="443">
        <v>0</v>
      </c>
      <c r="AM27" s="443">
        <v>0</v>
      </c>
      <c r="AN27" s="443">
        <v>1156</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70">
        <f t="shared" si="45"/>
        <v>17996</v>
      </c>
      <c r="BD27" s="798">
        <v>0</v>
      </c>
      <c r="BE27" s="810">
        <f t="shared" si="46"/>
        <v>17996</v>
      </c>
    </row>
    <row r="28" spans="1:57" s="424" customFormat="1">
      <c r="A28" s="422">
        <v>12</v>
      </c>
      <c r="B28" s="424" t="s">
        <v>199</v>
      </c>
      <c r="E28" s="427">
        <f t="shared" ref="E28:AJ28" si="47">SUM(E23:E27)</f>
        <v>307860</v>
      </c>
      <c r="F28" s="435">
        <f t="shared" si="47"/>
        <v>0</v>
      </c>
      <c r="G28" s="435">
        <f t="shared" si="47"/>
        <v>5</v>
      </c>
      <c r="H28" s="435">
        <f t="shared" si="47"/>
        <v>0</v>
      </c>
      <c r="I28" s="435">
        <f t="shared" ref="I28" si="48">SUM(I23:I27)</f>
        <v>0</v>
      </c>
      <c r="J28" s="435">
        <f t="shared" si="47"/>
        <v>0</v>
      </c>
      <c r="K28" s="436">
        <f t="shared" ref="K28" si="49">SUM(K23:K27)</f>
        <v>351</v>
      </c>
      <c r="L28" s="435">
        <f t="shared" si="47"/>
        <v>0</v>
      </c>
      <c r="M28" s="435">
        <f t="shared" si="47"/>
        <v>0</v>
      </c>
      <c r="N28" s="435">
        <f t="shared" si="47"/>
        <v>0</v>
      </c>
      <c r="O28" s="435">
        <f t="shared" si="47"/>
        <v>0</v>
      </c>
      <c r="P28" s="435">
        <f t="shared" si="47"/>
        <v>0</v>
      </c>
      <c r="Q28" s="435">
        <f t="shared" si="47"/>
        <v>0</v>
      </c>
      <c r="R28" s="435">
        <f t="shared" si="47"/>
        <v>0</v>
      </c>
      <c r="S28" s="435">
        <f t="shared" si="47"/>
        <v>0</v>
      </c>
      <c r="T28" s="436">
        <f t="shared" ref="T28" si="50">SUM(T23:T27)</f>
        <v>3332</v>
      </c>
      <c r="U28" s="436">
        <f>SUM(U23:U27)</f>
        <v>0</v>
      </c>
      <c r="V28" s="721">
        <f t="shared" ref="V28" si="51">SUM(V23:V27)</f>
        <v>0</v>
      </c>
      <c r="W28" s="436">
        <f>SUM(W23:W27)</f>
        <v>0</v>
      </c>
      <c r="X28" s="435">
        <f>SUM(X23:X27)</f>
        <v>300</v>
      </c>
      <c r="Y28" s="435">
        <f>SUM(Y23:Y27)</f>
        <v>-5</v>
      </c>
      <c r="Z28" s="442">
        <f t="shared" ref="Z28" si="52">SUM(Z23:Z27)</f>
        <v>-926</v>
      </c>
      <c r="AA28" s="436">
        <f t="shared" ref="AA28" si="53">SUM(AA23:AA27)</f>
        <v>-50487</v>
      </c>
      <c r="AB28" s="721">
        <f>SUM(AB23:AB27)</f>
        <v>3567</v>
      </c>
      <c r="AC28" s="434">
        <f t="shared" si="47"/>
        <v>263997</v>
      </c>
      <c r="AD28" s="436">
        <f t="shared" si="47"/>
        <v>5733</v>
      </c>
      <c r="AE28" s="436">
        <f t="shared" ref="AE28" si="54">SUM(AE23:AE27)</f>
        <v>-447</v>
      </c>
      <c r="AF28" s="436">
        <f t="shared" ref="AF28" si="55">SUM(AF23:AF27)</f>
        <v>0</v>
      </c>
      <c r="AG28" s="436">
        <f>SUM(AG23:AG27)</f>
        <v>-1638</v>
      </c>
      <c r="AH28" s="436">
        <f>SUM(AH23:AH27)</f>
        <v>0</v>
      </c>
      <c r="AI28" s="732">
        <f>SUM(AI23:AI27)</f>
        <v>1169</v>
      </c>
      <c r="AJ28" s="732">
        <f t="shared" si="47"/>
        <v>0</v>
      </c>
      <c r="AK28" s="716">
        <f t="shared" ref="AK28" si="56">SUM(AK23:AK27)</f>
        <v>392</v>
      </c>
      <c r="AL28" s="442">
        <f>SUM(AL23:AL27)</f>
        <v>0</v>
      </c>
      <c r="AM28" s="436">
        <f t="shared" ref="AM28" si="57">SUM(AM23:AM27)</f>
        <v>0</v>
      </c>
      <c r="AN28" s="436">
        <f>SUM(AN23:AN27)</f>
        <v>1156</v>
      </c>
      <c r="AO28" s="442">
        <f>SUM(AO23:AO27)</f>
        <v>0</v>
      </c>
      <c r="AP28" s="442">
        <f t="shared" ref="AP28" si="58">SUM(AP23:AP27)</f>
        <v>0</v>
      </c>
      <c r="AQ28" s="436">
        <f t="shared" ref="AQ28:AV28" si="59">SUM(AQ23:AQ27)</f>
        <v>227</v>
      </c>
      <c r="AR28" s="436">
        <f t="shared" si="59"/>
        <v>204</v>
      </c>
      <c r="AS28" s="436">
        <f t="shared" si="59"/>
        <v>629</v>
      </c>
      <c r="AT28" s="436">
        <f t="shared" si="59"/>
        <v>0</v>
      </c>
      <c r="AU28" s="436">
        <f t="shared" si="59"/>
        <v>0</v>
      </c>
      <c r="AV28" s="436">
        <f t="shared" si="59"/>
        <v>1092</v>
      </c>
      <c r="AW28" s="442">
        <f>SUM(AW23:AW27)</f>
        <v>1477</v>
      </c>
      <c r="AX28" s="442">
        <f t="shared" ref="AX28" si="60">SUM(AX23:AX27)</f>
        <v>519</v>
      </c>
      <c r="AY28" s="442">
        <f>SUM(AY23:AY27)</f>
        <v>-16</v>
      </c>
      <c r="AZ28" s="442">
        <f>SUM(AZ23:AZ27)</f>
        <v>0</v>
      </c>
      <c r="BA28" s="436">
        <f>SUM(BA23:BA27)</f>
        <v>0</v>
      </c>
      <c r="BB28" s="442">
        <f>SUM(BB23:BB27)</f>
        <v>0</v>
      </c>
      <c r="BC28" s="468">
        <f t="shared" si="45"/>
        <v>274494</v>
      </c>
      <c r="BD28" s="796">
        <f>SUM(BD23:BD27)</f>
        <v>0</v>
      </c>
      <c r="BE28" s="808">
        <f t="shared" si="46"/>
        <v>274494</v>
      </c>
    </row>
    <row r="29" spans="1:57" s="424" customFormat="1" ht="8.25" customHeight="1">
      <c r="A29" s="422"/>
      <c r="E29" s="427"/>
      <c r="F29" s="435"/>
      <c r="G29" s="435"/>
      <c r="H29" s="435"/>
      <c r="I29" s="435"/>
      <c r="J29" s="435"/>
      <c r="K29" s="436"/>
      <c r="L29" s="435"/>
      <c r="M29" s="435"/>
      <c r="N29" s="435"/>
      <c r="O29" s="435"/>
      <c r="P29" s="435"/>
      <c r="Q29" s="435"/>
      <c r="R29" s="435"/>
      <c r="S29" s="435"/>
      <c r="T29" s="436"/>
      <c r="U29" s="436"/>
      <c r="V29" s="721"/>
      <c r="W29" s="436"/>
      <c r="X29" s="435"/>
      <c r="Y29" s="435"/>
      <c r="Z29" s="442"/>
      <c r="AA29" s="436"/>
      <c r="AB29" s="721"/>
      <c r="AC29" s="434"/>
      <c r="AD29" s="436"/>
      <c r="AE29" s="436"/>
      <c r="AF29" s="436"/>
      <c r="AG29" s="436"/>
      <c r="AH29" s="436"/>
      <c r="AI29" s="732"/>
      <c r="AJ29" s="732"/>
      <c r="AK29" s="716"/>
      <c r="AL29" s="442"/>
      <c r="AM29" s="436"/>
      <c r="AN29" s="436"/>
      <c r="AO29" s="442"/>
      <c r="AP29" s="442"/>
      <c r="AQ29" s="436"/>
      <c r="AR29" s="436"/>
      <c r="AS29" s="436"/>
      <c r="AT29" s="436"/>
      <c r="AU29" s="436"/>
      <c r="AV29" s="436"/>
      <c r="AW29" s="442"/>
      <c r="AX29" s="442"/>
      <c r="AY29" s="442"/>
      <c r="AZ29" s="442"/>
      <c r="BA29" s="436"/>
      <c r="BB29" s="442"/>
      <c r="BC29" s="468"/>
      <c r="BD29" s="796"/>
      <c r="BE29" s="808"/>
    </row>
    <row r="30" spans="1:57" s="424" customFormat="1">
      <c r="A30" s="422"/>
      <c r="B30" s="424" t="s">
        <v>200</v>
      </c>
      <c r="E30" s="427"/>
      <c r="F30" s="435"/>
      <c r="G30" s="435"/>
      <c r="H30" s="435"/>
      <c r="I30" s="435"/>
      <c r="J30" s="435"/>
      <c r="K30" s="436"/>
      <c r="L30" s="435"/>
      <c r="M30" s="435"/>
      <c r="N30" s="435"/>
      <c r="O30" s="435"/>
      <c r="P30" s="435"/>
      <c r="Q30" s="435"/>
      <c r="R30" s="435"/>
      <c r="S30" s="435"/>
      <c r="T30" s="436"/>
      <c r="U30" s="436"/>
      <c r="V30" s="721"/>
      <c r="W30" s="436"/>
      <c r="X30" s="435"/>
      <c r="Y30" s="435"/>
      <c r="Z30" s="442"/>
      <c r="AA30" s="436"/>
      <c r="AB30" s="721"/>
      <c r="AC30" s="434"/>
      <c r="AD30" s="436"/>
      <c r="AE30" s="436"/>
      <c r="AF30" s="436"/>
      <c r="AG30" s="436"/>
      <c r="AH30" s="436"/>
      <c r="AI30" s="732"/>
      <c r="AJ30" s="732"/>
      <c r="AK30" s="716"/>
      <c r="AL30" s="442"/>
      <c r="AM30" s="436"/>
      <c r="AN30" s="436"/>
      <c r="AO30" s="442"/>
      <c r="AP30" s="442"/>
      <c r="AQ30" s="436"/>
      <c r="AR30" s="436"/>
      <c r="AS30" s="436"/>
      <c r="AT30" s="436"/>
      <c r="AU30" s="436"/>
      <c r="AV30" s="436"/>
      <c r="AW30" s="442"/>
      <c r="AX30" s="442"/>
      <c r="AY30" s="442"/>
      <c r="AZ30" s="442"/>
      <c r="BA30" s="436"/>
      <c r="BB30" s="442"/>
      <c r="BC30" s="468">
        <f>SUM(AC30:BB30)</f>
        <v>0</v>
      </c>
      <c r="BD30" s="796"/>
      <c r="BE30" s="808">
        <f>SUM(BC30:BD30)</f>
        <v>0</v>
      </c>
    </row>
    <row r="31" spans="1:57"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21"/>
      <c r="W31" s="436">
        <v>0</v>
      </c>
      <c r="X31" s="435">
        <v>0</v>
      </c>
      <c r="Y31" s="435">
        <v>0</v>
      </c>
      <c r="Z31" s="442">
        <v>0</v>
      </c>
      <c r="AA31" s="436">
        <v>0</v>
      </c>
      <c r="AB31" s="721">
        <v>0</v>
      </c>
      <c r="AC31" s="434">
        <f>SUM(E31:AB31)</f>
        <v>26747</v>
      </c>
      <c r="AD31" s="436">
        <v>0</v>
      </c>
      <c r="AE31" s="436">
        <v>0</v>
      </c>
      <c r="AF31" s="436">
        <v>0</v>
      </c>
      <c r="AG31" s="436">
        <v>0</v>
      </c>
      <c r="AH31" s="436">
        <v>0</v>
      </c>
      <c r="AI31" s="732">
        <v>713</v>
      </c>
      <c r="AJ31" s="732"/>
      <c r="AK31" s="716">
        <v>247</v>
      </c>
      <c r="AL31" s="442">
        <v>0</v>
      </c>
      <c r="AM31" s="436">
        <v>0</v>
      </c>
      <c r="AN31" s="436">
        <v>0</v>
      </c>
      <c r="AO31" s="442">
        <v>0</v>
      </c>
      <c r="AP31" s="442">
        <v>0</v>
      </c>
      <c r="AQ31" s="436">
        <v>0</v>
      </c>
      <c r="AR31" s="436">
        <v>-166</v>
      </c>
      <c r="AS31" s="436">
        <v>0</v>
      </c>
      <c r="AT31" s="436">
        <v>0</v>
      </c>
      <c r="AU31" s="436"/>
      <c r="AV31" s="436">
        <v>3030</v>
      </c>
      <c r="AW31" s="442">
        <v>0</v>
      </c>
      <c r="AX31" s="442">
        <v>0</v>
      </c>
      <c r="AY31" s="442">
        <v>0</v>
      </c>
      <c r="AZ31" s="442"/>
      <c r="BA31" s="436">
        <v>0</v>
      </c>
      <c r="BB31" s="442">
        <v>0</v>
      </c>
      <c r="BC31" s="468">
        <f>SUM(AC31:BB31)</f>
        <v>30571</v>
      </c>
      <c r="BD31" s="796"/>
      <c r="BE31" s="808">
        <f>SUM(BC31:BD31)</f>
        <v>30571</v>
      </c>
    </row>
    <row r="32" spans="1:57"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21">
        <v>0</v>
      </c>
      <c r="W32" s="436">
        <v>0</v>
      </c>
      <c r="X32" s="435">
        <v>0</v>
      </c>
      <c r="Y32" s="435">
        <v>0</v>
      </c>
      <c r="Z32" s="442">
        <v>0</v>
      </c>
      <c r="AA32" s="436">
        <v>0</v>
      </c>
      <c r="AB32" s="721">
        <v>-1363</v>
      </c>
      <c r="AC32" s="434">
        <f>SUM(E32:AB32)</f>
        <v>29711</v>
      </c>
      <c r="AD32" s="436">
        <v>0</v>
      </c>
      <c r="AE32" s="436">
        <v>0</v>
      </c>
      <c r="AF32" s="436">
        <v>0</v>
      </c>
      <c r="AG32" s="436">
        <v>0</v>
      </c>
      <c r="AH32" s="436">
        <v>0</v>
      </c>
      <c r="AI32" s="732"/>
      <c r="AJ32" s="732">
        <v>0</v>
      </c>
      <c r="AK32" s="716">
        <v>0</v>
      </c>
      <c r="AL32" s="442">
        <v>0</v>
      </c>
      <c r="AM32" s="436">
        <v>0</v>
      </c>
      <c r="AN32" s="436">
        <v>0</v>
      </c>
      <c r="AO32" s="442">
        <v>0</v>
      </c>
      <c r="AP32" s="442">
        <v>0</v>
      </c>
      <c r="AQ32" s="436">
        <v>33.757892296792569</v>
      </c>
      <c r="AR32" s="436">
        <f>536-AR31</f>
        <v>702</v>
      </c>
      <c r="AS32" s="436">
        <v>80.530647597297119</v>
      </c>
      <c r="AT32" s="436">
        <v>0</v>
      </c>
      <c r="AU32" s="436">
        <f>2671-737</f>
        <v>1934</v>
      </c>
      <c r="AV32" s="436">
        <v>216</v>
      </c>
      <c r="AW32" s="442">
        <v>0</v>
      </c>
      <c r="AX32" s="442">
        <v>0</v>
      </c>
      <c r="AY32" s="442">
        <v>0</v>
      </c>
      <c r="AZ32" s="442">
        <v>0</v>
      </c>
      <c r="BA32" s="436">
        <v>0</v>
      </c>
      <c r="BB32" s="442"/>
      <c r="BC32" s="468">
        <f>SUM(AC32:BB32)</f>
        <v>32677.288539894089</v>
      </c>
      <c r="BD32" s="796">
        <v>0</v>
      </c>
      <c r="BE32" s="808">
        <f>SUM(BC32:BD32)</f>
        <v>32677.288539894089</v>
      </c>
    </row>
    <row r="33" spans="1:62"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21"/>
      <c r="W33" s="436"/>
      <c r="X33" s="435"/>
      <c r="Y33" s="435"/>
      <c r="Z33" s="442"/>
      <c r="AA33" s="436"/>
      <c r="AB33" s="721"/>
      <c r="AC33" s="434">
        <f>SUM(E33:AB33)</f>
        <v>0</v>
      </c>
      <c r="AD33" s="436"/>
      <c r="AE33" s="436"/>
      <c r="AF33" s="436"/>
      <c r="AG33" s="436"/>
      <c r="AH33" s="436"/>
      <c r="AI33" s="732"/>
      <c r="AJ33" s="732"/>
      <c r="AK33" s="716"/>
      <c r="AL33" s="442"/>
      <c r="AM33" s="436"/>
      <c r="AN33" s="436"/>
      <c r="AO33" s="442"/>
      <c r="AP33" s="442"/>
      <c r="AQ33" s="436"/>
      <c r="AR33" s="436"/>
      <c r="AS33" s="436"/>
      <c r="AT33" s="436"/>
      <c r="AU33" s="436"/>
      <c r="AV33" s="436"/>
      <c r="AW33" s="442"/>
      <c r="AX33" s="442"/>
      <c r="AY33" s="442"/>
      <c r="AZ33" s="442"/>
      <c r="BA33" s="436"/>
      <c r="BB33" s="442"/>
      <c r="BC33" s="468"/>
      <c r="BD33" s="796"/>
      <c r="BE33" s="808"/>
    </row>
    <row r="34" spans="1:62" s="424" customFormat="1">
      <c r="A34" s="422">
        <v>15</v>
      </c>
      <c r="C34" s="424" t="s">
        <v>198</v>
      </c>
      <c r="E34" s="454">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23">
        <v>0</v>
      </c>
      <c r="W34" s="443">
        <v>0</v>
      </c>
      <c r="X34" s="444">
        <f>ROUND(X$14*'CF '!$E$16,0)</f>
        <v>67</v>
      </c>
      <c r="Y34" s="444">
        <v>0</v>
      </c>
      <c r="Z34" s="443">
        <v>0</v>
      </c>
      <c r="AA34" s="443">
        <v>0</v>
      </c>
      <c r="AB34" s="723">
        <v>0</v>
      </c>
      <c r="AC34" s="237">
        <f>SUM(E34:AB34)</f>
        <v>28381</v>
      </c>
      <c r="AD34" s="444">
        <f>ROUND(AD$14*'CF '!$E$16,0)</f>
        <v>0</v>
      </c>
      <c r="AE34" s="444"/>
      <c r="AF34" s="444">
        <f>ROUND(AF$14*'CF '!$E$16,0)</f>
        <v>1028</v>
      </c>
      <c r="AG34" s="443">
        <v>0</v>
      </c>
      <c r="AH34" s="443">
        <v>0</v>
      </c>
      <c r="AI34" s="727">
        <v>0</v>
      </c>
      <c r="AJ34" s="727">
        <v>0</v>
      </c>
      <c r="AK34" s="723">
        <v>0</v>
      </c>
      <c r="AL34" s="443">
        <v>0</v>
      </c>
      <c r="AM34" s="443">
        <v>0</v>
      </c>
      <c r="AN34" s="443">
        <v>552</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70">
        <f>SUM(AC34:BB34)</f>
        <v>29961</v>
      </c>
      <c r="BD34" s="798">
        <f>ROUND(BD$14*'CF '!$E$16,0)</f>
        <v>0</v>
      </c>
      <c r="BE34" s="810">
        <f>SUM(BC34:BD34)</f>
        <v>29961</v>
      </c>
      <c r="BG34" s="833"/>
    </row>
    <row r="35" spans="1:62" s="424" customFormat="1">
      <c r="A35" s="422">
        <v>16</v>
      </c>
      <c r="B35" s="424" t="s">
        <v>201</v>
      </c>
      <c r="E35" s="427">
        <f t="shared" ref="E35:BB35" si="61">SUM(E31:E34)</f>
        <v>105301</v>
      </c>
      <c r="F35" s="435">
        <f t="shared" si="61"/>
        <v>0</v>
      </c>
      <c r="G35" s="435">
        <f t="shared" si="61"/>
        <v>0</v>
      </c>
      <c r="H35" s="435">
        <f t="shared" si="61"/>
        <v>0</v>
      </c>
      <c r="I35" s="435">
        <f t="shared" si="61"/>
        <v>0</v>
      </c>
      <c r="J35" s="435">
        <f t="shared" si="61"/>
        <v>-18805</v>
      </c>
      <c r="K35" s="436">
        <f t="shared" si="61"/>
        <v>650</v>
      </c>
      <c r="L35" s="435">
        <f t="shared" si="61"/>
        <v>0</v>
      </c>
      <c r="M35" s="435">
        <f t="shared" si="61"/>
        <v>0</v>
      </c>
      <c r="N35" s="435">
        <f t="shared" si="61"/>
        <v>0</v>
      </c>
      <c r="O35" s="435">
        <f t="shared" si="61"/>
        <v>0</v>
      </c>
      <c r="P35" s="435">
        <f t="shared" si="61"/>
        <v>0</v>
      </c>
      <c r="Q35" s="435">
        <f t="shared" si="61"/>
        <v>34</v>
      </c>
      <c r="R35" s="435">
        <f t="shared" si="61"/>
        <v>-58</v>
      </c>
      <c r="S35" s="435">
        <f t="shared" si="61"/>
        <v>-148</v>
      </c>
      <c r="T35" s="436">
        <f t="shared" si="61"/>
        <v>-839</v>
      </c>
      <c r="U35" s="436">
        <f t="shared" si="61"/>
        <v>0</v>
      </c>
      <c r="V35" s="721">
        <f>SUM(V31:V34)</f>
        <v>0</v>
      </c>
      <c r="W35" s="436">
        <f>SUM(W31:W34)</f>
        <v>0</v>
      </c>
      <c r="X35" s="435">
        <f t="shared" si="61"/>
        <v>67</v>
      </c>
      <c r="Y35" s="435">
        <f t="shared" si="61"/>
        <v>0</v>
      </c>
      <c r="Z35" s="442">
        <f t="shared" si="61"/>
        <v>0</v>
      </c>
      <c r="AA35" s="436">
        <f t="shared" si="61"/>
        <v>0</v>
      </c>
      <c r="AB35" s="721">
        <f t="shared" si="61"/>
        <v>-1363</v>
      </c>
      <c r="AC35" s="434">
        <f>SUM(AC31:AC34)</f>
        <v>84839</v>
      </c>
      <c r="AD35" s="436">
        <f t="shared" si="61"/>
        <v>0</v>
      </c>
      <c r="AE35" s="436">
        <f t="shared" ref="AE35" si="62">SUM(AE31:AE34)</f>
        <v>0</v>
      </c>
      <c r="AF35" s="436">
        <f t="shared" ref="AF35" si="63">SUM(AF31:AF34)</f>
        <v>1028</v>
      </c>
      <c r="AG35" s="436">
        <f t="shared" si="61"/>
        <v>0</v>
      </c>
      <c r="AH35" s="436">
        <f t="shared" ref="AH35" si="64">SUM(AH31:AH34)</f>
        <v>0</v>
      </c>
      <c r="AI35" s="732">
        <f t="shared" si="61"/>
        <v>713</v>
      </c>
      <c r="AJ35" s="732">
        <f t="shared" si="61"/>
        <v>0</v>
      </c>
      <c r="AK35" s="716">
        <f t="shared" si="61"/>
        <v>247</v>
      </c>
      <c r="AL35" s="442">
        <f>SUM(AL31:AL34)</f>
        <v>0</v>
      </c>
      <c r="AM35" s="436">
        <f t="shared" si="61"/>
        <v>0</v>
      </c>
      <c r="AN35" s="436">
        <f t="shared" si="61"/>
        <v>552</v>
      </c>
      <c r="AO35" s="442">
        <f>SUM(AO31:AO34)</f>
        <v>0</v>
      </c>
      <c r="AP35" s="442">
        <f t="shared" si="61"/>
        <v>0</v>
      </c>
      <c r="AQ35" s="436">
        <f t="shared" ref="AQ35:AX35" si="65">SUM(AQ31:AQ34)</f>
        <v>33.757892296792569</v>
      </c>
      <c r="AR35" s="436">
        <f t="shared" si="65"/>
        <v>536</v>
      </c>
      <c r="AS35" s="436">
        <f t="shared" si="65"/>
        <v>80.530647597297119</v>
      </c>
      <c r="AT35" s="436">
        <f t="shared" si="65"/>
        <v>0</v>
      </c>
      <c r="AU35" s="436">
        <f t="shared" si="65"/>
        <v>1934</v>
      </c>
      <c r="AV35" s="436">
        <f t="shared" si="65"/>
        <v>3246</v>
      </c>
      <c r="AW35" s="442">
        <f t="shared" si="65"/>
        <v>0</v>
      </c>
      <c r="AX35" s="442">
        <f t="shared" si="65"/>
        <v>0</v>
      </c>
      <c r="AY35" s="442">
        <f t="shared" si="61"/>
        <v>0</v>
      </c>
      <c r="AZ35" s="442">
        <f>SUM(AZ31:AZ34)</f>
        <v>0</v>
      </c>
      <c r="BA35" s="436">
        <f>SUM(BA31:BA34)</f>
        <v>0</v>
      </c>
      <c r="BB35" s="442">
        <f t="shared" si="61"/>
        <v>0</v>
      </c>
      <c r="BC35" s="468">
        <f>SUM(AC35:BB35)</f>
        <v>93209.288539894085</v>
      </c>
      <c r="BD35" s="796">
        <f>SUM(BD31:BD34)</f>
        <v>0</v>
      </c>
      <c r="BE35" s="808">
        <f>SUM(BC35:BD35)</f>
        <v>93209.288539894085</v>
      </c>
      <c r="BG35" s="833"/>
    </row>
    <row r="36" spans="1:62" s="424" customFormat="1" ht="5.25" customHeight="1">
      <c r="E36" s="427"/>
      <c r="F36" s="435"/>
      <c r="G36" s="435"/>
      <c r="H36" s="435"/>
      <c r="I36" s="435"/>
      <c r="J36" s="435"/>
      <c r="K36" s="436"/>
      <c r="L36" s="435"/>
      <c r="M36" s="435"/>
      <c r="N36" s="435"/>
      <c r="O36" s="435"/>
      <c r="P36" s="435"/>
      <c r="Q36" s="435"/>
      <c r="R36" s="435"/>
      <c r="S36" s="435"/>
      <c r="T36" s="436"/>
      <c r="U36" s="436"/>
      <c r="V36" s="721"/>
      <c r="W36" s="436"/>
      <c r="X36" s="435"/>
      <c r="Y36" s="435"/>
      <c r="Z36" s="442"/>
      <c r="AA36" s="436"/>
      <c r="AB36" s="721"/>
      <c r="AC36" s="434"/>
      <c r="AD36" s="436"/>
      <c r="AE36" s="436"/>
      <c r="AF36" s="436"/>
      <c r="AG36" s="436"/>
      <c r="AH36" s="436"/>
      <c r="AI36" s="732"/>
      <c r="AJ36" s="732"/>
      <c r="AK36" s="716"/>
      <c r="AL36" s="442"/>
      <c r="AM36" s="436"/>
      <c r="AN36" s="436"/>
      <c r="AO36" s="442"/>
      <c r="AP36" s="442"/>
      <c r="AQ36" s="436"/>
      <c r="AR36" s="436"/>
      <c r="AS36" s="436"/>
      <c r="AT36" s="436"/>
      <c r="AU36" s="436"/>
      <c r="AV36" s="436"/>
      <c r="AW36" s="442"/>
      <c r="AX36" s="442"/>
      <c r="AY36" s="442"/>
      <c r="AZ36" s="442"/>
      <c r="BA36" s="436"/>
      <c r="BB36" s="442"/>
      <c r="BC36" s="468"/>
      <c r="BD36" s="796"/>
      <c r="BE36" s="808"/>
      <c r="BG36" s="833"/>
    </row>
    <row r="37" spans="1:62"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21">
        <v>0</v>
      </c>
      <c r="W37" s="436">
        <v>0</v>
      </c>
      <c r="X37" s="436">
        <f>ROUND(X$14*'CF '!$E$12,0)+5</f>
        <v>11</v>
      </c>
      <c r="Y37" s="435">
        <v>0</v>
      </c>
      <c r="Z37" s="442">
        <v>0</v>
      </c>
      <c r="AA37" s="436">
        <v>0</v>
      </c>
      <c r="AB37" s="721">
        <v>0</v>
      </c>
      <c r="AC37" s="434">
        <f>SUM(E37:AB37)</f>
        <v>11331</v>
      </c>
      <c r="AD37" s="435">
        <f>ROUND(AD$14*'CF '!$E$12,0)</f>
        <v>0</v>
      </c>
      <c r="AE37" s="435"/>
      <c r="AF37" s="435">
        <f>ROUND(AF$14*'CF '!$E$12,0)</f>
        <v>89</v>
      </c>
      <c r="AG37" s="436">
        <v>0</v>
      </c>
      <c r="AH37" s="436">
        <v>0</v>
      </c>
      <c r="AI37" s="732">
        <v>315</v>
      </c>
      <c r="AJ37" s="732">
        <v>0</v>
      </c>
      <c r="AK37" s="716">
        <v>112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68">
        <f>SUM(AC37:BB37)</f>
        <v>11944</v>
      </c>
      <c r="BD37" s="799">
        <f>ROUND(BD$14*'CF '!$E$12,0)</f>
        <v>0</v>
      </c>
      <c r="BE37" s="808">
        <f>SUM(BC37:BD37)</f>
        <v>11944</v>
      </c>
      <c r="BG37" s="833"/>
    </row>
    <row r="38" spans="1:62"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21">
        <v>0</v>
      </c>
      <c r="W38" s="436">
        <v>0</v>
      </c>
      <c r="X38" s="435">
        <v>0</v>
      </c>
      <c r="Y38" s="435">
        <v>0</v>
      </c>
      <c r="Z38" s="442">
        <v>0</v>
      </c>
      <c r="AA38" s="436">
        <v>0</v>
      </c>
      <c r="AB38" s="721">
        <v>0</v>
      </c>
      <c r="AC38" s="434">
        <f>SUM(E38:AB38)</f>
        <v>1598</v>
      </c>
      <c r="AD38" s="436">
        <v>0</v>
      </c>
      <c r="AE38" s="436">
        <v>0</v>
      </c>
      <c r="AF38" s="436">
        <v>0</v>
      </c>
      <c r="AG38" s="436">
        <v>0</v>
      </c>
      <c r="AH38" s="436">
        <v>0</v>
      </c>
      <c r="AI38" s="732">
        <v>25</v>
      </c>
      <c r="AJ38" s="732">
        <v>0</v>
      </c>
      <c r="AK38" s="716">
        <v>11</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68">
        <f>SUM(AC38:BB38)</f>
        <v>1634</v>
      </c>
      <c r="BD38" s="796">
        <v>0</v>
      </c>
      <c r="BE38" s="808">
        <f>SUM(BC38:BD38)</f>
        <v>1634</v>
      </c>
    </row>
    <row r="39" spans="1:62"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21">
        <v>0</v>
      </c>
      <c r="W39" s="436">
        <v>0</v>
      </c>
      <c r="X39" s="435">
        <v>0</v>
      </c>
      <c r="Y39" s="435">
        <v>0</v>
      </c>
      <c r="Z39" s="442">
        <v>0</v>
      </c>
      <c r="AA39" s="436">
        <v>0</v>
      </c>
      <c r="AB39" s="721">
        <v>0</v>
      </c>
      <c r="AC39" s="434">
        <f>SUM(E39:AB39)</f>
        <v>0</v>
      </c>
      <c r="AD39" s="436">
        <v>0</v>
      </c>
      <c r="AE39" s="436">
        <v>0</v>
      </c>
      <c r="AF39" s="436">
        <v>0</v>
      </c>
      <c r="AG39" s="436">
        <v>0</v>
      </c>
      <c r="AH39" s="436">
        <v>0</v>
      </c>
      <c r="AI39" s="732"/>
      <c r="AJ39" s="732"/>
      <c r="AK39" s="716"/>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68">
        <f>SUM(AC39:BB39)</f>
        <v>0</v>
      </c>
      <c r="BD39" s="796">
        <v>0</v>
      </c>
      <c r="BE39" s="808">
        <f>SUM(BC39:BD39)</f>
        <v>0</v>
      </c>
      <c r="BH39" s="861" t="s">
        <v>796</v>
      </c>
      <c r="BI39" s="827"/>
      <c r="BJ39" s="409"/>
    </row>
    <row r="40" spans="1:62" s="424" customFormat="1" ht="11.25" customHeight="1">
      <c r="A40" s="422"/>
      <c r="E40" s="427"/>
      <c r="F40" s="435"/>
      <c r="G40" s="435"/>
      <c r="H40" s="435"/>
      <c r="I40" s="435"/>
      <c r="J40" s="435"/>
      <c r="K40" s="436"/>
      <c r="L40" s="435"/>
      <c r="M40" s="435"/>
      <c r="N40" s="435"/>
      <c r="O40" s="435"/>
      <c r="P40" s="435"/>
      <c r="Q40" s="435"/>
      <c r="R40" s="435"/>
      <c r="S40" s="435"/>
      <c r="T40" s="436"/>
      <c r="U40" s="436"/>
      <c r="V40" s="721"/>
      <c r="W40" s="436"/>
      <c r="X40" s="435"/>
      <c r="Y40" s="435"/>
      <c r="Z40" s="442"/>
      <c r="AA40" s="436"/>
      <c r="AB40" s="721"/>
      <c r="AC40" s="434"/>
      <c r="AD40" s="436"/>
      <c r="AE40" s="436"/>
      <c r="AF40" s="436"/>
      <c r="AG40" s="436"/>
      <c r="AH40" s="436"/>
      <c r="AI40" s="732"/>
      <c r="AJ40" s="732"/>
      <c r="AK40" s="716"/>
      <c r="AL40" s="442"/>
      <c r="AM40" s="436"/>
      <c r="AN40" s="436"/>
      <c r="AO40" s="442"/>
      <c r="AP40" s="442"/>
      <c r="AQ40" s="436"/>
      <c r="AR40" s="436"/>
      <c r="AS40" s="436"/>
      <c r="AT40" s="436"/>
      <c r="AU40" s="436"/>
      <c r="AV40" s="436"/>
      <c r="AW40" s="442"/>
      <c r="AX40" s="442"/>
      <c r="AY40" s="442"/>
      <c r="AZ40" s="442"/>
      <c r="BA40" s="436"/>
      <c r="BB40" s="442"/>
      <c r="BC40" s="468"/>
      <c r="BD40" s="796"/>
      <c r="BE40" s="808"/>
      <c r="BH40" s="862"/>
      <c r="BI40" s="835">
        <f>-BD53/'CF '!E24</f>
        <v>121.91629749475038</v>
      </c>
      <c r="BJ40" s="423" t="s">
        <v>794</v>
      </c>
    </row>
    <row r="41" spans="1:62" s="424" customFormat="1" ht="12.75" thickBot="1">
      <c r="B41" s="424" t="s">
        <v>205</v>
      </c>
      <c r="E41" s="427"/>
      <c r="F41" s="435"/>
      <c r="G41" s="435"/>
      <c r="H41" s="435"/>
      <c r="I41" s="435"/>
      <c r="J41" s="435"/>
      <c r="K41" s="436"/>
      <c r="L41" s="435"/>
      <c r="M41" s="435"/>
      <c r="N41" s="435"/>
      <c r="O41" s="435"/>
      <c r="P41" s="435"/>
      <c r="Q41" s="435"/>
      <c r="R41" s="435"/>
      <c r="S41" s="435"/>
      <c r="T41" s="436"/>
      <c r="U41" s="436"/>
      <c r="V41" s="721"/>
      <c r="W41" s="436"/>
      <c r="X41" s="435"/>
      <c r="Y41" s="435"/>
      <c r="Z41" s="442"/>
      <c r="AA41" s="436"/>
      <c r="AB41" s="721"/>
      <c r="AC41" s="434"/>
      <c r="AD41" s="436"/>
      <c r="AE41" s="436"/>
      <c r="AF41" s="436"/>
      <c r="AG41" s="436"/>
      <c r="AH41" s="436"/>
      <c r="AI41" s="732"/>
      <c r="AJ41" s="732"/>
      <c r="AK41" s="716"/>
      <c r="AL41" s="442"/>
      <c r="AM41" s="436"/>
      <c r="AN41" s="436"/>
      <c r="AO41" s="442"/>
      <c r="AP41" s="442"/>
      <c r="AQ41" s="436"/>
      <c r="AR41" s="436"/>
      <c r="AS41" s="436"/>
      <c r="AT41" s="436"/>
      <c r="AU41" s="436"/>
      <c r="AV41" s="436"/>
      <c r="AW41" s="442"/>
      <c r="AX41" s="442"/>
      <c r="AY41" s="442"/>
      <c r="AZ41" s="442"/>
      <c r="BA41" s="436"/>
      <c r="BB41" s="442"/>
      <c r="BC41" s="468"/>
      <c r="BD41" s="796"/>
      <c r="BE41" s="808"/>
      <c r="BH41" s="834">
        <f>BI40+BI41</f>
        <v>-1617.404152555164</v>
      </c>
      <c r="BI41" s="836">
        <f>BD76*'RR SUMMARY'!N15/'CF '!E24*-1</f>
        <v>-1739.3204500499144</v>
      </c>
      <c r="BJ41" s="424" t="s">
        <v>795</v>
      </c>
    </row>
    <row r="42" spans="1:62" s="424" customFormat="1">
      <c r="A42" s="422">
        <v>20</v>
      </c>
      <c r="C42" s="424" t="s">
        <v>196</v>
      </c>
      <c r="E42" s="431">
        <f>'ROO INPUT'!F42</f>
        <v>55880</v>
      </c>
      <c r="F42" s="435">
        <v>0</v>
      </c>
      <c r="G42" s="435">
        <v>0</v>
      </c>
      <c r="H42" s="435">
        <v>0</v>
      </c>
      <c r="I42" s="435">
        <v>0</v>
      </c>
      <c r="J42" s="435">
        <v>0</v>
      </c>
      <c r="K42" s="435">
        <v>0</v>
      </c>
      <c r="L42" s="435">
        <v>0</v>
      </c>
      <c r="M42" s="435">
        <v>-372</v>
      </c>
      <c r="N42" s="435">
        <v>51</v>
      </c>
      <c r="O42" s="435">
        <v>0</v>
      </c>
      <c r="P42" s="435">
        <v>-52</v>
      </c>
      <c r="Q42" s="435">
        <v>0</v>
      </c>
      <c r="R42" s="435">
        <v>0</v>
      </c>
      <c r="S42" s="435">
        <f>ROUND(S$14*'CF '!$E$14,0)</f>
        <v>-8</v>
      </c>
      <c r="T42" s="435">
        <f>ROUND(T$14*'CF '!$E$14,0)</f>
        <v>-43</v>
      </c>
      <c r="U42" s="436">
        <v>-1232</v>
      </c>
      <c r="V42" s="721">
        <v>753</v>
      </c>
      <c r="W42" s="436">
        <v>0</v>
      </c>
      <c r="X42" s="435">
        <f>ROUND(X$14*'CF '!$E$14,0)</f>
        <v>3</v>
      </c>
      <c r="Y42" s="435">
        <v>0</v>
      </c>
      <c r="Z42" s="442">
        <v>0</v>
      </c>
      <c r="AA42" s="436">
        <v>0</v>
      </c>
      <c r="AB42" s="721">
        <v>0</v>
      </c>
      <c r="AC42" s="434">
        <f>SUM(E42:AB42)</f>
        <v>54980</v>
      </c>
      <c r="AD42" s="435">
        <f>ROUND(AD$14*'CF '!$E$14,0)</f>
        <v>0</v>
      </c>
      <c r="AE42" s="435"/>
      <c r="AF42" s="435">
        <f>ROUND(AF$14*'CF '!$E$14,0)</f>
        <v>53</v>
      </c>
      <c r="AG42" s="436">
        <v>0</v>
      </c>
      <c r="AH42" s="436">
        <v>0</v>
      </c>
      <c r="AI42" s="732">
        <v>1045</v>
      </c>
      <c r="AJ42" s="732">
        <v>-318</v>
      </c>
      <c r="AK42" s="716">
        <v>358</v>
      </c>
      <c r="AL42" s="442">
        <v>3539</v>
      </c>
      <c r="AM42" s="436">
        <v>2013</v>
      </c>
      <c r="AN42" s="436">
        <v>0</v>
      </c>
      <c r="AO42" s="442">
        <v>0</v>
      </c>
      <c r="AP42" s="442">
        <v>0</v>
      </c>
      <c r="AQ42" s="436">
        <v>0</v>
      </c>
      <c r="AR42" s="436">
        <v>0</v>
      </c>
      <c r="AS42" s="436">
        <v>0</v>
      </c>
      <c r="AT42" s="436">
        <v>0</v>
      </c>
      <c r="AU42" s="436">
        <f>-3189+203</f>
        <v>-2986</v>
      </c>
      <c r="AV42" s="436">
        <v>0</v>
      </c>
      <c r="AW42" s="442">
        <v>0</v>
      </c>
      <c r="AX42" s="442">
        <v>0</v>
      </c>
      <c r="AY42" s="442">
        <v>0</v>
      </c>
      <c r="AZ42" s="442"/>
      <c r="BA42" s="436">
        <v>0</v>
      </c>
      <c r="BB42" s="442"/>
      <c r="BC42" s="468">
        <f t="shared" ref="BC42:BC47" si="66">SUM(AC42:BB42)</f>
        <v>58684</v>
      </c>
      <c r="BD42" s="799">
        <f>ROUND(BD$14*'CF '!$E$14,0)</f>
        <v>0</v>
      </c>
      <c r="BE42" s="808">
        <f t="shared" ref="BE42:BE47" si="67">SUM(BC42:BD42)</f>
        <v>58684</v>
      </c>
      <c r="BG42" s="833"/>
      <c r="BI42" s="427"/>
    </row>
    <row r="43" spans="1:62"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21">
        <v>0</v>
      </c>
      <c r="W43" s="436">
        <v>0</v>
      </c>
      <c r="X43" s="435">
        <v>0</v>
      </c>
      <c r="Y43" s="435">
        <v>0</v>
      </c>
      <c r="Z43" s="442">
        <v>0</v>
      </c>
      <c r="AA43" s="436">
        <v>0</v>
      </c>
      <c r="AB43" s="721">
        <f>848-1196</f>
        <v>-348</v>
      </c>
      <c r="AC43" s="434">
        <f>SUM(E43:AB43)</f>
        <v>35247</v>
      </c>
      <c r="AD43" s="436">
        <v>0</v>
      </c>
      <c r="AE43" s="436">
        <v>0</v>
      </c>
      <c r="AF43" s="436">
        <v>0</v>
      </c>
      <c r="AG43" s="436">
        <v>0</v>
      </c>
      <c r="AH43" s="436">
        <v>0</v>
      </c>
      <c r="AI43" s="732">
        <v>0</v>
      </c>
      <c r="AJ43" s="732">
        <v>0</v>
      </c>
      <c r="AK43" s="716">
        <v>0</v>
      </c>
      <c r="AL43" s="442">
        <v>0</v>
      </c>
      <c r="AM43" s="436">
        <v>0</v>
      </c>
      <c r="AN43" s="436">
        <v>0</v>
      </c>
      <c r="AO43" s="442">
        <v>0</v>
      </c>
      <c r="AP43" s="442">
        <f>1834+4</f>
        <v>1838</v>
      </c>
      <c r="AQ43" s="436">
        <f>178+16</f>
        <v>194</v>
      </c>
      <c r="AR43" s="436">
        <f>133+415</f>
        <v>548</v>
      </c>
      <c r="AS43" s="436">
        <v>0</v>
      </c>
      <c r="AT43" s="436">
        <f>1608+357.5</f>
        <v>1965.5</v>
      </c>
      <c r="AU43" s="436">
        <v>581</v>
      </c>
      <c r="AV43" s="436">
        <v>0</v>
      </c>
      <c r="AW43" s="442">
        <v>1319</v>
      </c>
      <c r="AX43" s="442">
        <v>0</v>
      </c>
      <c r="AY43" s="442">
        <v>0</v>
      </c>
      <c r="AZ43" s="442">
        <v>0</v>
      </c>
      <c r="BA43" s="436">
        <v>0</v>
      </c>
      <c r="BB43" s="442"/>
      <c r="BC43" s="468">
        <f t="shared" si="66"/>
        <v>41692.5</v>
      </c>
      <c r="BD43" s="796">
        <v>0</v>
      </c>
      <c r="BE43" s="808">
        <f t="shared" si="67"/>
        <v>41692.5</v>
      </c>
      <c r="BI43" s="424">
        <v>-44183</v>
      </c>
      <c r="BJ43" s="424" t="s">
        <v>800</v>
      </c>
    </row>
    <row r="44" spans="1:62" s="424" customFormat="1">
      <c r="A44" s="422">
        <v>22</v>
      </c>
      <c r="C44" s="424" t="s">
        <v>693</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32">
        <v>0</v>
      </c>
      <c r="W44" s="435">
        <v>0</v>
      </c>
      <c r="X44" s="435">
        <v>0</v>
      </c>
      <c r="Y44" s="435">
        <v>0</v>
      </c>
      <c r="Z44" s="435">
        <v>0</v>
      </c>
      <c r="AA44" s="435">
        <v>0</v>
      </c>
      <c r="AB44" s="732">
        <v>0</v>
      </c>
      <c r="AC44" s="434">
        <f>SUM(E44:AB44)</f>
        <v>-5104</v>
      </c>
      <c r="AD44" s="436">
        <v>0</v>
      </c>
      <c r="AE44" s="436">
        <v>0</v>
      </c>
      <c r="AF44" s="436">
        <v>0</v>
      </c>
      <c r="AG44" s="436">
        <v>-779</v>
      </c>
      <c r="AH44" s="436">
        <v>0</v>
      </c>
      <c r="AI44" s="716">
        <v>0</v>
      </c>
      <c r="AJ44" s="716">
        <v>0</v>
      </c>
      <c r="AK44" s="716">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68">
        <f t="shared" si="66"/>
        <v>5485</v>
      </c>
      <c r="BD44" s="796">
        <f>BI47</f>
        <v>-43788.326073760531</v>
      </c>
      <c r="BE44" s="808">
        <f t="shared" si="67"/>
        <v>-38303.326073760531</v>
      </c>
      <c r="BI44" s="830">
        <f>BH41</f>
        <v>-1617.404152555164</v>
      </c>
      <c r="BJ44" s="424" t="s">
        <v>797</v>
      </c>
    </row>
    <row r="45" spans="1:62" s="424" customFormat="1">
      <c r="A45" s="448">
        <v>23</v>
      </c>
      <c r="C45" s="424" t="s">
        <v>198</v>
      </c>
      <c r="E45" s="454">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23">
        <v>0</v>
      </c>
      <c r="W45" s="443">
        <v>0</v>
      </c>
      <c r="X45" s="444">
        <v>0</v>
      </c>
      <c r="Y45" s="444">
        <v>0</v>
      </c>
      <c r="Z45" s="443">
        <v>0</v>
      </c>
      <c r="AA45" s="443">
        <v>0</v>
      </c>
      <c r="AB45" s="723">
        <v>0</v>
      </c>
      <c r="AC45" s="237">
        <f>SUM(E45:AB45)</f>
        <v>0</v>
      </c>
      <c r="AD45" s="443">
        <v>0</v>
      </c>
      <c r="AE45" s="443">
        <v>0</v>
      </c>
      <c r="AF45" s="443">
        <v>0</v>
      </c>
      <c r="AG45" s="444">
        <v>0</v>
      </c>
      <c r="AH45" s="444">
        <v>0</v>
      </c>
      <c r="AI45" s="727">
        <v>0</v>
      </c>
      <c r="AJ45" s="727">
        <v>0</v>
      </c>
      <c r="AK45" s="723">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70">
        <f t="shared" si="66"/>
        <v>0</v>
      </c>
      <c r="BD45" s="798">
        <v>0</v>
      </c>
      <c r="BE45" s="810">
        <f t="shared" si="67"/>
        <v>0</v>
      </c>
      <c r="BI45" s="424">
        <f>BI43+BI44</f>
        <v>-45800.404152555166</v>
      </c>
      <c r="BJ45" s="832" t="s">
        <v>799</v>
      </c>
    </row>
    <row r="46" spans="1:62" s="424" customFormat="1">
      <c r="A46" s="422">
        <v>24</v>
      </c>
      <c r="B46" s="424" t="s">
        <v>206</v>
      </c>
      <c r="E46" s="454">
        <f t="shared" ref="E46:AK46" si="68">SUM(E42:E45)</f>
        <v>82457</v>
      </c>
      <c r="F46" s="444">
        <f t="shared" si="68"/>
        <v>0</v>
      </c>
      <c r="G46" s="444">
        <f t="shared" si="68"/>
        <v>0</v>
      </c>
      <c r="H46" s="444">
        <f t="shared" si="68"/>
        <v>0</v>
      </c>
      <c r="I46" s="444">
        <f t="shared" ref="I46" si="69">SUM(I42:I45)</f>
        <v>0</v>
      </c>
      <c r="J46" s="444">
        <f t="shared" si="68"/>
        <v>0</v>
      </c>
      <c r="K46" s="444">
        <f t="shared" ref="K46" si="70">SUM(K42:K45)</f>
        <v>0</v>
      </c>
      <c r="L46" s="444">
        <f t="shared" si="68"/>
        <v>0</v>
      </c>
      <c r="M46" s="444">
        <f t="shared" si="68"/>
        <v>-372</v>
      </c>
      <c r="N46" s="444">
        <f t="shared" si="68"/>
        <v>51</v>
      </c>
      <c r="O46" s="444">
        <f t="shared" si="68"/>
        <v>0</v>
      </c>
      <c r="P46" s="444">
        <f t="shared" si="68"/>
        <v>-52</v>
      </c>
      <c r="Q46" s="444">
        <f t="shared" si="68"/>
        <v>0</v>
      </c>
      <c r="R46" s="444">
        <f t="shared" si="68"/>
        <v>0</v>
      </c>
      <c r="S46" s="444">
        <f t="shared" si="68"/>
        <v>-8</v>
      </c>
      <c r="T46" s="443">
        <f t="shared" ref="T46" si="71">SUM(T42:T45)</f>
        <v>3871</v>
      </c>
      <c r="U46" s="443">
        <f>SUM(U42:U45)</f>
        <v>-1232</v>
      </c>
      <c r="V46" s="723">
        <f t="shared" ref="V46" si="72">SUM(V42:V45)</f>
        <v>753</v>
      </c>
      <c r="W46" s="443">
        <f>SUM(W42:W45)</f>
        <v>0</v>
      </c>
      <c r="X46" s="444">
        <f>SUM(X42:X45)</f>
        <v>3</v>
      </c>
      <c r="Y46" s="444">
        <f>SUM(Y42:Y45)</f>
        <v>0</v>
      </c>
      <c r="Z46" s="443">
        <f t="shared" ref="Z46" si="73">SUM(Z42:Z45)</f>
        <v>0</v>
      </c>
      <c r="AA46" s="443">
        <f t="shared" ref="AA46" si="74">SUM(AA42:AA45)</f>
        <v>0</v>
      </c>
      <c r="AB46" s="723">
        <f>SUM(AB42:AB45)</f>
        <v>-348</v>
      </c>
      <c r="AC46" s="237">
        <f t="shared" si="68"/>
        <v>85123</v>
      </c>
      <c r="AD46" s="443">
        <f t="shared" si="68"/>
        <v>0</v>
      </c>
      <c r="AE46" s="443">
        <f t="shared" ref="AE46" si="75">SUM(AE42:AE45)</f>
        <v>0</v>
      </c>
      <c r="AF46" s="443">
        <f t="shared" ref="AF46" si="76">SUM(AF42:AF45)</f>
        <v>53</v>
      </c>
      <c r="AG46" s="444">
        <f>SUM(AG42:AG45)</f>
        <v>-779</v>
      </c>
      <c r="AH46" s="444">
        <f>SUM(AH42:AH45)</f>
        <v>0</v>
      </c>
      <c r="AI46" s="727">
        <f>SUM(AI42:AI45)</f>
        <v>1045</v>
      </c>
      <c r="AJ46" s="727">
        <f t="shared" si="68"/>
        <v>-318</v>
      </c>
      <c r="AK46" s="723">
        <f t="shared" si="68"/>
        <v>358</v>
      </c>
      <c r="AL46" s="443">
        <f>SUM(AL42:AL45)</f>
        <v>3539</v>
      </c>
      <c r="AM46" s="443">
        <f t="shared" ref="AM46" si="77">SUM(AM42:AM45)</f>
        <v>2013</v>
      </c>
      <c r="AN46" s="443">
        <f>SUM(AN42:AN45)</f>
        <v>0</v>
      </c>
      <c r="AO46" s="443">
        <f>SUM(AO42:AO45)</f>
        <v>1235</v>
      </c>
      <c r="AP46" s="443">
        <f t="shared" ref="AP46" si="78">SUM(AP42:AP45)</f>
        <v>1838</v>
      </c>
      <c r="AQ46" s="443">
        <f t="shared" ref="AQ46:AV46" si="79">SUM(AQ42:AQ45)</f>
        <v>194</v>
      </c>
      <c r="AR46" s="443">
        <f t="shared" si="79"/>
        <v>548</v>
      </c>
      <c r="AS46" s="443">
        <f t="shared" si="79"/>
        <v>0</v>
      </c>
      <c r="AT46" s="443">
        <f t="shared" si="79"/>
        <v>1965.5</v>
      </c>
      <c r="AU46" s="443">
        <f t="shared" si="79"/>
        <v>7728</v>
      </c>
      <c r="AV46" s="443">
        <f t="shared" si="79"/>
        <v>0</v>
      </c>
      <c r="AW46" s="443">
        <f t="shared" ref="AW46:AX46" si="80">SUM(AW42:AW45)</f>
        <v>1319</v>
      </c>
      <c r="AX46" s="443">
        <f t="shared" si="80"/>
        <v>0</v>
      </c>
      <c r="AY46" s="443">
        <f>SUM(AY42:AY45)</f>
        <v>0</v>
      </c>
      <c r="AZ46" s="443">
        <f>SUM(AZ42:AZ45)</f>
        <v>0</v>
      </c>
      <c r="BA46" s="443">
        <f>SUM(BA42:BA45)</f>
        <v>0</v>
      </c>
      <c r="BB46" s="443">
        <f>SUM(BB42:BB45)</f>
        <v>0</v>
      </c>
      <c r="BC46" s="470">
        <f t="shared" si="66"/>
        <v>105861.5</v>
      </c>
      <c r="BD46" s="798">
        <f>SUM(BD42:BD45)</f>
        <v>-43788.326073760531</v>
      </c>
      <c r="BE46" s="810">
        <f t="shared" si="67"/>
        <v>62073.173926239469</v>
      </c>
      <c r="BI46" s="829">
        <f>BI45*'CF '!E18*-1</f>
        <v>2012.0780787946364</v>
      </c>
      <c r="BJ46" s="832" t="s">
        <v>798</v>
      </c>
    </row>
    <row r="47" spans="1:62" s="424" customFormat="1" ht="18" customHeight="1">
      <c r="A47" s="422">
        <v>25</v>
      </c>
      <c r="B47" s="424" t="s">
        <v>207</v>
      </c>
      <c r="E47" s="454">
        <f t="shared" ref="E47:BB47" si="81">E46+E39+E38+E37+E35+E28</f>
        <v>533959</v>
      </c>
      <c r="F47" s="444">
        <f t="shared" si="81"/>
        <v>0</v>
      </c>
      <c r="G47" s="444">
        <f t="shared" si="81"/>
        <v>57</v>
      </c>
      <c r="H47" s="444">
        <f t="shared" si="81"/>
        <v>0</v>
      </c>
      <c r="I47" s="444">
        <f t="shared" si="81"/>
        <v>0</v>
      </c>
      <c r="J47" s="444">
        <f t="shared" si="81"/>
        <v>-18805</v>
      </c>
      <c r="K47" s="444">
        <f t="shared" si="81"/>
        <v>1001</v>
      </c>
      <c r="L47" s="444">
        <f t="shared" si="81"/>
        <v>1437</v>
      </c>
      <c r="M47" s="444">
        <f t="shared" si="81"/>
        <v>-372</v>
      </c>
      <c r="N47" s="444">
        <f t="shared" si="81"/>
        <v>51</v>
      </c>
      <c r="O47" s="444">
        <f t="shared" si="81"/>
        <v>0</v>
      </c>
      <c r="P47" s="444">
        <f t="shared" si="81"/>
        <v>-52</v>
      </c>
      <c r="Q47" s="444">
        <f t="shared" si="81"/>
        <v>34</v>
      </c>
      <c r="R47" s="444">
        <f t="shared" si="81"/>
        <v>-58</v>
      </c>
      <c r="S47" s="444">
        <f t="shared" si="81"/>
        <v>-169</v>
      </c>
      <c r="T47" s="443">
        <f t="shared" si="81"/>
        <v>-20543</v>
      </c>
      <c r="U47" s="443">
        <f t="shared" si="81"/>
        <v>-1224</v>
      </c>
      <c r="V47" s="723">
        <f>V46+V39+V38+V37+V35+V28</f>
        <v>753</v>
      </c>
      <c r="W47" s="443">
        <f>W46+W39+W38+W37+W35+W28</f>
        <v>0</v>
      </c>
      <c r="X47" s="444">
        <f t="shared" si="81"/>
        <v>381</v>
      </c>
      <c r="Y47" s="444">
        <f t="shared" si="81"/>
        <v>-5</v>
      </c>
      <c r="Z47" s="443">
        <f t="shared" si="81"/>
        <v>-926</v>
      </c>
      <c r="AA47" s="443">
        <f t="shared" si="81"/>
        <v>-50487</v>
      </c>
      <c r="AB47" s="723">
        <f t="shared" si="81"/>
        <v>1856</v>
      </c>
      <c r="AC47" s="237">
        <f t="shared" si="81"/>
        <v>446888</v>
      </c>
      <c r="AD47" s="443">
        <f t="shared" si="81"/>
        <v>5733</v>
      </c>
      <c r="AE47" s="443">
        <f t="shared" ref="AE47" si="82">AE46+AE39+AE38+AE37+AE35+AE28</f>
        <v>-447</v>
      </c>
      <c r="AF47" s="443">
        <f t="shared" ref="AF47" si="83">AF46+AF39+AF38+AF37+AF35+AF28</f>
        <v>1170</v>
      </c>
      <c r="AG47" s="444">
        <f t="shared" si="81"/>
        <v>-2417</v>
      </c>
      <c r="AH47" s="444">
        <f t="shared" ref="AH47" si="84">AH46+AH39+AH38+AH37+AH35+AH28</f>
        <v>0</v>
      </c>
      <c r="AI47" s="727">
        <f t="shared" si="81"/>
        <v>3267</v>
      </c>
      <c r="AJ47" s="727">
        <f t="shared" si="81"/>
        <v>-318</v>
      </c>
      <c r="AK47" s="723">
        <f t="shared" si="81"/>
        <v>1120</v>
      </c>
      <c r="AL47" s="443">
        <f>AL46+AL39+AL38+AL37+AL35+AL28</f>
        <v>3539</v>
      </c>
      <c r="AM47" s="443">
        <f t="shared" si="81"/>
        <v>2013</v>
      </c>
      <c r="AN47" s="443">
        <f t="shared" si="81"/>
        <v>1708</v>
      </c>
      <c r="AO47" s="443">
        <f>AO46+AO39+AO38+AO37+AO35+AO28</f>
        <v>1332</v>
      </c>
      <c r="AP47" s="443">
        <f t="shared" si="81"/>
        <v>1838</v>
      </c>
      <c r="AQ47" s="443">
        <f t="shared" ref="AQ47:AX47" si="85">AQ46+AQ39+AQ38+AQ37+AQ35+AQ28</f>
        <v>454.75789229679253</v>
      </c>
      <c r="AR47" s="443">
        <f t="shared" si="85"/>
        <v>1288</v>
      </c>
      <c r="AS47" s="443">
        <f t="shared" si="85"/>
        <v>709.53064759729716</v>
      </c>
      <c r="AT47" s="443">
        <f t="shared" si="85"/>
        <v>1965.5</v>
      </c>
      <c r="AU47" s="443">
        <f t="shared" si="85"/>
        <v>9662</v>
      </c>
      <c r="AV47" s="443">
        <f t="shared" si="85"/>
        <v>4338</v>
      </c>
      <c r="AW47" s="443">
        <f t="shared" si="85"/>
        <v>2796</v>
      </c>
      <c r="AX47" s="443">
        <f t="shared" si="85"/>
        <v>519</v>
      </c>
      <c r="AY47" s="443">
        <f t="shared" si="81"/>
        <v>-16</v>
      </c>
      <c r="AZ47" s="443">
        <f>AZ46+AZ39+AZ38+AZ37+AZ35+AZ28</f>
        <v>0</v>
      </c>
      <c r="BA47" s="443">
        <f>BA46+BA39+BA38+BA37+BA35+BA28</f>
        <v>0</v>
      </c>
      <c r="BB47" s="443">
        <f t="shared" si="81"/>
        <v>0</v>
      </c>
      <c r="BC47" s="470">
        <f t="shared" si="66"/>
        <v>487142.78853989404</v>
      </c>
      <c r="BD47" s="798">
        <f>BD46+BD39+BD38+BD37+BD35+BD28</f>
        <v>-43788.326073760531</v>
      </c>
      <c r="BE47" s="810">
        <f t="shared" si="67"/>
        <v>443354.46246613353</v>
      </c>
      <c r="BI47" s="828">
        <f>SUM(BI45:BI46)</f>
        <v>-43788.326073760531</v>
      </c>
    </row>
    <row r="48" spans="1:62" s="424" customFormat="1" ht="8.25" customHeight="1">
      <c r="E48" s="427"/>
      <c r="F48" s="435"/>
      <c r="G48" s="435"/>
      <c r="H48" s="435"/>
      <c r="I48" s="435"/>
      <c r="J48" s="435"/>
      <c r="K48" s="435"/>
      <c r="L48" s="435"/>
      <c r="M48" s="435"/>
      <c r="N48" s="435"/>
      <c r="O48" s="435"/>
      <c r="P48" s="435"/>
      <c r="Q48" s="435"/>
      <c r="R48" s="435"/>
      <c r="S48" s="435"/>
      <c r="T48" s="436"/>
      <c r="U48" s="436"/>
      <c r="V48" s="721"/>
      <c r="W48" s="436"/>
      <c r="X48" s="435"/>
      <c r="Y48" s="435"/>
      <c r="Z48" s="442"/>
      <c r="AA48" s="436"/>
      <c r="AB48" s="721"/>
      <c r="AC48" s="434"/>
      <c r="AD48" s="436"/>
      <c r="AE48" s="436"/>
      <c r="AF48" s="436"/>
      <c r="AG48" s="435"/>
      <c r="AH48" s="435"/>
      <c r="AI48" s="732"/>
      <c r="AJ48" s="732"/>
      <c r="AK48" s="716"/>
      <c r="AL48" s="442"/>
      <c r="AM48" s="436"/>
      <c r="AN48" s="436"/>
      <c r="AO48" s="442"/>
      <c r="AP48" s="442"/>
      <c r="AQ48" s="436"/>
      <c r="AR48" s="436"/>
      <c r="AS48" s="436"/>
      <c r="AT48" s="436"/>
      <c r="AU48" s="436"/>
      <c r="AV48" s="436"/>
      <c r="AW48" s="442"/>
      <c r="AX48" s="442"/>
      <c r="AY48" s="442"/>
      <c r="AZ48" s="442"/>
      <c r="BA48" s="436"/>
      <c r="BB48" s="442"/>
      <c r="BC48" s="468"/>
      <c r="BD48" s="796"/>
      <c r="BE48" s="808"/>
    </row>
    <row r="49" spans="1:60" s="424" customFormat="1">
      <c r="A49" s="422">
        <v>26</v>
      </c>
      <c r="B49" s="424" t="s">
        <v>208</v>
      </c>
      <c r="E49" s="427">
        <f t="shared" ref="E49:BB49" si="86">E19-E47</f>
        <v>127498</v>
      </c>
      <c r="F49" s="435">
        <f t="shared" si="86"/>
        <v>0</v>
      </c>
      <c r="G49" s="435">
        <f t="shared" si="86"/>
        <v>-57</v>
      </c>
      <c r="H49" s="435">
        <f t="shared" si="86"/>
        <v>0</v>
      </c>
      <c r="I49" s="435">
        <f t="shared" si="86"/>
        <v>0</v>
      </c>
      <c r="J49" s="435">
        <f t="shared" si="86"/>
        <v>-80</v>
      </c>
      <c r="K49" s="435">
        <f t="shared" si="86"/>
        <v>-1001</v>
      </c>
      <c r="L49" s="435">
        <f t="shared" si="86"/>
        <v>-1437</v>
      </c>
      <c r="M49" s="435">
        <f t="shared" si="86"/>
        <v>372</v>
      </c>
      <c r="N49" s="435">
        <f t="shared" si="86"/>
        <v>-51</v>
      </c>
      <c r="O49" s="435">
        <f t="shared" si="86"/>
        <v>0</v>
      </c>
      <c r="P49" s="435">
        <f t="shared" si="86"/>
        <v>52</v>
      </c>
      <c r="Q49" s="435">
        <f t="shared" si="86"/>
        <v>-34</v>
      </c>
      <c r="R49" s="435">
        <f t="shared" si="86"/>
        <v>58</v>
      </c>
      <c r="S49" s="435">
        <f t="shared" si="86"/>
        <v>-784</v>
      </c>
      <c r="T49" s="436">
        <f t="shared" si="86"/>
        <v>-1397</v>
      </c>
      <c r="U49" s="436">
        <f t="shared" si="86"/>
        <v>1224</v>
      </c>
      <c r="V49" s="721">
        <f>V19-V47</f>
        <v>-753</v>
      </c>
      <c r="W49" s="436">
        <f>W19-W47</f>
        <v>0</v>
      </c>
      <c r="X49" s="435">
        <f t="shared" si="86"/>
        <v>1359</v>
      </c>
      <c r="Y49" s="435">
        <f t="shared" si="86"/>
        <v>5</v>
      </c>
      <c r="Z49" s="442">
        <f t="shared" si="86"/>
        <v>926</v>
      </c>
      <c r="AA49" s="436">
        <f t="shared" si="86"/>
        <v>-5865</v>
      </c>
      <c r="AB49" s="721">
        <f t="shared" si="86"/>
        <v>-1856</v>
      </c>
      <c r="AC49" s="434">
        <f t="shared" si="86"/>
        <v>118179</v>
      </c>
      <c r="AD49" s="436">
        <f t="shared" si="86"/>
        <v>14583</v>
      </c>
      <c r="AE49" s="436">
        <f t="shared" ref="AE49" si="87">AE19-AE47</f>
        <v>1105</v>
      </c>
      <c r="AF49" s="436">
        <f t="shared" ref="AF49" si="88">AF19-AF47</f>
        <v>14861</v>
      </c>
      <c r="AG49" s="435">
        <f t="shared" si="86"/>
        <v>2417</v>
      </c>
      <c r="AH49" s="435">
        <f t="shared" ref="AH49" si="89">AH19-AH47</f>
        <v>0</v>
      </c>
      <c r="AI49" s="732">
        <f t="shared" si="86"/>
        <v>-3267</v>
      </c>
      <c r="AJ49" s="732">
        <f t="shared" si="86"/>
        <v>318</v>
      </c>
      <c r="AK49" s="716">
        <f t="shared" si="86"/>
        <v>-1120</v>
      </c>
      <c r="AL49" s="442">
        <f>AL19-AL47</f>
        <v>-3539</v>
      </c>
      <c r="AM49" s="436">
        <f t="shared" si="86"/>
        <v>-2013</v>
      </c>
      <c r="AN49" s="436">
        <f t="shared" si="86"/>
        <v>-1708</v>
      </c>
      <c r="AO49" s="442">
        <f t="shared" ref="AO49:AT49" si="90">AO19-AO47</f>
        <v>-1332</v>
      </c>
      <c r="AP49" s="442">
        <f t="shared" si="90"/>
        <v>-1838</v>
      </c>
      <c r="AQ49" s="436">
        <f t="shared" si="90"/>
        <v>-454.75789229679253</v>
      </c>
      <c r="AR49" s="436">
        <f t="shared" si="90"/>
        <v>-1288</v>
      </c>
      <c r="AS49" s="436">
        <f t="shared" si="90"/>
        <v>-709.53064759729716</v>
      </c>
      <c r="AT49" s="436">
        <f t="shared" si="90"/>
        <v>-1965.5</v>
      </c>
      <c r="AU49" s="436">
        <f>AU19-AU47</f>
        <v>-9662</v>
      </c>
      <c r="AV49" s="436">
        <f>AV19-AV47</f>
        <v>-4338</v>
      </c>
      <c r="AW49" s="442">
        <f>AW19-AW47</f>
        <v>-2796</v>
      </c>
      <c r="AX49" s="442">
        <f>AX19-AX47</f>
        <v>-519</v>
      </c>
      <c r="AY49" s="442">
        <f t="shared" si="86"/>
        <v>16</v>
      </c>
      <c r="AZ49" s="442">
        <f>AZ19-AZ47</f>
        <v>0</v>
      </c>
      <c r="BA49" s="436">
        <f>BA19-BA47</f>
        <v>0</v>
      </c>
      <c r="BB49" s="442">
        <f t="shared" si="86"/>
        <v>0</v>
      </c>
      <c r="BC49" s="468">
        <f>SUM(AC49:BB49)</f>
        <v>114929.2114601059</v>
      </c>
      <c r="BD49" s="796">
        <f>BD19-BD47</f>
        <v>43788.326073760531</v>
      </c>
      <c r="BE49" s="808">
        <f>SUM(BC49:BD49)</f>
        <v>158717.53753386642</v>
      </c>
    </row>
    <row r="50" spans="1:60" s="424" customFormat="1" ht="6.75" customHeight="1">
      <c r="A50" s="422"/>
      <c r="E50" s="427"/>
      <c r="F50" s="435"/>
      <c r="G50" s="435"/>
      <c r="H50" s="435"/>
      <c r="I50" s="435"/>
      <c r="J50" s="435"/>
      <c r="K50" s="435"/>
      <c r="L50" s="435"/>
      <c r="M50" s="435"/>
      <c r="N50" s="435"/>
      <c r="O50" s="435"/>
      <c r="P50" s="435"/>
      <c r="Q50" s="435"/>
      <c r="R50" s="435"/>
      <c r="S50" s="435"/>
      <c r="T50" s="436"/>
      <c r="U50" s="436"/>
      <c r="V50" s="721"/>
      <c r="W50" s="436"/>
      <c r="X50" s="435"/>
      <c r="Y50" s="435"/>
      <c r="Z50" s="442"/>
      <c r="AA50" s="436"/>
      <c r="AB50" s="721"/>
      <c r="AC50" s="434"/>
      <c r="AD50" s="436"/>
      <c r="AE50" s="436"/>
      <c r="AF50" s="436"/>
      <c r="AG50" s="435"/>
      <c r="AH50" s="435"/>
      <c r="AI50" s="732"/>
      <c r="AJ50" s="732"/>
      <c r="AK50" s="716"/>
      <c r="AL50" s="442"/>
      <c r="AM50" s="436"/>
      <c r="AN50" s="436"/>
      <c r="AO50" s="442"/>
      <c r="AP50" s="442"/>
      <c r="AQ50" s="436"/>
      <c r="AR50" s="436"/>
      <c r="AS50" s="436"/>
      <c r="AT50" s="436"/>
      <c r="AU50" s="436"/>
      <c r="AV50" s="436"/>
      <c r="AW50" s="442"/>
      <c r="AX50" s="442"/>
      <c r="AY50" s="442"/>
      <c r="AZ50" s="442"/>
      <c r="BA50" s="436"/>
      <c r="BB50" s="442"/>
      <c r="BC50" s="468"/>
      <c r="BD50" s="796"/>
      <c r="BE50" s="808"/>
    </row>
    <row r="51" spans="1:60" s="424" customFormat="1">
      <c r="A51" s="426"/>
      <c r="B51" s="424" t="s">
        <v>209</v>
      </c>
      <c r="E51" s="427"/>
      <c r="F51" s="435"/>
      <c r="G51" s="435"/>
      <c r="H51" s="435"/>
      <c r="I51" s="435"/>
      <c r="J51" s="435"/>
      <c r="K51" s="435"/>
      <c r="L51" s="435"/>
      <c r="M51" s="435"/>
      <c r="N51" s="435"/>
      <c r="O51" s="435"/>
      <c r="P51" s="435"/>
      <c r="Q51" s="435"/>
      <c r="R51" s="435"/>
      <c r="S51" s="435"/>
      <c r="T51" s="436"/>
      <c r="U51" s="436"/>
      <c r="V51" s="721"/>
      <c r="W51" s="436"/>
      <c r="X51" s="435"/>
      <c r="Y51" s="435"/>
      <c r="Z51" s="442"/>
      <c r="AA51" s="436"/>
      <c r="AB51" s="721"/>
      <c r="AC51" s="434"/>
      <c r="AD51" s="436"/>
      <c r="AE51" s="436"/>
      <c r="AF51" s="436"/>
      <c r="AG51" s="435"/>
      <c r="AH51" s="435"/>
      <c r="AI51" s="732"/>
      <c r="AJ51" s="732"/>
      <c r="AK51" s="716"/>
      <c r="AL51" s="442"/>
      <c r="AM51" s="436"/>
      <c r="AN51" s="436"/>
      <c r="AO51" s="442"/>
      <c r="AP51" s="442"/>
      <c r="AQ51" s="436"/>
      <c r="AR51" s="436"/>
      <c r="AS51" s="436"/>
      <c r="AT51" s="436"/>
      <c r="AU51" s="436"/>
      <c r="AV51" s="436"/>
      <c r="AW51" s="442"/>
      <c r="AX51" s="442"/>
      <c r="AY51" s="442"/>
      <c r="AZ51" s="442"/>
      <c r="BA51" s="436"/>
      <c r="BB51" s="442"/>
      <c r="BC51" s="468"/>
      <c r="BD51" s="796"/>
      <c r="BE51" s="808"/>
    </row>
    <row r="52" spans="1:60" s="427" customFormat="1">
      <c r="A52" s="448">
        <v>27</v>
      </c>
      <c r="B52" s="427" t="s">
        <v>584</v>
      </c>
      <c r="D52" s="555"/>
      <c r="E52" s="431">
        <f>'ROO INPUT'!F52</f>
        <v>4963</v>
      </c>
      <c r="F52" s="436">
        <f>F49*0.21</f>
        <v>0</v>
      </c>
      <c r="G52" s="436">
        <f t="shared" ref="G52:BB52" si="91">G49*0.21</f>
        <v>-11.969999999999999</v>
      </c>
      <c r="H52" s="436">
        <f t="shared" si="91"/>
        <v>0</v>
      </c>
      <c r="I52" s="436">
        <f t="shared" si="91"/>
        <v>0</v>
      </c>
      <c r="J52" s="436">
        <f t="shared" si="91"/>
        <v>-16.8</v>
      </c>
      <c r="K52" s="436">
        <f t="shared" si="91"/>
        <v>-210.20999999999998</v>
      </c>
      <c r="L52" s="436">
        <f t="shared" si="91"/>
        <v>-301.77</v>
      </c>
      <c r="M52" s="436">
        <f t="shared" si="91"/>
        <v>78.11999999999999</v>
      </c>
      <c r="N52" s="436">
        <f t="shared" si="91"/>
        <v>-10.709999999999999</v>
      </c>
      <c r="O52" s="436">
        <v>1</v>
      </c>
      <c r="P52" s="436">
        <f t="shared" si="91"/>
        <v>10.92</v>
      </c>
      <c r="Q52" s="436">
        <f t="shared" si="91"/>
        <v>-7.14</v>
      </c>
      <c r="R52" s="436">
        <f t="shared" si="91"/>
        <v>12.18</v>
      </c>
      <c r="S52" s="436">
        <f t="shared" si="91"/>
        <v>-164.64</v>
      </c>
      <c r="T52" s="436">
        <f t="shared" si="91"/>
        <v>-293.37</v>
      </c>
      <c r="U52" s="436">
        <f t="shared" si="91"/>
        <v>257.03999999999996</v>
      </c>
      <c r="V52" s="716">
        <f>V49*0.21</f>
        <v>-158.13</v>
      </c>
      <c r="W52" s="436">
        <f>'DEBT CALC'!E70</f>
        <v>934</v>
      </c>
      <c r="X52" s="436">
        <v>348</v>
      </c>
      <c r="Y52" s="436">
        <f t="shared" si="91"/>
        <v>1.05</v>
      </c>
      <c r="Z52" s="436">
        <f t="shared" si="91"/>
        <v>194.45999999999998</v>
      </c>
      <c r="AA52" s="436">
        <f t="shared" si="91"/>
        <v>-1231.6499999999999</v>
      </c>
      <c r="AB52" s="716">
        <f t="shared" si="91"/>
        <v>-389.76</v>
      </c>
      <c r="AC52" s="434">
        <f>SUM(E52:AB52)</f>
        <v>4003.62</v>
      </c>
      <c r="AD52" s="436">
        <f>AD49*0.21</f>
        <v>3062.43</v>
      </c>
      <c r="AE52" s="436">
        <f t="shared" ref="AE52" si="92">AE49*0.21</f>
        <v>232.04999999999998</v>
      </c>
      <c r="AF52" s="436">
        <f t="shared" ref="AF52" si="93">AF49*0.21</f>
        <v>3120.81</v>
      </c>
      <c r="AG52" s="436">
        <f>AG49*0.21</f>
        <v>507.57</v>
      </c>
      <c r="AH52" s="436">
        <f>AH49*0.21</f>
        <v>0</v>
      </c>
      <c r="AI52" s="716">
        <f t="shared" si="91"/>
        <v>-686.06999999999994</v>
      </c>
      <c r="AJ52" s="716">
        <f t="shared" si="91"/>
        <v>66.78</v>
      </c>
      <c r="AK52" s="716">
        <f t="shared" si="91"/>
        <v>-235.2</v>
      </c>
      <c r="AL52" s="436">
        <f>AL49*0.21</f>
        <v>-743.18999999999994</v>
      </c>
      <c r="AM52" s="436">
        <f>AM49*0.21</f>
        <v>-422.72999999999996</v>
      </c>
      <c r="AN52" s="436">
        <f t="shared" si="91"/>
        <v>-358.68</v>
      </c>
      <c r="AO52" s="436">
        <f t="shared" ref="AO52:AT52" si="94">AO49*0.21</f>
        <v>-279.71999999999997</v>
      </c>
      <c r="AP52" s="436">
        <f t="shared" si="94"/>
        <v>-385.97999999999996</v>
      </c>
      <c r="AQ52" s="436">
        <f t="shared" si="94"/>
        <v>-95.49915738232643</v>
      </c>
      <c r="AR52" s="436">
        <f t="shared" si="94"/>
        <v>-270.48</v>
      </c>
      <c r="AS52" s="436">
        <f t="shared" si="94"/>
        <v>-149.00143599543239</v>
      </c>
      <c r="AT52" s="436">
        <f t="shared" si="94"/>
        <v>-412.755</v>
      </c>
      <c r="AU52" s="436">
        <f>AU49*0.21</f>
        <v>-2029.02</v>
      </c>
      <c r="AV52" s="436">
        <f>AV49*0.21</f>
        <v>-910.98</v>
      </c>
      <c r="AW52" s="436">
        <f>AW49*0.21</f>
        <v>-587.16</v>
      </c>
      <c r="AX52" s="436">
        <f>AX49*0.21</f>
        <v>-108.99</v>
      </c>
      <c r="AY52" s="436">
        <f t="shared" si="91"/>
        <v>3.36</v>
      </c>
      <c r="AZ52" s="436">
        <f>AZ49*0.21</f>
        <v>0</v>
      </c>
      <c r="BA52" s="436">
        <f>BA49*0.21</f>
        <v>0</v>
      </c>
      <c r="BB52" s="436">
        <f t="shared" si="91"/>
        <v>0</v>
      </c>
      <c r="BC52" s="468">
        <f>SUM(AC52:BB52)</f>
        <v>3321.1644066222425</v>
      </c>
      <c r="BD52" s="799">
        <f>BD49*0.21</f>
        <v>9195.5484754897116</v>
      </c>
      <c r="BE52" s="808">
        <f>SUM(BC52:BD52)</f>
        <v>12516.712882111955</v>
      </c>
    </row>
    <row r="53" spans="1:60" s="427" customFormat="1">
      <c r="A53" s="448">
        <v>28</v>
      </c>
      <c r="B53" s="427" t="s">
        <v>263</v>
      </c>
      <c r="E53" s="431">
        <f>'ROO INPUT'!F53</f>
        <v>0</v>
      </c>
      <c r="F53" s="436">
        <f>(F81*'RR SUMMARY'!$O$12)*-0.21</f>
        <v>-0.24477599999999999</v>
      </c>
      <c r="G53" s="436">
        <f>(G81*'RR SUMMARY'!$O$12)*-0.21</f>
        <v>-5.208E-3</v>
      </c>
      <c r="H53" s="436">
        <f>(H81*'RR SUMMARY'!$O$12)*-0.21</f>
        <v>19.540416</v>
      </c>
      <c r="I53" s="436">
        <f>(I81*'RR SUMMARY'!$O$12)*-0.21</f>
        <v>251.483904</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6">
        <f>(V81*'RR SUMMARY'!$O$12)*-0.21</f>
        <v>0</v>
      </c>
      <c r="W53" s="436"/>
      <c r="X53" s="436">
        <f>(X81*'RR SUMMARY'!$O$12)*-0.21</f>
        <v>0</v>
      </c>
      <c r="Y53" s="436">
        <f>(Y81*'RR SUMMARY'!$O$12)*-0.21</f>
        <v>0</v>
      </c>
      <c r="Z53" s="436">
        <f>(Z81*'RR SUMMARY'!$O$12)*-0.21</f>
        <v>0</v>
      </c>
      <c r="AA53" s="436">
        <f>(AA81*'RR SUMMARY'!$O$12)*-0.21</f>
        <v>0</v>
      </c>
      <c r="AB53" s="716">
        <f>(AB81*'RR SUMMARY'!$O$12)*-0.21</f>
        <v>-109.62334295599328</v>
      </c>
      <c r="AC53" s="434">
        <f>SUM(E53:AB53)</f>
        <v>161.15099304400673</v>
      </c>
      <c r="AD53" s="436">
        <f>(AD81*'RR SUMMARY'!$O$12)*-0.21</f>
        <v>0</v>
      </c>
      <c r="AE53" s="436">
        <f>(AE81*'RR SUMMARY'!$O$12)*-0.21</f>
        <v>0</v>
      </c>
      <c r="AF53" s="436">
        <f>(AF81*'RR SUMMARY'!$O$12)*-0.21</f>
        <v>0</v>
      </c>
      <c r="AG53" s="436">
        <f>(AG81*'RR SUMMARY'!$O$12)*-0.21</f>
        <v>3.989328</v>
      </c>
      <c r="AH53" s="436">
        <f>(AH81*'RR SUMMARY'!$O$12)*-0.21</f>
        <v>0</v>
      </c>
      <c r="AI53" s="716">
        <f>(AI81*'RR SUMMARY'!$O$12)*-0.21</f>
        <v>0</v>
      </c>
      <c r="AJ53" s="716">
        <f>(AJ81*'RR SUMMARY'!$O$12)*-0.21</f>
        <v>0</v>
      </c>
      <c r="AK53" s="716">
        <f>(AK81*'RR SUMMARY'!$O$12)*-0.21</f>
        <v>0</v>
      </c>
      <c r="AL53" s="436">
        <f>(AL81*'RR SUMMARY'!$O$12)*-0.21</f>
        <v>0</v>
      </c>
      <c r="AM53" s="436">
        <f>(AM81*'RR SUMMARY'!$O$12)*-0.21</f>
        <v>0</v>
      </c>
      <c r="AN53" s="436">
        <f>(AN81*'RR SUMMARY'!$O$12)*-0.21</f>
        <v>0</v>
      </c>
      <c r="AO53" s="436">
        <f>(AO81*'RR SUMMARY'!$O$12)*-0.21</f>
        <v>0</v>
      </c>
      <c r="AP53" s="436">
        <f>(AP81*'RR SUMMARY'!$O$12)*-0.21</f>
        <v>-48.518076826870114</v>
      </c>
      <c r="AQ53" s="436">
        <f>(AQ81*'RR SUMMARY'!$O$12)*-0.21</f>
        <v>-121.38558635566942</v>
      </c>
      <c r="AR53" s="436">
        <f>(AR81*'RR SUMMARY'!$O$12)*-0.21</f>
        <v>-268.40821891873503</v>
      </c>
      <c r="AS53" s="436">
        <f>(AS81*'RR SUMMARY'!$O$12)*-0.21</f>
        <v>-185.32094947477657</v>
      </c>
      <c r="AT53" s="436">
        <f>(AT81*'RR SUMMARY'!$O$12)*-0.21</f>
        <v>-56.693019752577726</v>
      </c>
      <c r="AU53" s="436">
        <f>(AU81*'RR SUMMARY'!$O$12)*-0.21</f>
        <v>-479.98490399999991</v>
      </c>
      <c r="AV53" s="436">
        <f>(AV81*'RR SUMMARY'!$O$12)*-0.21</f>
        <v>-68.360207999999986</v>
      </c>
      <c r="AW53" s="436">
        <f>(AW81*'RR SUMMARY'!$O$12)*-0.21</f>
        <v>-48.736463999999998</v>
      </c>
      <c r="AX53" s="436">
        <f>(AX81*'RR SUMMARY'!$O$12)*-0.21</f>
        <v>81.270839999999993</v>
      </c>
      <c r="AY53" s="436">
        <f>(AY81*'RR SUMMARY'!$O$12)*-0.21</f>
        <v>0</v>
      </c>
      <c r="AZ53" s="436">
        <f>(AZ81*'RR SUMMARY'!$O$12)*-0.21</f>
        <v>159.062736</v>
      </c>
      <c r="BA53" s="436">
        <f>(BA81*'RR SUMMARY'!$O$12)*-0.21</f>
        <v>0</v>
      </c>
      <c r="BB53" s="436">
        <f>(BB81*'RR SUMMARY'!$O$12)*-0.21</f>
        <v>0</v>
      </c>
      <c r="BC53" s="468">
        <f>SUM(AC53:BB53)</f>
        <v>-871.93353028462218</v>
      </c>
      <c r="BD53" s="799">
        <f>(BD81*'RR SUMMARY'!$O$12)*-0.21</f>
        <v>-92.082647999999992</v>
      </c>
      <c r="BE53" s="808">
        <f>SUM(BC53:BD53)</f>
        <v>-964.01617828462213</v>
      </c>
    </row>
    <row r="54" spans="1:60" s="427" customFormat="1">
      <c r="A54" s="448">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21">
        <v>0</v>
      </c>
      <c r="W54" s="436">
        <v>0</v>
      </c>
      <c r="X54" s="436">
        <v>-63</v>
      </c>
      <c r="Y54" s="436">
        <v>0</v>
      </c>
      <c r="Z54" s="442">
        <v>0</v>
      </c>
      <c r="AA54" s="436">
        <v>0</v>
      </c>
      <c r="AB54" s="721">
        <v>0</v>
      </c>
      <c r="AC54" s="434">
        <f>SUM(E54:AB54)</f>
        <v>7763</v>
      </c>
      <c r="AD54" s="436">
        <v>0</v>
      </c>
      <c r="AE54" s="436">
        <v>0</v>
      </c>
      <c r="AF54" s="436">
        <v>0</v>
      </c>
      <c r="AG54" s="436">
        <v>0</v>
      </c>
      <c r="AH54" s="436">
        <v>-500</v>
      </c>
      <c r="AI54" s="716">
        <v>0</v>
      </c>
      <c r="AJ54" s="716">
        <v>0</v>
      </c>
      <c r="AK54" s="716">
        <v>0</v>
      </c>
      <c r="AL54" s="442">
        <v>0</v>
      </c>
      <c r="AM54" s="436">
        <v>0</v>
      </c>
      <c r="AN54" s="436">
        <v>0</v>
      </c>
      <c r="AO54" s="442">
        <v>0</v>
      </c>
      <c r="AP54" s="442">
        <v>0</v>
      </c>
      <c r="AQ54" s="436">
        <v>0</v>
      </c>
      <c r="AR54" s="436">
        <v>0</v>
      </c>
      <c r="AS54" s="436">
        <v>0</v>
      </c>
      <c r="AT54" s="436">
        <v>0</v>
      </c>
      <c r="AU54" s="436">
        <v>0</v>
      </c>
      <c r="AV54" s="436">
        <v>0</v>
      </c>
      <c r="AW54" s="442">
        <v>0</v>
      </c>
      <c r="AX54" s="442">
        <v>-596</v>
      </c>
      <c r="AY54" s="442">
        <v>0</v>
      </c>
      <c r="AZ54" s="442"/>
      <c r="BA54" s="436">
        <v>0</v>
      </c>
      <c r="BB54" s="442">
        <v>0</v>
      </c>
      <c r="BC54" s="468">
        <f>SUM(AC54:BB54)</f>
        <v>6667</v>
      </c>
      <c r="BD54" s="796">
        <v>0</v>
      </c>
      <c r="BE54" s="808">
        <f>SUM(BC54:BD54)</f>
        <v>6667</v>
      </c>
    </row>
    <row r="55" spans="1:60" s="424" customFormat="1">
      <c r="A55" s="426">
        <v>30</v>
      </c>
      <c r="B55" s="424" t="s">
        <v>255</v>
      </c>
      <c r="E55" s="454">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23">
        <v>0</v>
      </c>
      <c r="W55" s="443">
        <v>0</v>
      </c>
      <c r="X55" s="444">
        <v>0</v>
      </c>
      <c r="Y55" s="444">
        <v>0</v>
      </c>
      <c r="Z55" s="443">
        <v>0</v>
      </c>
      <c r="AA55" s="443">
        <v>0</v>
      </c>
      <c r="AB55" s="723">
        <v>0</v>
      </c>
      <c r="AC55" s="237">
        <f>SUM(E55:AB55)</f>
        <v>-318</v>
      </c>
      <c r="AD55" s="443">
        <v>0</v>
      </c>
      <c r="AE55" s="443">
        <v>0</v>
      </c>
      <c r="AF55" s="443">
        <v>0</v>
      </c>
      <c r="AG55" s="444">
        <v>0</v>
      </c>
      <c r="AH55" s="444">
        <v>0</v>
      </c>
      <c r="AI55" s="727">
        <v>0</v>
      </c>
      <c r="AJ55" s="727">
        <v>0</v>
      </c>
      <c r="AK55" s="723">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70">
        <f>SUM(AC55:BB55)</f>
        <v>-318</v>
      </c>
      <c r="BD55" s="798">
        <v>0</v>
      </c>
      <c r="BE55" s="810">
        <f>SUM(BC55:BD55)</f>
        <v>-318</v>
      </c>
    </row>
    <row r="56" spans="1:60" ht="6.75" customHeight="1">
      <c r="V56" s="721"/>
      <c r="Z56" s="442"/>
      <c r="AB56" s="721"/>
      <c r="AL56" s="442"/>
      <c r="AO56" s="442"/>
      <c r="AP56" s="442"/>
      <c r="AW56" s="442"/>
      <c r="AX56" s="442"/>
      <c r="AY56" s="442"/>
      <c r="AZ56" s="442"/>
      <c r="BB56" s="442"/>
      <c r="BC56" s="468"/>
      <c r="BD56" s="796"/>
      <c r="BE56" s="808"/>
    </row>
    <row r="57" spans="1:60" s="423" customFormat="1" ht="12.75" thickBot="1">
      <c r="A57" s="425">
        <v>31</v>
      </c>
      <c r="B57" s="423" t="s">
        <v>211</v>
      </c>
      <c r="E57" s="455">
        <f t="shared" ref="E57:AK57" si="95">E49-SUM(E52:E55)</f>
        <v>115023</v>
      </c>
      <c r="F57" s="456">
        <f t="shared" si="95"/>
        <v>0.24477599999999999</v>
      </c>
      <c r="G57" s="456">
        <f t="shared" si="95"/>
        <v>-45.024792000000005</v>
      </c>
      <c r="H57" s="456">
        <f t="shared" si="95"/>
        <v>-19.540416</v>
      </c>
      <c r="I57" s="456">
        <f t="shared" ref="I57" si="96">I49-SUM(I52:I55)</f>
        <v>-251.483904</v>
      </c>
      <c r="J57" s="456">
        <f t="shared" si="95"/>
        <v>-63.2</v>
      </c>
      <c r="K57" s="456">
        <f t="shared" ref="K57" si="97">K49-SUM(K52:K55)</f>
        <v>-790.79</v>
      </c>
      <c r="L57" s="456">
        <f t="shared" si="95"/>
        <v>-1135.23</v>
      </c>
      <c r="M57" s="456">
        <f t="shared" si="95"/>
        <v>293.88</v>
      </c>
      <c r="N57" s="456">
        <f t="shared" si="95"/>
        <v>-40.29</v>
      </c>
      <c r="O57" s="456">
        <f t="shared" si="95"/>
        <v>3</v>
      </c>
      <c r="P57" s="456">
        <f t="shared" si="95"/>
        <v>41.08</v>
      </c>
      <c r="Q57" s="456">
        <f t="shared" si="95"/>
        <v>-26.86</v>
      </c>
      <c r="R57" s="456">
        <f t="shared" si="95"/>
        <v>45.82</v>
      </c>
      <c r="S57" s="456">
        <f t="shared" si="95"/>
        <v>-619.36</v>
      </c>
      <c r="T57" s="455">
        <f t="shared" ref="T57" si="98">T49-SUM(T52:T55)</f>
        <v>-1103.6300000000001</v>
      </c>
      <c r="U57" s="455">
        <f t="shared" ref="U57:AA57" si="99">U49-SUM(U52:U55)</f>
        <v>966.96</v>
      </c>
      <c r="V57" s="724">
        <f t="shared" ref="V57" si="100">V49-SUM(V52:V55)</f>
        <v>-594.87</v>
      </c>
      <c r="W57" s="567">
        <f>W49-SUM(W52:W55)</f>
        <v>-934</v>
      </c>
      <c r="X57" s="456">
        <f t="shared" si="99"/>
        <v>1074</v>
      </c>
      <c r="Y57" s="456">
        <f t="shared" si="99"/>
        <v>3.95</v>
      </c>
      <c r="Z57" s="567">
        <f t="shared" si="99"/>
        <v>731.54</v>
      </c>
      <c r="AA57" s="455">
        <f t="shared" si="99"/>
        <v>-4633.3500000000004</v>
      </c>
      <c r="AB57" s="729">
        <f>AB49-SUM(AB52:AB55)</f>
        <v>-1356.6166570440068</v>
      </c>
      <c r="AC57" s="368">
        <f t="shared" si="95"/>
        <v>106569.229006956</v>
      </c>
      <c r="AD57" s="567">
        <f t="shared" ref="AD57:AF57" si="101">AD49-SUM(AD52:AD55)</f>
        <v>11520.57</v>
      </c>
      <c r="AE57" s="567">
        <f t="shared" ref="AE57" si="102">AE49-SUM(AE52:AE55)</f>
        <v>872.95</v>
      </c>
      <c r="AF57" s="567">
        <f t="shared" si="101"/>
        <v>11740.19</v>
      </c>
      <c r="AG57" s="456">
        <f t="shared" ref="AG57:AH57" si="103">AG49-SUM(AG52:AG55)</f>
        <v>1905.4406719999999</v>
      </c>
      <c r="AH57" s="456">
        <f t="shared" si="103"/>
        <v>500</v>
      </c>
      <c r="AI57" s="737">
        <f>AI49-SUM(AI52:AI55)</f>
        <v>-2580.9300000000003</v>
      </c>
      <c r="AJ57" s="737">
        <f t="shared" si="95"/>
        <v>251.22</v>
      </c>
      <c r="AK57" s="737">
        <f t="shared" si="95"/>
        <v>-884.8</v>
      </c>
      <c r="AL57" s="567">
        <f t="shared" ref="AL57" si="104">AL49-SUM(AL52:AL55)</f>
        <v>-2795.81</v>
      </c>
      <c r="AM57" s="456">
        <f t="shared" ref="AM57" si="105">AM49-SUM(AM52:AM55)</f>
        <v>-1590.27</v>
      </c>
      <c r="AN57" s="456">
        <f t="shared" ref="AN57" si="106">AN49-SUM(AN52:AN55)</f>
        <v>-1349.32</v>
      </c>
      <c r="AO57" s="567">
        <f>AO49-SUM(AO52:AO55)</f>
        <v>-1052.28</v>
      </c>
      <c r="AP57" s="567">
        <f>AP49-SUM(AP52:AP55)</f>
        <v>-1403.5019231731299</v>
      </c>
      <c r="AQ57" s="456">
        <f t="shared" ref="AQ57:AV57" si="107">AQ49-SUM(AQ52:AQ55)</f>
        <v>-237.87314855879669</v>
      </c>
      <c r="AR57" s="456">
        <f t="shared" si="107"/>
        <v>-749.11178108126501</v>
      </c>
      <c r="AS57" s="456">
        <f t="shared" si="107"/>
        <v>-375.20826212708823</v>
      </c>
      <c r="AT57" s="456">
        <f t="shared" si="107"/>
        <v>-1496.0519802474223</v>
      </c>
      <c r="AU57" s="456">
        <f t="shared" si="107"/>
        <v>-7152.9950960000006</v>
      </c>
      <c r="AV57" s="456">
        <f t="shared" si="107"/>
        <v>-3358.6597919999999</v>
      </c>
      <c r="AW57" s="567">
        <f t="shared" ref="AW57:AX57" si="108">AW49-SUM(AW52:AW55)</f>
        <v>-2160.1035360000001</v>
      </c>
      <c r="AX57" s="567">
        <f t="shared" si="108"/>
        <v>104.71915999999999</v>
      </c>
      <c r="AY57" s="567">
        <f>AY49-SUM(AY52:AY55)</f>
        <v>12.64</v>
      </c>
      <c r="AZ57" s="567">
        <f>AZ49-SUM(AZ52:AZ55)</f>
        <v>-159.062736</v>
      </c>
      <c r="BA57" s="456">
        <f>BA49-SUM(BA52:BA55)</f>
        <v>0</v>
      </c>
      <c r="BB57" s="567">
        <f>BB49-SUM(BB52:BB55)</f>
        <v>0</v>
      </c>
      <c r="BC57" s="472">
        <f>SUM(AC57:BB57)</f>
        <v>106130.98058376829</v>
      </c>
      <c r="BD57" s="800">
        <f>BD49-SUM(BD52:BD55)</f>
        <v>34684.860246270822</v>
      </c>
      <c r="BE57" s="811">
        <f>SUM(BC57:BD57)</f>
        <v>140815.84083003912</v>
      </c>
    </row>
    <row r="58" spans="1:60" ht="6" customHeight="1" thickTop="1">
      <c r="A58" s="425"/>
      <c r="V58" s="721"/>
      <c r="Z58" s="442"/>
      <c r="AB58" s="721"/>
      <c r="AL58" s="442"/>
      <c r="AO58" s="442"/>
      <c r="AP58" s="442"/>
      <c r="AW58" s="442"/>
      <c r="AX58" s="442"/>
      <c r="AY58" s="442"/>
      <c r="AZ58" s="442"/>
      <c r="BB58" s="442"/>
      <c r="BC58" s="468"/>
      <c r="BD58" s="796"/>
      <c r="BE58" s="808"/>
    </row>
    <row r="59" spans="1:60">
      <c r="A59" s="425"/>
      <c r="B59" s="409" t="s">
        <v>212</v>
      </c>
      <c r="V59" s="721"/>
      <c r="Z59" s="442"/>
      <c r="AB59" s="721"/>
      <c r="AL59" s="442"/>
      <c r="AO59" s="442"/>
      <c r="AP59" s="442"/>
      <c r="AW59" s="442"/>
      <c r="AX59" s="442"/>
      <c r="AY59" s="442"/>
      <c r="AZ59" s="442"/>
      <c r="BB59" s="442"/>
      <c r="BC59" s="468"/>
      <c r="BD59" s="796"/>
      <c r="BE59" s="808"/>
      <c r="BH59" s="435"/>
    </row>
    <row r="60" spans="1:60" ht="12.75" customHeight="1">
      <c r="B60" s="409" t="s">
        <v>213</v>
      </c>
      <c r="V60" s="721"/>
      <c r="Z60" s="442"/>
      <c r="AB60" s="721"/>
      <c r="AL60" s="442"/>
      <c r="AO60" s="442"/>
      <c r="AP60" s="442"/>
      <c r="AW60" s="442"/>
      <c r="AX60" s="442"/>
      <c r="AY60" s="442"/>
      <c r="AZ60" s="442"/>
      <c r="BB60" s="442"/>
      <c r="BC60" s="468"/>
      <c r="BD60" s="796"/>
      <c r="BE60" s="808"/>
    </row>
    <row r="61" spans="1:60" s="423" customFormat="1">
      <c r="A61" s="452">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9">
        <v>0</v>
      </c>
      <c r="U61" s="449">
        <v>0</v>
      </c>
      <c r="V61" s="725">
        <v>0</v>
      </c>
      <c r="W61" s="449">
        <v>0</v>
      </c>
      <c r="X61" s="423">
        <v>0</v>
      </c>
      <c r="Y61" s="423">
        <v>0</v>
      </c>
      <c r="Z61" s="432">
        <v>0</v>
      </c>
      <c r="AA61" s="449">
        <v>0</v>
      </c>
      <c r="AB61" s="738">
        <v>2079.1125307387479</v>
      </c>
      <c r="AC61" s="293">
        <f>SUM(E61:AB61)</f>
        <v>182889.11253073876</v>
      </c>
      <c r="AD61" s="449">
        <v>0</v>
      </c>
      <c r="AE61" s="449">
        <v>0</v>
      </c>
      <c r="AF61" s="449">
        <v>0</v>
      </c>
      <c r="AG61" s="423">
        <v>0</v>
      </c>
      <c r="AH61" s="423">
        <v>0</v>
      </c>
      <c r="AI61" s="738">
        <v>0</v>
      </c>
      <c r="AJ61" s="738">
        <v>0</v>
      </c>
      <c r="AK61" s="738">
        <v>0</v>
      </c>
      <c r="AL61" s="432">
        <v>0</v>
      </c>
      <c r="AM61" s="423">
        <v>0</v>
      </c>
      <c r="AN61" s="423">
        <v>0</v>
      </c>
      <c r="AO61" s="432">
        <v>0</v>
      </c>
      <c r="AP61" s="449">
        <v>3707.0058892869092</v>
      </c>
      <c r="AQ61" s="423">
        <v>889.83781946026181</v>
      </c>
      <c r="AR61" s="423">
        <v>666.54174046459934</v>
      </c>
      <c r="AS61" s="423">
        <v>0</v>
      </c>
      <c r="AT61" s="423">
        <v>7006.253034839986</v>
      </c>
      <c r="AU61" s="423">
        <v>29775</v>
      </c>
      <c r="AV61" s="423">
        <v>0</v>
      </c>
      <c r="AW61" s="432">
        <v>6595</v>
      </c>
      <c r="AX61" s="432">
        <v>0</v>
      </c>
      <c r="AY61" s="432">
        <v>0</v>
      </c>
      <c r="AZ61" s="432"/>
      <c r="BA61" s="423">
        <v>0</v>
      </c>
      <c r="BB61" s="432"/>
      <c r="BC61" s="469">
        <f t="shared" ref="BC61:BC66" si="109">SUM(AC61:BB61)</f>
        <v>231528.7510147905</v>
      </c>
      <c r="BD61" s="801"/>
      <c r="BE61" s="809">
        <f t="shared" ref="BE61:BE66" si="110">SUM(BC61:BD61)</f>
        <v>231528.7510147905</v>
      </c>
    </row>
    <row r="62" spans="1:60"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21">
        <v>0</v>
      </c>
      <c r="W62" s="436">
        <v>0</v>
      </c>
      <c r="X62" s="435">
        <v>0</v>
      </c>
      <c r="Y62" s="435">
        <v>0</v>
      </c>
      <c r="Z62" s="442">
        <v>0</v>
      </c>
      <c r="AA62" s="436">
        <v>0</v>
      </c>
      <c r="AB62" s="721">
        <v>3979.3009999999776</v>
      </c>
      <c r="AC62" s="320">
        <f>SUM(E62:AB62)</f>
        <v>934139.30099999998</v>
      </c>
      <c r="AD62" s="436">
        <v>0</v>
      </c>
      <c r="AE62" s="436">
        <v>0</v>
      </c>
      <c r="AF62" s="436">
        <v>0</v>
      </c>
      <c r="AG62" s="435">
        <v>0</v>
      </c>
      <c r="AH62" s="435">
        <v>0</v>
      </c>
      <c r="AI62" s="732">
        <v>0</v>
      </c>
      <c r="AJ62" s="732">
        <v>0</v>
      </c>
      <c r="AK62" s="732">
        <v>0</v>
      </c>
      <c r="AL62" s="442">
        <v>0</v>
      </c>
      <c r="AM62" s="435">
        <v>0</v>
      </c>
      <c r="AN62" s="435">
        <v>0</v>
      </c>
      <c r="AO62" s="442">
        <v>0</v>
      </c>
      <c r="AP62" s="442">
        <v>0</v>
      </c>
      <c r="AQ62" s="435">
        <v>892.96205503917099</v>
      </c>
      <c r="AR62" s="435">
        <v>2151.2624231521027</v>
      </c>
      <c r="AS62" s="435">
        <v>1685.627062419597</v>
      </c>
      <c r="AT62" s="435">
        <v>0</v>
      </c>
      <c r="AU62" s="435">
        <v>0</v>
      </c>
      <c r="AV62" s="435">
        <v>0</v>
      </c>
      <c r="AW62" s="442">
        <v>3082</v>
      </c>
      <c r="AX62" s="442">
        <v>12361</v>
      </c>
      <c r="AY62" s="442">
        <v>0</v>
      </c>
      <c r="AZ62" s="442">
        <v>0</v>
      </c>
      <c r="BA62" s="435">
        <v>0</v>
      </c>
      <c r="BB62" s="442"/>
      <c r="BC62" s="468">
        <f t="shared" si="109"/>
        <v>954312.15254061075</v>
      </c>
      <c r="BD62" s="796">
        <v>0</v>
      </c>
      <c r="BE62" s="808">
        <f t="shared" si="110"/>
        <v>954312.15254061075</v>
      </c>
    </row>
    <row r="63" spans="1:60"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21">
        <v>0</v>
      </c>
      <c r="W63" s="436">
        <v>0</v>
      </c>
      <c r="X63" s="435">
        <v>0</v>
      </c>
      <c r="Y63" s="435">
        <v>0</v>
      </c>
      <c r="Z63" s="442">
        <v>0</v>
      </c>
      <c r="AA63" s="436">
        <v>0</v>
      </c>
      <c r="AB63" s="721">
        <v>17967.087999999989</v>
      </c>
      <c r="AC63" s="320">
        <f>SUM(E63:AB63)</f>
        <v>527864.08799999999</v>
      </c>
      <c r="AD63" s="436">
        <v>0</v>
      </c>
      <c r="AE63" s="436">
        <v>0</v>
      </c>
      <c r="AF63" s="436">
        <v>0</v>
      </c>
      <c r="AG63" s="435">
        <v>0</v>
      </c>
      <c r="AH63" s="435">
        <v>0</v>
      </c>
      <c r="AI63" s="732">
        <v>0</v>
      </c>
      <c r="AJ63" s="732">
        <v>0</v>
      </c>
      <c r="AK63" s="732">
        <v>0</v>
      </c>
      <c r="AL63" s="442">
        <v>0</v>
      </c>
      <c r="AM63" s="435">
        <v>0</v>
      </c>
      <c r="AN63" s="435">
        <v>0</v>
      </c>
      <c r="AO63" s="442">
        <v>0</v>
      </c>
      <c r="AP63" s="442">
        <v>0</v>
      </c>
      <c r="AQ63" s="435">
        <v>11460.026663625875</v>
      </c>
      <c r="AR63" s="435">
        <v>6758.6792216758859</v>
      </c>
      <c r="AS63" s="435">
        <v>28736.411278537293</v>
      </c>
      <c r="AT63" s="435">
        <v>0</v>
      </c>
      <c r="AU63" s="435">
        <v>0</v>
      </c>
      <c r="AV63" s="435">
        <v>4729</v>
      </c>
      <c r="AW63" s="442">
        <v>1098</v>
      </c>
      <c r="AX63" s="442">
        <v>0</v>
      </c>
      <c r="AY63" s="442">
        <v>0</v>
      </c>
      <c r="AZ63" s="442">
        <v>0</v>
      </c>
      <c r="BA63" s="435">
        <v>0</v>
      </c>
      <c r="BB63" s="442"/>
      <c r="BC63" s="468">
        <f t="shared" si="109"/>
        <v>580646.20516383892</v>
      </c>
      <c r="BD63" s="796">
        <v>0</v>
      </c>
      <c r="BE63" s="808">
        <f t="shared" si="110"/>
        <v>580646.20516383892</v>
      </c>
    </row>
    <row r="64" spans="1:60"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21">
        <v>0</v>
      </c>
      <c r="W64" s="436">
        <v>0</v>
      </c>
      <c r="X64" s="435">
        <v>0</v>
      </c>
      <c r="Y64" s="435">
        <v>0</v>
      </c>
      <c r="Z64" s="442">
        <v>0</v>
      </c>
      <c r="AA64" s="436">
        <v>0</v>
      </c>
      <c r="AB64" s="721">
        <v>7509.7858044323584</v>
      </c>
      <c r="AC64" s="320">
        <f>SUM(E64:AB64)</f>
        <v>1182840.7858044324</v>
      </c>
      <c r="AD64" s="436">
        <v>0</v>
      </c>
      <c r="AE64" s="436">
        <v>0</v>
      </c>
      <c r="AF64" s="436">
        <v>0</v>
      </c>
      <c r="AG64" s="435">
        <v>0</v>
      </c>
      <c r="AH64" s="435">
        <v>0</v>
      </c>
      <c r="AI64" s="732">
        <v>0</v>
      </c>
      <c r="AJ64" s="732">
        <v>0</v>
      </c>
      <c r="AK64" s="732">
        <v>0</v>
      </c>
      <c r="AL64" s="442">
        <v>0</v>
      </c>
      <c r="AM64" s="435">
        <v>0</v>
      </c>
      <c r="AN64" s="435">
        <v>0</v>
      </c>
      <c r="AO64" s="442">
        <v>0</v>
      </c>
      <c r="AP64" s="442">
        <v>0</v>
      </c>
      <c r="AQ64" s="435">
        <v>1394.7880919880431</v>
      </c>
      <c r="AR64" s="435">
        <v>28821.403859163962</v>
      </c>
      <c r="AS64" s="435">
        <v>3314.5386583809222</v>
      </c>
      <c r="AT64" s="435">
        <v>0</v>
      </c>
      <c r="AU64" s="435">
        <f>59140-24367</f>
        <v>34773</v>
      </c>
      <c r="AV64" s="435">
        <v>8807</v>
      </c>
      <c r="AW64" s="442">
        <v>0</v>
      </c>
      <c r="AX64" s="442">
        <v>0</v>
      </c>
      <c r="AY64" s="442">
        <v>0</v>
      </c>
      <c r="AZ64" s="442">
        <v>0</v>
      </c>
      <c r="BA64" s="435">
        <v>0</v>
      </c>
      <c r="BB64" s="442"/>
      <c r="BC64" s="468">
        <f t="shared" si="109"/>
        <v>1259951.5164139653</v>
      </c>
      <c r="BD64" s="796">
        <v>0</v>
      </c>
      <c r="BE64" s="808">
        <f t="shared" si="110"/>
        <v>1259951.5164139653</v>
      </c>
    </row>
    <row r="65" spans="1:63" s="424" customFormat="1" ht="12.75" customHeight="1">
      <c r="A65" s="425">
        <v>36</v>
      </c>
      <c r="C65" s="424" t="s">
        <v>217</v>
      </c>
      <c r="E65" s="454">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23">
        <v>0</v>
      </c>
      <c r="W65" s="443">
        <v>0</v>
      </c>
      <c r="X65" s="444">
        <v>0</v>
      </c>
      <c r="Y65" s="444">
        <v>0</v>
      </c>
      <c r="Z65" s="443">
        <v>0</v>
      </c>
      <c r="AA65" s="443">
        <v>0</v>
      </c>
      <c r="AB65" s="723">
        <v>5613.0008319739036</v>
      </c>
      <c r="AC65" s="321">
        <f>SUM(E65:AB65)</f>
        <v>276872.00083197391</v>
      </c>
      <c r="AD65" s="443">
        <v>0</v>
      </c>
      <c r="AE65" s="443">
        <v>0</v>
      </c>
      <c r="AF65" s="443">
        <v>0</v>
      </c>
      <c r="AG65" s="444">
        <v>0</v>
      </c>
      <c r="AH65" s="444">
        <v>0</v>
      </c>
      <c r="AI65" s="727">
        <v>0</v>
      </c>
      <c r="AJ65" s="727">
        <v>0</v>
      </c>
      <c r="AK65" s="727">
        <v>0</v>
      </c>
      <c r="AL65" s="443">
        <v>0</v>
      </c>
      <c r="AM65" s="444">
        <v>0</v>
      </c>
      <c r="AN65" s="444">
        <v>0</v>
      </c>
      <c r="AO65" s="443">
        <v>0</v>
      </c>
      <c r="AP65" s="443">
        <v>19.45854221586136</v>
      </c>
      <c r="AQ65" s="444">
        <v>995.37776320046123</v>
      </c>
      <c r="AR65" s="444">
        <v>4921.1332209924794</v>
      </c>
      <c r="AS65" s="444">
        <v>0</v>
      </c>
      <c r="AT65" s="444">
        <v>-3299.0298068454795</v>
      </c>
      <c r="AU65" s="444">
        <v>16649</v>
      </c>
      <c r="AV65" s="444">
        <v>0</v>
      </c>
      <c r="AW65" s="443">
        <v>0</v>
      </c>
      <c r="AX65" s="443">
        <v>0</v>
      </c>
      <c r="AY65" s="443">
        <v>0</v>
      </c>
      <c r="AZ65" s="443">
        <v>0</v>
      </c>
      <c r="BA65" s="444">
        <v>0</v>
      </c>
      <c r="BB65" s="443"/>
      <c r="BC65" s="470">
        <f t="shared" si="109"/>
        <v>296157.94055153721</v>
      </c>
      <c r="BD65" s="798">
        <v>0</v>
      </c>
      <c r="BE65" s="810">
        <f t="shared" si="110"/>
        <v>296157.94055153721</v>
      </c>
      <c r="BJ65" s="831"/>
      <c r="BK65" s="831"/>
    </row>
    <row r="66" spans="1:63" s="424" customFormat="1" ht="12" customHeight="1">
      <c r="A66" s="425">
        <v>37</v>
      </c>
      <c r="B66" s="424" t="s">
        <v>218</v>
      </c>
      <c r="E66" s="436">
        <f>SUM(E61:E65)</f>
        <v>3125125</v>
      </c>
      <c r="F66" s="435">
        <f t="shared" ref="F66:AK66" si="111">SUM(F61:F65)</f>
        <v>0</v>
      </c>
      <c r="G66" s="435">
        <f t="shared" si="111"/>
        <v>0</v>
      </c>
      <c r="H66" s="435">
        <f t="shared" si="111"/>
        <v>0</v>
      </c>
      <c r="I66" s="435">
        <f t="shared" ref="I66" si="112">SUM(I61:I65)</f>
        <v>-57668</v>
      </c>
      <c r="J66" s="435">
        <f t="shared" si="111"/>
        <v>0</v>
      </c>
      <c r="K66" s="435">
        <f t="shared" ref="K66" si="113">SUM(K61:K65)</f>
        <v>0</v>
      </c>
      <c r="L66" s="435">
        <f t="shared" si="111"/>
        <v>0</v>
      </c>
      <c r="M66" s="435">
        <f t="shared" si="111"/>
        <v>0</v>
      </c>
      <c r="N66" s="435">
        <f t="shared" si="111"/>
        <v>0</v>
      </c>
      <c r="O66" s="435">
        <f t="shared" si="111"/>
        <v>0</v>
      </c>
      <c r="P66" s="435">
        <f t="shared" si="111"/>
        <v>0</v>
      </c>
      <c r="Q66" s="435">
        <f t="shared" si="111"/>
        <v>0</v>
      </c>
      <c r="R66" s="435">
        <f t="shared" si="111"/>
        <v>0</v>
      </c>
      <c r="S66" s="435">
        <f t="shared" si="111"/>
        <v>0</v>
      </c>
      <c r="T66" s="436">
        <f t="shared" ref="T66" si="114">SUM(T61:T65)</f>
        <v>0</v>
      </c>
      <c r="U66" s="436">
        <f>SUM(U61:U65)</f>
        <v>0</v>
      </c>
      <c r="V66" s="721">
        <f t="shared" ref="V66" si="115">SUM(V61:V65)</f>
        <v>0</v>
      </c>
      <c r="W66" s="436">
        <f>SUM(W61:W65)</f>
        <v>0</v>
      </c>
      <c r="X66" s="435">
        <f>SUM(X61:X65)</f>
        <v>0</v>
      </c>
      <c r="Y66" s="435">
        <f>SUM(Y61:Y65)</f>
        <v>0</v>
      </c>
      <c r="Z66" s="442">
        <f t="shared" ref="Z66" si="116">SUM(Z61:Z65)</f>
        <v>0</v>
      </c>
      <c r="AA66" s="436">
        <f t="shared" ref="AA66" si="117">SUM(AA61:AA65)</f>
        <v>0</v>
      </c>
      <c r="AB66" s="721">
        <f>SUM(AB61:AB65)</f>
        <v>37148.28816714498</v>
      </c>
      <c r="AC66" s="320">
        <f t="shared" si="111"/>
        <v>3104605.2881671451</v>
      </c>
      <c r="AD66" s="436">
        <f t="shared" si="111"/>
        <v>0</v>
      </c>
      <c r="AE66" s="436">
        <f t="shared" ref="AE66" si="118">SUM(AE61:AE65)</f>
        <v>0</v>
      </c>
      <c r="AF66" s="436">
        <f t="shared" ref="AF66" si="119">SUM(AF61:AF65)</f>
        <v>0</v>
      </c>
      <c r="AG66" s="435">
        <f>SUM(AG61:AG65)</f>
        <v>0</v>
      </c>
      <c r="AH66" s="435">
        <f>SUM(AH61:AH65)</f>
        <v>0</v>
      </c>
      <c r="AI66" s="732">
        <f>SUM(AI61:AI65)</f>
        <v>0</v>
      </c>
      <c r="AJ66" s="732">
        <f t="shared" si="111"/>
        <v>0</v>
      </c>
      <c r="AK66" s="732">
        <f t="shared" si="111"/>
        <v>0</v>
      </c>
      <c r="AL66" s="442">
        <f>SUM(AL61:AL65)</f>
        <v>0</v>
      </c>
      <c r="AM66" s="435">
        <f t="shared" ref="AM66" si="120">SUM(AM61:AM65)</f>
        <v>0</v>
      </c>
      <c r="AN66" s="435">
        <f>SUM(AN61:AN65)</f>
        <v>0</v>
      </c>
      <c r="AO66" s="442">
        <f>SUM(AO61:AO65)</f>
        <v>0</v>
      </c>
      <c r="AP66" s="442">
        <f t="shared" ref="AP66" si="121">SUM(AP61:AP65)</f>
        <v>3726.4644315027704</v>
      </c>
      <c r="AQ66" s="435">
        <f t="shared" ref="AQ66:AV66" si="122">SUM(AQ61:AQ65)</f>
        <v>15632.992393313812</v>
      </c>
      <c r="AR66" s="435">
        <f t="shared" si="122"/>
        <v>43319.02046544903</v>
      </c>
      <c r="AS66" s="435">
        <f t="shared" si="122"/>
        <v>33736.576999337813</v>
      </c>
      <c r="AT66" s="435">
        <f t="shared" si="122"/>
        <v>3707.2232279945065</v>
      </c>
      <c r="AU66" s="436">
        <f t="shared" si="122"/>
        <v>81197</v>
      </c>
      <c r="AV66" s="436">
        <f t="shared" si="122"/>
        <v>13536</v>
      </c>
      <c r="AW66" s="442">
        <f t="shared" ref="AW66:AX66" si="123">SUM(AW61:AW65)</f>
        <v>10775</v>
      </c>
      <c r="AX66" s="442">
        <f t="shared" si="123"/>
        <v>12361</v>
      </c>
      <c r="AY66" s="442">
        <f>SUM(AY61:AY65)</f>
        <v>0</v>
      </c>
      <c r="AZ66" s="442">
        <f>SUM(AZ61:AZ65)</f>
        <v>0</v>
      </c>
      <c r="BA66" s="435">
        <f>SUM(BA61:BA65)</f>
        <v>0</v>
      </c>
      <c r="BB66" s="442">
        <f>SUM(BB61:BB65)</f>
        <v>0</v>
      </c>
      <c r="BC66" s="468">
        <f t="shared" si="109"/>
        <v>3322596.5656847432</v>
      </c>
      <c r="BD66" s="796">
        <f>SUM(BD61:BD65)</f>
        <v>0</v>
      </c>
      <c r="BE66" s="808">
        <f t="shared" si="110"/>
        <v>3322596.5656847432</v>
      </c>
      <c r="BJ66" s="831"/>
      <c r="BK66" s="831"/>
    </row>
    <row r="67" spans="1:63"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21"/>
      <c r="W67" s="436"/>
      <c r="X67" s="435"/>
      <c r="Y67" s="435"/>
      <c r="Z67" s="442"/>
      <c r="AA67" s="436">
        <v>0</v>
      </c>
      <c r="AB67" s="721"/>
      <c r="AC67" s="320"/>
      <c r="AD67" s="436"/>
      <c r="AE67" s="436"/>
      <c r="AF67" s="436"/>
      <c r="AG67" s="435"/>
      <c r="AH67" s="435"/>
      <c r="AI67" s="732">
        <v>0</v>
      </c>
      <c r="AJ67" s="732">
        <v>0</v>
      </c>
      <c r="AK67" s="732">
        <v>0</v>
      </c>
      <c r="AL67" s="442"/>
      <c r="AM67" s="435"/>
      <c r="AN67" s="435"/>
      <c r="AO67" s="442"/>
      <c r="AP67" s="442"/>
      <c r="AQ67" s="435"/>
      <c r="AR67" s="435"/>
      <c r="AS67" s="435"/>
      <c r="AT67" s="435"/>
      <c r="AU67" s="435"/>
      <c r="AV67" s="435"/>
      <c r="AW67" s="442"/>
      <c r="AX67" s="442"/>
      <c r="AY67" s="442"/>
      <c r="AZ67" s="442"/>
      <c r="BA67" s="435"/>
      <c r="BB67" s="442"/>
      <c r="BC67" s="468"/>
      <c r="BD67" s="796"/>
      <c r="BE67" s="808"/>
      <c r="BJ67" s="831"/>
      <c r="BK67" s="831"/>
    </row>
    <row r="68" spans="1:63"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6">
        <v>0</v>
      </c>
      <c r="W68" s="435">
        <v>0</v>
      </c>
      <c r="X68" s="435">
        <v>0</v>
      </c>
      <c r="Y68" s="435">
        <v>0</v>
      </c>
      <c r="Z68" s="446">
        <v>0</v>
      </c>
      <c r="AA68" s="435">
        <v>0</v>
      </c>
      <c r="AB68" s="721">
        <v>-5313.6517048432197</v>
      </c>
      <c r="AC68" s="320">
        <f>SUM(E68:AB68)</f>
        <v>-57959.651704843222</v>
      </c>
      <c r="AD68" s="435">
        <v>0</v>
      </c>
      <c r="AE68" s="435">
        <v>0</v>
      </c>
      <c r="AF68" s="435">
        <v>0</v>
      </c>
      <c r="AG68" s="435">
        <v>0</v>
      </c>
      <c r="AH68" s="435">
        <v>0</v>
      </c>
      <c r="AI68" s="732">
        <v>0</v>
      </c>
      <c r="AJ68" s="732">
        <v>0</v>
      </c>
      <c r="AK68" s="732">
        <v>0</v>
      </c>
      <c r="AL68" s="446">
        <v>0</v>
      </c>
      <c r="AM68" s="435">
        <v>0</v>
      </c>
      <c r="AN68" s="435">
        <v>0</v>
      </c>
      <c r="AO68" s="446">
        <v>0</v>
      </c>
      <c r="AP68" s="442">
        <v>6155.6468319516362</v>
      </c>
      <c r="AQ68" s="435">
        <v>-27.054455046030782</v>
      </c>
      <c r="AR68" s="435">
        <v>-36.683300378007807</v>
      </c>
      <c r="AS68" s="435">
        <v>0</v>
      </c>
      <c r="AT68" s="435">
        <v>702.93679030186138</v>
      </c>
      <c r="AU68" s="435">
        <v>-16192</v>
      </c>
      <c r="AV68" s="435">
        <v>0</v>
      </c>
      <c r="AW68" s="446">
        <v>-990</v>
      </c>
      <c r="AX68" s="446">
        <v>0</v>
      </c>
      <c r="AY68" s="446">
        <v>0</v>
      </c>
      <c r="AZ68" s="442">
        <v>0</v>
      </c>
      <c r="BA68" s="435">
        <v>0</v>
      </c>
      <c r="BB68" s="446"/>
      <c r="BC68" s="468">
        <f t="shared" ref="BC68:BC73" si="124">SUM(AC68:BB68)</f>
        <v>-68346.805838013766</v>
      </c>
      <c r="BD68" s="796">
        <v>0</v>
      </c>
      <c r="BE68" s="808">
        <f t="shared" ref="BE68:BE73" si="125">SUM(BC68:BD68)</f>
        <v>-68346.805838013766</v>
      </c>
    </row>
    <row r="69" spans="1:63"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6">
        <v>0</v>
      </c>
      <c r="W69" s="435">
        <v>0</v>
      </c>
      <c r="X69" s="435">
        <v>0</v>
      </c>
      <c r="Y69" s="435">
        <v>0</v>
      </c>
      <c r="Z69" s="446">
        <v>0</v>
      </c>
      <c r="AA69" s="435">
        <v>0</v>
      </c>
      <c r="AB69" s="721">
        <v>-8174.1350000000093</v>
      </c>
      <c r="AC69" s="320">
        <f>SUM(E69:AB69)</f>
        <v>-390611.13500000001</v>
      </c>
      <c r="AD69" s="435">
        <v>0</v>
      </c>
      <c r="AE69" s="435">
        <v>0</v>
      </c>
      <c r="AF69" s="435">
        <v>0</v>
      </c>
      <c r="AG69" s="435">
        <v>0</v>
      </c>
      <c r="AH69" s="435">
        <v>0</v>
      </c>
      <c r="AI69" s="732">
        <v>0</v>
      </c>
      <c r="AJ69" s="732">
        <v>0</v>
      </c>
      <c r="AK69" s="732">
        <v>0</v>
      </c>
      <c r="AL69" s="446">
        <v>0</v>
      </c>
      <c r="AM69" s="435">
        <v>0</v>
      </c>
      <c r="AN69" s="435">
        <v>0</v>
      </c>
      <c r="AO69" s="446">
        <v>0</v>
      </c>
      <c r="AP69" s="442">
        <v>0</v>
      </c>
      <c r="AQ69" s="435">
        <v>2659.2445107463291</v>
      </c>
      <c r="AR69" s="435">
        <v>406.90994682449718</v>
      </c>
      <c r="AS69" s="435">
        <v>337.31790495430289</v>
      </c>
      <c r="AT69" s="435">
        <v>0</v>
      </c>
      <c r="AU69" s="435">
        <v>0</v>
      </c>
      <c r="AV69" s="435">
        <v>0</v>
      </c>
      <c r="AW69" s="446">
        <v>-80</v>
      </c>
      <c r="AX69" s="446">
        <v>-25563</v>
      </c>
      <c r="AY69" s="446">
        <v>0</v>
      </c>
      <c r="AZ69" s="442">
        <v>0</v>
      </c>
      <c r="BA69" s="435">
        <v>0</v>
      </c>
      <c r="BB69" s="446"/>
      <c r="BC69" s="469">
        <f t="shared" si="124"/>
        <v>-412850.66263747489</v>
      </c>
      <c r="BD69" s="796">
        <v>0</v>
      </c>
      <c r="BE69" s="809">
        <f t="shared" si="125"/>
        <v>-412850.66263747489</v>
      </c>
    </row>
    <row r="70" spans="1:63"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6">
        <v>0</v>
      </c>
      <c r="W70" s="435">
        <v>0</v>
      </c>
      <c r="X70" s="435">
        <v>0</v>
      </c>
      <c r="Y70" s="435">
        <v>0</v>
      </c>
      <c r="Z70" s="446">
        <v>0</v>
      </c>
      <c r="AA70" s="435">
        <v>0</v>
      </c>
      <c r="AB70" s="721">
        <v>-3770.7280000000028</v>
      </c>
      <c r="AC70" s="320">
        <f>SUM(E70:AB70)</f>
        <v>-150786.728</v>
      </c>
      <c r="AD70" s="435">
        <v>0</v>
      </c>
      <c r="AE70" s="435">
        <v>0</v>
      </c>
      <c r="AF70" s="435">
        <v>0</v>
      </c>
      <c r="AG70" s="435">
        <v>0</v>
      </c>
      <c r="AH70" s="435">
        <v>0</v>
      </c>
      <c r="AI70" s="732">
        <v>0</v>
      </c>
      <c r="AJ70" s="732">
        <v>0</v>
      </c>
      <c r="AK70" s="732">
        <v>0</v>
      </c>
      <c r="AL70" s="446">
        <v>0</v>
      </c>
      <c r="AM70" s="435">
        <v>0</v>
      </c>
      <c r="AN70" s="435">
        <v>0</v>
      </c>
      <c r="AO70" s="446">
        <v>0</v>
      </c>
      <c r="AP70" s="442">
        <v>0</v>
      </c>
      <c r="AQ70" s="435">
        <v>2685.2414754389533</v>
      </c>
      <c r="AR70" s="435">
        <v>760.09193679465375</v>
      </c>
      <c r="AS70" s="435">
        <v>2084.3588596479944</v>
      </c>
      <c r="AT70" s="435">
        <v>0</v>
      </c>
      <c r="AU70" s="435">
        <v>0</v>
      </c>
      <c r="AV70" s="435">
        <v>-92</v>
      </c>
      <c r="AW70" s="446">
        <v>-30</v>
      </c>
      <c r="AX70" s="446">
        <v>0</v>
      </c>
      <c r="AY70" s="446">
        <v>0</v>
      </c>
      <c r="AZ70" s="442">
        <v>0</v>
      </c>
      <c r="BA70" s="435">
        <v>0</v>
      </c>
      <c r="BB70" s="446"/>
      <c r="BC70" s="468">
        <f t="shared" si="124"/>
        <v>-145379.03572811838</v>
      </c>
      <c r="BD70" s="796">
        <v>0</v>
      </c>
      <c r="BE70" s="808">
        <f t="shared" si="125"/>
        <v>-145379.03572811838</v>
      </c>
    </row>
    <row r="71" spans="1:63"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6">
        <v>0</v>
      </c>
      <c r="W71" s="435">
        <v>0</v>
      </c>
      <c r="X71" s="435">
        <v>0</v>
      </c>
      <c r="Y71" s="435">
        <v>0</v>
      </c>
      <c r="Z71" s="446">
        <v>0</v>
      </c>
      <c r="AA71" s="435">
        <v>0</v>
      </c>
      <c r="AB71" s="721">
        <v>558.15549731263059</v>
      </c>
      <c r="AC71" s="320">
        <f>SUM(E71:AB71)</f>
        <v>-357884.8445026874</v>
      </c>
      <c r="AD71" s="435">
        <v>0</v>
      </c>
      <c r="AE71" s="435">
        <v>0</v>
      </c>
      <c r="AF71" s="435">
        <v>0</v>
      </c>
      <c r="AG71" s="435">
        <v>0</v>
      </c>
      <c r="AH71" s="435">
        <v>0</v>
      </c>
      <c r="AI71" s="732">
        <v>0</v>
      </c>
      <c r="AJ71" s="732">
        <v>0</v>
      </c>
      <c r="AK71" s="732">
        <v>0</v>
      </c>
      <c r="AL71" s="446">
        <v>0</v>
      </c>
      <c r="AM71" s="435">
        <v>0</v>
      </c>
      <c r="AN71" s="435">
        <v>0</v>
      </c>
      <c r="AO71" s="446">
        <v>0</v>
      </c>
      <c r="AP71" s="442">
        <v>0</v>
      </c>
      <c r="AQ71" s="435">
        <v>1366.1552423139219</v>
      </c>
      <c r="AR71" s="435">
        <v>4217.6499404820343</v>
      </c>
      <c r="AS71" s="435">
        <v>483.64590479579215</v>
      </c>
      <c r="AT71" s="435">
        <v>0</v>
      </c>
      <c r="AU71" s="435">
        <f>-9565+2632</f>
        <v>-6933</v>
      </c>
      <c r="AV71" s="435">
        <v>-152</v>
      </c>
      <c r="AW71" s="446">
        <v>0</v>
      </c>
      <c r="AX71" s="446">
        <v>0</v>
      </c>
      <c r="AY71" s="446">
        <v>0</v>
      </c>
      <c r="AZ71" s="442">
        <v>0</v>
      </c>
      <c r="BA71" s="435">
        <v>0</v>
      </c>
      <c r="BB71" s="446"/>
      <c r="BC71" s="468">
        <f t="shared" si="124"/>
        <v>-358902.39341509563</v>
      </c>
      <c r="BD71" s="796">
        <v>0</v>
      </c>
      <c r="BE71" s="808">
        <f t="shared" si="125"/>
        <v>-358902.39341509563</v>
      </c>
    </row>
    <row r="72" spans="1:63" s="424" customFormat="1">
      <c r="A72" s="425">
        <v>42</v>
      </c>
      <c r="C72" s="424" t="s">
        <v>217</v>
      </c>
      <c r="E72" s="454">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7">
        <v>0</v>
      </c>
      <c r="W72" s="435">
        <v>0</v>
      </c>
      <c r="X72" s="435">
        <v>0</v>
      </c>
      <c r="Y72" s="435">
        <v>0</v>
      </c>
      <c r="Z72" s="444">
        <v>0</v>
      </c>
      <c r="AA72" s="435">
        <v>0</v>
      </c>
      <c r="AB72" s="721">
        <v>1118.1000257914006</v>
      </c>
      <c r="AC72" s="320">
        <f>SUM(E72:AB72)</f>
        <v>-90546.899974208602</v>
      </c>
      <c r="AD72" s="435">
        <v>0</v>
      </c>
      <c r="AE72" s="435">
        <v>0</v>
      </c>
      <c r="AF72" s="435">
        <v>0</v>
      </c>
      <c r="AG72" s="435">
        <v>0</v>
      </c>
      <c r="AH72" s="435">
        <v>0</v>
      </c>
      <c r="AI72" s="732">
        <v>0</v>
      </c>
      <c r="AJ72" s="732">
        <v>0</v>
      </c>
      <c r="AK72" s="732">
        <v>0</v>
      </c>
      <c r="AL72" s="444">
        <v>0</v>
      </c>
      <c r="AM72" s="435">
        <v>0</v>
      </c>
      <c r="AN72" s="435">
        <v>0</v>
      </c>
      <c r="AO72" s="444">
        <v>0</v>
      </c>
      <c r="AP72" s="442">
        <v>-2.0442844086844922</v>
      </c>
      <c r="AQ72" s="435">
        <v>1700.9450950743028</v>
      </c>
      <c r="AR72" s="435">
        <v>4989.6874545173159</v>
      </c>
      <c r="AS72" s="435">
        <v>0</v>
      </c>
      <c r="AT72" s="435">
        <v>7006.5964626133355</v>
      </c>
      <c r="AU72" s="435">
        <v>-4884</v>
      </c>
      <c r="AV72" s="435">
        <v>0</v>
      </c>
      <c r="AW72" s="444">
        <v>0</v>
      </c>
      <c r="AX72" s="444">
        <v>0</v>
      </c>
      <c r="AY72" s="444">
        <v>0</v>
      </c>
      <c r="AZ72" s="443">
        <v>0</v>
      </c>
      <c r="BA72" s="435">
        <v>0</v>
      </c>
      <c r="BB72" s="444"/>
      <c r="BC72" s="470">
        <f t="shared" si="124"/>
        <v>-81735.715246412321</v>
      </c>
      <c r="BD72" s="798">
        <v>0</v>
      </c>
      <c r="BE72" s="810">
        <f t="shared" si="125"/>
        <v>-81735.715246412321</v>
      </c>
    </row>
    <row r="73" spans="1:63" s="424" customFormat="1">
      <c r="A73" s="425">
        <v>43</v>
      </c>
      <c r="B73" s="424" t="s">
        <v>267</v>
      </c>
      <c r="E73" s="453">
        <f t="shared" ref="E73:AJ73" si="126">SUM(E68:E72)</f>
        <v>-1038385</v>
      </c>
      <c r="F73" s="453">
        <f t="shared" si="126"/>
        <v>0</v>
      </c>
      <c r="G73" s="453">
        <f t="shared" si="126"/>
        <v>0</v>
      </c>
      <c r="H73" s="453">
        <f t="shared" si="126"/>
        <v>0</v>
      </c>
      <c r="I73" s="453">
        <f t="shared" ref="I73" si="127">SUM(I68:I72)</f>
        <v>6178</v>
      </c>
      <c r="J73" s="453">
        <f t="shared" si="126"/>
        <v>0</v>
      </c>
      <c r="K73" s="453">
        <f t="shared" ref="K73" si="128">SUM(K68:K72)</f>
        <v>0</v>
      </c>
      <c r="L73" s="453">
        <f t="shared" si="126"/>
        <v>0</v>
      </c>
      <c r="M73" s="453">
        <f t="shared" si="126"/>
        <v>0</v>
      </c>
      <c r="N73" s="453">
        <f t="shared" si="126"/>
        <v>0</v>
      </c>
      <c r="O73" s="453">
        <f t="shared" si="126"/>
        <v>0</v>
      </c>
      <c r="P73" s="453">
        <f t="shared" si="126"/>
        <v>0</v>
      </c>
      <c r="Q73" s="453">
        <f t="shared" si="126"/>
        <v>0</v>
      </c>
      <c r="R73" s="453">
        <f t="shared" si="126"/>
        <v>0</v>
      </c>
      <c r="S73" s="453">
        <f t="shared" si="126"/>
        <v>0</v>
      </c>
      <c r="T73" s="453">
        <f t="shared" ref="T73" si="129">SUM(T68:T72)</f>
        <v>0</v>
      </c>
      <c r="U73" s="453">
        <f>SUM(U68:U72)</f>
        <v>0</v>
      </c>
      <c r="V73" s="728">
        <f t="shared" ref="V73" si="130">SUM(V68:V72)</f>
        <v>0</v>
      </c>
      <c r="W73" s="453">
        <f>SUM(W68:W72)</f>
        <v>0</v>
      </c>
      <c r="X73" s="453">
        <f>SUM(X68:X72)</f>
        <v>0</v>
      </c>
      <c r="Y73" s="453">
        <f>SUM(Y68:Y72)</f>
        <v>0</v>
      </c>
      <c r="Z73" s="450">
        <f t="shared" ref="Z73" si="131">SUM(Z68:Z72)</f>
        <v>0</v>
      </c>
      <c r="AA73" s="453">
        <f t="shared" ref="AA73" si="132">SUM(AA68:AA72)</f>
        <v>0</v>
      </c>
      <c r="AB73" s="739">
        <f>SUM(AB68:AB72)</f>
        <v>-15582.259181739204</v>
      </c>
      <c r="AC73" s="322">
        <f t="shared" si="126"/>
        <v>-1047789.2591817393</v>
      </c>
      <c r="AD73" s="453">
        <f t="shared" si="126"/>
        <v>0</v>
      </c>
      <c r="AE73" s="453">
        <f t="shared" ref="AE73" si="133">SUM(AE68:AE72)</f>
        <v>0</v>
      </c>
      <c r="AF73" s="453">
        <f t="shared" ref="AF73" si="134">SUM(AF68:AF72)</f>
        <v>0</v>
      </c>
      <c r="AG73" s="453">
        <f>SUM(AG68:AG72)</f>
        <v>0</v>
      </c>
      <c r="AH73" s="453">
        <f>SUM(AH68:AH72)</f>
        <v>0</v>
      </c>
      <c r="AI73" s="739">
        <f>SUM(AI68:AI72)</f>
        <v>0</v>
      </c>
      <c r="AJ73" s="739">
        <f t="shared" si="126"/>
        <v>0</v>
      </c>
      <c r="AK73" s="739">
        <f t="shared" ref="AK73" si="135">SUM(AK68:AK72)</f>
        <v>0</v>
      </c>
      <c r="AL73" s="450">
        <f>SUM(AL68:AL72)</f>
        <v>0</v>
      </c>
      <c r="AM73" s="453">
        <f t="shared" ref="AM73" si="136">SUM(AM68:AM72)</f>
        <v>0</v>
      </c>
      <c r="AN73" s="453">
        <f>SUM(AN68:AN72)</f>
        <v>0</v>
      </c>
      <c r="AO73" s="450">
        <f>SUM(AO68:AO72)</f>
        <v>0</v>
      </c>
      <c r="AP73" s="453">
        <f t="shared" ref="AP73" si="137">SUM(AP68:AP72)</f>
        <v>6153.6025475429515</v>
      </c>
      <c r="AQ73" s="453">
        <f t="shared" ref="AQ73:AV73" si="138">SUM(AQ68:AQ72)</f>
        <v>8384.531868527476</v>
      </c>
      <c r="AR73" s="453">
        <f t="shared" si="138"/>
        <v>10337.655978240493</v>
      </c>
      <c r="AS73" s="453">
        <f t="shared" si="138"/>
        <v>2905.3226693980896</v>
      </c>
      <c r="AT73" s="453">
        <f t="shared" si="138"/>
        <v>7709.5332529151965</v>
      </c>
      <c r="AU73" s="453">
        <f t="shared" si="138"/>
        <v>-28009</v>
      </c>
      <c r="AV73" s="453">
        <f t="shared" si="138"/>
        <v>-244</v>
      </c>
      <c r="AW73" s="450">
        <f t="shared" ref="AW73:AX73" si="139">SUM(AW68:AW72)</f>
        <v>-1100</v>
      </c>
      <c r="AX73" s="450">
        <f t="shared" si="139"/>
        <v>-25563</v>
      </c>
      <c r="AY73" s="450">
        <f>SUM(AY68:AY72)</f>
        <v>0</v>
      </c>
      <c r="AZ73" s="450">
        <f>SUM(AZ68:AZ72)</f>
        <v>0</v>
      </c>
      <c r="BA73" s="453">
        <f>SUM(BA68:BA72)</f>
        <v>0</v>
      </c>
      <c r="BB73" s="450">
        <f>SUM(BB68:BB72)</f>
        <v>0</v>
      </c>
      <c r="BC73" s="468">
        <f t="shared" si="124"/>
        <v>-1067214.6128651151</v>
      </c>
      <c r="BD73" s="802">
        <f>SUM(BD68:BD72)</f>
        <v>0</v>
      </c>
      <c r="BE73" s="808">
        <f t="shared" si="125"/>
        <v>-1067214.6128651151</v>
      </c>
    </row>
    <row r="74" spans="1:63" s="424" customFormat="1">
      <c r="A74" s="425">
        <v>44</v>
      </c>
      <c r="B74" s="424" t="s">
        <v>268</v>
      </c>
      <c r="E74" s="453">
        <f>E66+E73</f>
        <v>2086740</v>
      </c>
      <c r="F74" s="453">
        <f t="shared" ref="F74:Y74" si="140">F66+F73</f>
        <v>0</v>
      </c>
      <c r="G74" s="453">
        <f t="shared" si="140"/>
        <v>0</v>
      </c>
      <c r="H74" s="453">
        <f t="shared" si="140"/>
        <v>0</v>
      </c>
      <c r="I74" s="453">
        <f t="shared" ref="I74" si="141">I66+I73</f>
        <v>-51490</v>
      </c>
      <c r="J74" s="453">
        <f t="shared" si="140"/>
        <v>0</v>
      </c>
      <c r="K74" s="453">
        <f t="shared" si="140"/>
        <v>0</v>
      </c>
      <c r="L74" s="453">
        <f t="shared" si="140"/>
        <v>0</v>
      </c>
      <c r="M74" s="453">
        <f t="shared" si="140"/>
        <v>0</v>
      </c>
      <c r="N74" s="453">
        <f t="shared" si="140"/>
        <v>0</v>
      </c>
      <c r="O74" s="453">
        <f t="shared" si="140"/>
        <v>0</v>
      </c>
      <c r="P74" s="453">
        <f t="shared" si="140"/>
        <v>0</v>
      </c>
      <c r="Q74" s="453">
        <f t="shared" si="140"/>
        <v>0</v>
      </c>
      <c r="R74" s="453">
        <f t="shared" si="140"/>
        <v>0</v>
      </c>
      <c r="S74" s="453">
        <f t="shared" si="140"/>
        <v>0</v>
      </c>
      <c r="T74" s="453">
        <f t="shared" ref="T74" si="142">T66+T73</f>
        <v>0</v>
      </c>
      <c r="U74" s="453">
        <f>U66+U73</f>
        <v>0</v>
      </c>
      <c r="V74" s="721">
        <f>V66+V73</f>
        <v>0</v>
      </c>
      <c r="W74" s="453">
        <f>W66+W73</f>
        <v>0</v>
      </c>
      <c r="X74" s="453">
        <f t="shared" si="140"/>
        <v>0</v>
      </c>
      <c r="Y74" s="453">
        <f t="shared" si="140"/>
        <v>0</v>
      </c>
      <c r="Z74" s="442">
        <f t="shared" ref="Z74" si="143">Z66+Z73</f>
        <v>0</v>
      </c>
      <c r="AA74" s="453">
        <f t="shared" ref="AA74:AI74" si="144">AA66+AA73</f>
        <v>0</v>
      </c>
      <c r="AB74" s="739">
        <f t="shared" si="144"/>
        <v>21566.028985405777</v>
      </c>
      <c r="AC74" s="323">
        <f t="shared" si="144"/>
        <v>2056816.0289854058</v>
      </c>
      <c r="AD74" s="453">
        <f>AD66-AD73</f>
        <v>0</v>
      </c>
      <c r="AE74" s="453">
        <f>AE66-AE73</f>
        <v>0</v>
      </c>
      <c r="AF74" s="453">
        <f>AF66-AF73</f>
        <v>0</v>
      </c>
      <c r="AG74" s="453">
        <f>AG66+AG73</f>
        <v>0</v>
      </c>
      <c r="AH74" s="453">
        <f>AH66+AH73</f>
        <v>0</v>
      </c>
      <c r="AI74" s="739">
        <f t="shared" si="144"/>
        <v>0</v>
      </c>
      <c r="AJ74" s="739">
        <f t="shared" ref="AJ74:AK74" si="145">AJ66+AJ73</f>
        <v>0</v>
      </c>
      <c r="AK74" s="739">
        <f t="shared" si="145"/>
        <v>0</v>
      </c>
      <c r="AL74" s="442">
        <f>AL66+AL73</f>
        <v>0</v>
      </c>
      <c r="AM74" s="453">
        <f t="shared" ref="AM74" si="146">AM66+AM73</f>
        <v>0</v>
      </c>
      <c r="AN74" s="453">
        <f t="shared" ref="AN74:AT74" si="147">AN66+AN73</f>
        <v>0</v>
      </c>
      <c r="AO74" s="442">
        <f t="shared" si="147"/>
        <v>0</v>
      </c>
      <c r="AP74" s="453">
        <f>AP66+AP73</f>
        <v>9880.0669790457214</v>
      </c>
      <c r="AQ74" s="453">
        <f t="shared" si="147"/>
        <v>24017.524261841289</v>
      </c>
      <c r="AR74" s="453">
        <f t="shared" si="147"/>
        <v>53656.676443689525</v>
      </c>
      <c r="AS74" s="453">
        <f t="shared" si="147"/>
        <v>36641.899668735903</v>
      </c>
      <c r="AT74" s="453">
        <f t="shared" si="147"/>
        <v>11416.756480909702</v>
      </c>
      <c r="AU74" s="453">
        <f>AU66+AU73</f>
        <v>53188</v>
      </c>
      <c r="AV74" s="453">
        <f>AV66+AV73</f>
        <v>13292</v>
      </c>
      <c r="AW74" s="442">
        <f>AW66+AW73</f>
        <v>9675</v>
      </c>
      <c r="AX74" s="442">
        <f>AX66+AX73</f>
        <v>-13202</v>
      </c>
      <c r="AY74" s="442">
        <f t="shared" ref="AY74:BC74" si="148">AY66+AY73</f>
        <v>0</v>
      </c>
      <c r="AZ74" s="442">
        <f>AZ66-AZ73</f>
        <v>0</v>
      </c>
      <c r="BA74" s="453">
        <f>BA66+BA73</f>
        <v>0</v>
      </c>
      <c r="BB74" s="442">
        <f t="shared" si="148"/>
        <v>0</v>
      </c>
      <c r="BC74" s="471">
        <f t="shared" si="148"/>
        <v>2255381.9528196282</v>
      </c>
      <c r="BD74" s="796">
        <f>BD66-BD73</f>
        <v>0</v>
      </c>
      <c r="BE74" s="812">
        <f t="shared" ref="BE74" si="149">BE66+BE73</f>
        <v>2255381.9528196282</v>
      </c>
    </row>
    <row r="75" spans="1:63" s="424" customFormat="1" ht="5.25" customHeight="1">
      <c r="A75" s="425"/>
      <c r="E75" s="442"/>
      <c r="F75" s="442"/>
      <c r="G75" s="442"/>
      <c r="H75" s="442"/>
      <c r="I75" s="442"/>
      <c r="J75" s="442"/>
      <c r="K75" s="442"/>
      <c r="L75" s="442"/>
      <c r="M75" s="442"/>
      <c r="N75" s="442"/>
      <c r="O75" s="442"/>
      <c r="P75" s="442"/>
      <c r="Q75" s="442"/>
      <c r="R75" s="442"/>
      <c r="S75" s="442"/>
      <c r="T75" s="442"/>
      <c r="U75" s="442"/>
      <c r="V75" s="721"/>
      <c r="W75" s="442"/>
      <c r="X75" s="442"/>
      <c r="Y75" s="442"/>
      <c r="Z75" s="442"/>
      <c r="AA75" s="442"/>
      <c r="AB75" s="721"/>
      <c r="AC75" s="339"/>
      <c r="AD75" s="442"/>
      <c r="AE75" s="442"/>
      <c r="AF75" s="442"/>
      <c r="AG75" s="442"/>
      <c r="AH75" s="442"/>
      <c r="AI75" s="721"/>
      <c r="AJ75" s="721"/>
      <c r="AK75" s="721"/>
      <c r="AL75" s="442"/>
      <c r="AM75" s="442"/>
      <c r="AN75" s="442"/>
      <c r="AO75" s="442"/>
      <c r="AP75" s="442"/>
      <c r="AQ75" s="442"/>
      <c r="AR75" s="442"/>
      <c r="AS75" s="442"/>
      <c r="AT75" s="442"/>
      <c r="AU75" s="442"/>
      <c r="AV75" s="442"/>
      <c r="AW75" s="442"/>
      <c r="AX75" s="442"/>
      <c r="AY75" s="442"/>
      <c r="AZ75" s="442"/>
      <c r="BA75" s="442"/>
      <c r="BB75" s="442"/>
      <c r="BC75" s="468"/>
      <c r="BD75" s="796"/>
      <c r="BE75" s="808"/>
    </row>
    <row r="76" spans="1:63" s="424" customFormat="1">
      <c r="A76" s="426">
        <v>45</v>
      </c>
      <c r="B76" s="424" t="s">
        <v>220</v>
      </c>
      <c r="E76" s="454">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23">
        <v>0</v>
      </c>
      <c r="W76" s="443">
        <v>0</v>
      </c>
      <c r="X76" s="444">
        <v>0</v>
      </c>
      <c r="Y76" s="444">
        <v>0</v>
      </c>
      <c r="Z76" s="443">
        <v>0</v>
      </c>
      <c r="AA76" s="443">
        <v>0</v>
      </c>
      <c r="AB76" s="723">
        <v>-517</v>
      </c>
      <c r="AC76" s="321">
        <f>SUM(E76:AB76)</f>
        <v>-416057</v>
      </c>
      <c r="AD76" s="443">
        <v>0</v>
      </c>
      <c r="AE76" s="443">
        <v>0</v>
      </c>
      <c r="AF76" s="443">
        <v>0</v>
      </c>
      <c r="AG76" s="444">
        <v>0</v>
      </c>
      <c r="AH76" s="444">
        <v>0</v>
      </c>
      <c r="AI76" s="727">
        <v>0</v>
      </c>
      <c r="AJ76" s="727">
        <v>0</v>
      </c>
      <c r="AK76" s="727">
        <v>0</v>
      </c>
      <c r="AL76" s="443">
        <v>0</v>
      </c>
      <c r="AM76" s="444">
        <v>0</v>
      </c>
      <c r="AN76" s="444">
        <v>0</v>
      </c>
      <c r="AO76" s="443">
        <v>0</v>
      </c>
      <c r="AP76" s="443">
        <v>-564</v>
      </c>
      <c r="AQ76" s="444">
        <v>-710</v>
      </c>
      <c r="AR76" s="444">
        <v>-2119</v>
      </c>
      <c r="AS76" s="444">
        <v>-1058</v>
      </c>
      <c r="AT76" s="444">
        <v>-531</v>
      </c>
      <c r="AU76" s="444">
        <v>-14370</v>
      </c>
      <c r="AV76" s="444">
        <v>-166</v>
      </c>
      <c r="AW76" s="443">
        <v>-317</v>
      </c>
      <c r="AX76" s="443">
        <v>1863</v>
      </c>
      <c r="AY76" s="443">
        <v>0</v>
      </c>
      <c r="AZ76" s="443">
        <v>-30542</v>
      </c>
      <c r="BA76" s="444">
        <v>0</v>
      </c>
      <c r="BB76" s="443"/>
      <c r="BC76" s="470">
        <f>SUM(AC76:BB76)</f>
        <v>-464571</v>
      </c>
      <c r="BD76" s="798">
        <v>17681</v>
      </c>
      <c r="BE76" s="810">
        <f>SUM(BC76:BD76)</f>
        <v>-446890</v>
      </c>
      <c r="BF76" s="746"/>
      <c r="BG76" s="837"/>
      <c r="BH76" s="827"/>
    </row>
    <row r="77" spans="1:63" s="424" customFormat="1">
      <c r="A77" s="426">
        <v>46</v>
      </c>
      <c r="C77" s="424" t="s">
        <v>555</v>
      </c>
      <c r="E77" s="442">
        <f>SUM(E74:E76)</f>
        <v>1667769</v>
      </c>
      <c r="F77" s="442">
        <f t="shared" ref="F77:AJ77" si="150">SUM(F74:F76)</f>
        <v>47</v>
      </c>
      <c r="G77" s="442">
        <f t="shared" si="150"/>
        <v>0</v>
      </c>
      <c r="H77" s="442">
        <f t="shared" si="150"/>
        <v>0</v>
      </c>
      <c r="I77" s="442">
        <f t="shared" ref="I77" si="151">SUM(I74:I76)</f>
        <v>-48106</v>
      </c>
      <c r="J77" s="442">
        <f t="shared" si="150"/>
        <v>0</v>
      </c>
      <c r="K77" s="442">
        <f t="shared" ref="K77" si="152">SUM(K74:K76)</f>
        <v>0</v>
      </c>
      <c r="L77" s="442">
        <f t="shared" si="150"/>
        <v>0</v>
      </c>
      <c r="M77" s="442">
        <f t="shared" si="150"/>
        <v>0</v>
      </c>
      <c r="N77" s="442">
        <f t="shared" si="150"/>
        <v>0</v>
      </c>
      <c r="O77" s="442">
        <f t="shared" si="150"/>
        <v>0</v>
      </c>
      <c r="P77" s="442">
        <f t="shared" si="150"/>
        <v>0</v>
      </c>
      <c r="Q77" s="442">
        <f t="shared" si="150"/>
        <v>0</v>
      </c>
      <c r="R77" s="442">
        <f t="shared" si="150"/>
        <v>0</v>
      </c>
      <c r="S77" s="442">
        <f t="shared" si="150"/>
        <v>0</v>
      </c>
      <c r="T77" s="442">
        <f t="shared" ref="T77" si="153">SUM(T74:T76)</f>
        <v>0</v>
      </c>
      <c r="U77" s="442">
        <f>SUM(U74:U76)</f>
        <v>0</v>
      </c>
      <c r="V77" s="721">
        <f t="shared" ref="V77" si="154">SUM(V74:V76)</f>
        <v>0</v>
      </c>
      <c r="W77" s="442">
        <f>SUM(W74:W76)</f>
        <v>0</v>
      </c>
      <c r="X77" s="442">
        <f>SUM(X74:X76)</f>
        <v>0</v>
      </c>
      <c r="Y77" s="442">
        <f>SUM(Y74:Y76)</f>
        <v>0</v>
      </c>
      <c r="Z77" s="442">
        <f t="shared" ref="Z77" si="155">SUM(Z74:Z76)</f>
        <v>0</v>
      </c>
      <c r="AA77" s="442">
        <f t="shared" ref="AA77" si="156">SUM(AA74:AA76)</f>
        <v>0</v>
      </c>
      <c r="AB77" s="721">
        <f>SUM(AB74:AB76)</f>
        <v>21049.028985405777</v>
      </c>
      <c r="AC77" s="339">
        <f t="shared" si="150"/>
        <v>1640759.0289854058</v>
      </c>
      <c r="AD77" s="442">
        <f t="shared" si="150"/>
        <v>0</v>
      </c>
      <c r="AE77" s="442">
        <f t="shared" ref="AE77" si="157">SUM(AE74:AE76)</f>
        <v>0</v>
      </c>
      <c r="AF77" s="442">
        <f t="shared" ref="AF77" si="158">SUM(AF74:AF76)</f>
        <v>0</v>
      </c>
      <c r="AG77" s="442">
        <f>SUM(AG74:AG76)</f>
        <v>0</v>
      </c>
      <c r="AH77" s="442">
        <f>SUM(AH74:AH76)</f>
        <v>0</v>
      </c>
      <c r="AI77" s="721">
        <f>SUM(AI74:AI76)</f>
        <v>0</v>
      </c>
      <c r="AJ77" s="721">
        <f t="shared" si="150"/>
        <v>0</v>
      </c>
      <c r="AK77" s="721">
        <f t="shared" ref="AK77" si="159">SUM(AK74:AK76)</f>
        <v>0</v>
      </c>
      <c r="AL77" s="442">
        <f>SUM(AL74:AL76)</f>
        <v>0</v>
      </c>
      <c r="AM77" s="442">
        <f t="shared" ref="AM77" si="160">SUM(AM74:AM76)</f>
        <v>0</v>
      </c>
      <c r="AN77" s="442">
        <f>SUM(AN74:AN76)</f>
        <v>0</v>
      </c>
      <c r="AO77" s="442">
        <f>SUM(AO74:AO76)</f>
        <v>0</v>
      </c>
      <c r="AP77" s="442">
        <f t="shared" ref="AP77:BC77" si="161">SUM(AP74:AP76)</f>
        <v>9316.0669790457214</v>
      </c>
      <c r="AQ77" s="442">
        <f t="shared" ref="AQ77:AV77" si="162">SUM(AQ74:AQ76)</f>
        <v>23307.524261841289</v>
      </c>
      <c r="AR77" s="442">
        <f t="shared" si="162"/>
        <v>51537.676443689525</v>
      </c>
      <c r="AS77" s="442">
        <f t="shared" si="162"/>
        <v>35583.899668735903</v>
      </c>
      <c r="AT77" s="442">
        <f t="shared" si="162"/>
        <v>10885.756480909702</v>
      </c>
      <c r="AU77" s="442">
        <f t="shared" si="162"/>
        <v>38818</v>
      </c>
      <c r="AV77" s="442">
        <f t="shared" si="162"/>
        <v>13126</v>
      </c>
      <c r="AW77" s="442">
        <f t="shared" ref="AW77:AX77" si="163">SUM(AW74:AW76)</f>
        <v>9358</v>
      </c>
      <c r="AX77" s="442">
        <f t="shared" si="163"/>
        <v>-11339</v>
      </c>
      <c r="AY77" s="442">
        <f>SUM(AY74:AY76)</f>
        <v>0</v>
      </c>
      <c r="AZ77" s="442">
        <f>SUM(AZ74:AZ76)</f>
        <v>-30542</v>
      </c>
      <c r="BA77" s="442">
        <f>SUM(BA74:BA76)</f>
        <v>0</v>
      </c>
      <c r="BB77" s="442">
        <f>SUM(BB74:BB76)</f>
        <v>0</v>
      </c>
      <c r="BC77" s="468">
        <f t="shared" si="161"/>
        <v>1790810.9528196282</v>
      </c>
      <c r="BD77" s="796">
        <f>SUM(BD74:BD76)</f>
        <v>17681</v>
      </c>
      <c r="BE77" s="808">
        <f t="shared" ref="BE77" si="164">SUM(BE74:BE76)</f>
        <v>1808491.9528196282</v>
      </c>
      <c r="BH77" s="409"/>
    </row>
    <row r="78" spans="1:63" s="424" customFormat="1">
      <c r="A78" s="425">
        <v>47</v>
      </c>
      <c r="B78" s="424" t="s">
        <v>623</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21">
        <v>0</v>
      </c>
      <c r="W78" s="436">
        <v>0</v>
      </c>
      <c r="X78" s="435">
        <v>0</v>
      </c>
      <c r="Y78" s="435">
        <v>0</v>
      </c>
      <c r="Z78" s="442">
        <v>0</v>
      </c>
      <c r="AA78" s="436">
        <v>0</v>
      </c>
      <c r="AB78" s="721">
        <v>0</v>
      </c>
      <c r="AC78" s="320">
        <f>SUM(E78:AB78)</f>
        <v>-2277</v>
      </c>
      <c r="AD78" s="436">
        <v>0</v>
      </c>
      <c r="AE78" s="436">
        <v>0</v>
      </c>
      <c r="AF78" s="436">
        <v>0</v>
      </c>
      <c r="AG78" s="435">
        <v>-766</v>
      </c>
      <c r="AH78" s="435"/>
      <c r="AI78" s="732">
        <v>0</v>
      </c>
      <c r="AJ78" s="732">
        <v>0</v>
      </c>
      <c r="AK78" s="732">
        <v>0</v>
      </c>
      <c r="AL78" s="442">
        <v>0</v>
      </c>
      <c r="AM78" s="435">
        <v>0</v>
      </c>
      <c r="AN78" s="435">
        <v>0</v>
      </c>
      <c r="AO78" s="442">
        <v>0</v>
      </c>
      <c r="AP78" s="442">
        <v>0</v>
      </c>
      <c r="AQ78" s="435">
        <v>0</v>
      </c>
      <c r="AR78" s="435">
        <v>0</v>
      </c>
      <c r="AS78" s="435">
        <v>0</v>
      </c>
      <c r="AT78" s="435">
        <v>0</v>
      </c>
      <c r="AU78" s="435">
        <v>53345</v>
      </c>
      <c r="AV78" s="435">
        <v>0</v>
      </c>
      <c r="AW78" s="442">
        <v>0</v>
      </c>
      <c r="AX78" s="442">
        <v>-4266</v>
      </c>
      <c r="AY78" s="442">
        <v>0</v>
      </c>
      <c r="AZ78" s="442">
        <v>0</v>
      </c>
      <c r="BA78" s="435">
        <v>0</v>
      </c>
      <c r="BB78" s="442">
        <v>0</v>
      </c>
      <c r="BC78" s="468">
        <f>SUM(AC78:BB78)</f>
        <v>46036</v>
      </c>
      <c r="BD78" s="796">
        <v>0</v>
      </c>
      <c r="BE78" s="808">
        <f>SUM(BC78:BD78)</f>
        <v>46036</v>
      </c>
    </row>
    <row r="79" spans="1:63" s="424" customFormat="1">
      <c r="A79" s="425">
        <v>48</v>
      </c>
      <c r="B79" s="424" t="s">
        <v>256</v>
      </c>
      <c r="E79" s="454">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23">
        <v>0</v>
      </c>
      <c r="W79" s="443">
        <v>0</v>
      </c>
      <c r="X79" s="444">
        <v>0</v>
      </c>
      <c r="Y79" s="444">
        <v>0</v>
      </c>
      <c r="Z79" s="443">
        <v>0</v>
      </c>
      <c r="AA79" s="443">
        <v>0</v>
      </c>
      <c r="AB79" s="723">
        <v>0</v>
      </c>
      <c r="AC79" s="321">
        <f>SUM(E79:AB79)</f>
        <v>40710</v>
      </c>
      <c r="AD79" s="443">
        <v>0</v>
      </c>
      <c r="AE79" s="443">
        <v>0</v>
      </c>
      <c r="AF79" s="443">
        <v>0</v>
      </c>
      <c r="AG79" s="444">
        <v>0</v>
      </c>
      <c r="AH79" s="444">
        <v>0</v>
      </c>
      <c r="AI79" s="727">
        <v>0</v>
      </c>
      <c r="AJ79" s="727">
        <v>0</v>
      </c>
      <c r="AK79" s="727">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70">
        <f>SUM(AC79:BB79)</f>
        <v>40710</v>
      </c>
      <c r="BD79" s="798">
        <v>0</v>
      </c>
      <c r="BE79" s="810">
        <f>SUM(BC79:BD79)</f>
        <v>40710</v>
      </c>
    </row>
    <row r="80" spans="1:63" s="424" customFormat="1" ht="7.5" customHeight="1">
      <c r="A80" s="426"/>
      <c r="E80" s="442"/>
      <c r="F80" s="435"/>
      <c r="G80" s="435"/>
      <c r="H80" s="435"/>
      <c r="I80" s="435"/>
      <c r="J80" s="435"/>
      <c r="K80" s="435"/>
      <c r="L80" s="435"/>
      <c r="M80" s="435"/>
      <c r="N80" s="435"/>
      <c r="O80" s="435"/>
      <c r="P80" s="435"/>
      <c r="Q80" s="435"/>
      <c r="R80" s="435"/>
      <c r="S80" s="435"/>
      <c r="T80" s="436"/>
      <c r="U80" s="436"/>
      <c r="V80" s="721"/>
      <c r="W80" s="436"/>
      <c r="X80" s="435"/>
      <c r="Y80" s="435"/>
      <c r="Z80" s="442"/>
      <c r="AA80" s="436"/>
      <c r="AB80" s="721"/>
      <c r="AC80" s="434"/>
      <c r="AD80" s="436"/>
      <c r="AE80" s="436"/>
      <c r="AF80" s="436"/>
      <c r="AG80" s="435"/>
      <c r="AH80" s="435"/>
      <c r="AI80" s="732"/>
      <c r="AJ80" s="732"/>
      <c r="AK80" s="732"/>
      <c r="AL80" s="442"/>
      <c r="AM80" s="435"/>
      <c r="AN80" s="435"/>
      <c r="AO80" s="442"/>
      <c r="AP80" s="442"/>
      <c r="AQ80" s="435"/>
      <c r="AR80" s="435"/>
      <c r="AS80" s="435"/>
      <c r="AT80" s="435"/>
      <c r="AU80" s="435"/>
      <c r="AV80" s="435"/>
      <c r="AW80" s="442"/>
      <c r="AX80" s="442"/>
      <c r="AY80" s="442"/>
      <c r="AZ80" s="442"/>
      <c r="BA80" s="435"/>
      <c r="BB80" s="442"/>
      <c r="BC80" s="468"/>
      <c r="BD80" s="796"/>
      <c r="BE80" s="808"/>
    </row>
    <row r="81" spans="1:60" s="423" customFormat="1" ht="13.5" customHeight="1" thickBot="1">
      <c r="A81" s="422">
        <v>49</v>
      </c>
      <c r="B81" s="423" t="s">
        <v>221</v>
      </c>
      <c r="E81" s="567">
        <f t="shared" ref="E81:AP81" si="165">SUM(E77:E79)</f>
        <v>1710135</v>
      </c>
      <c r="F81" s="455">
        <f t="shared" si="165"/>
        <v>47</v>
      </c>
      <c r="G81" s="455">
        <f t="shared" si="165"/>
        <v>1</v>
      </c>
      <c r="H81" s="455">
        <f t="shared" si="165"/>
        <v>-3752</v>
      </c>
      <c r="I81" s="455">
        <f t="shared" ref="I81" si="166">SUM(I77:I79)</f>
        <v>-48288</v>
      </c>
      <c r="J81" s="455">
        <f t="shared" si="165"/>
        <v>0</v>
      </c>
      <c r="K81" s="455">
        <f t="shared" si="165"/>
        <v>0</v>
      </c>
      <c r="L81" s="455">
        <f t="shared" si="165"/>
        <v>0</v>
      </c>
      <c r="M81" s="455">
        <f t="shared" si="165"/>
        <v>0</v>
      </c>
      <c r="N81" s="455">
        <f t="shared" si="165"/>
        <v>0</v>
      </c>
      <c r="O81" s="455">
        <f t="shared" si="165"/>
        <v>0</v>
      </c>
      <c r="P81" s="455">
        <f t="shared" si="165"/>
        <v>0</v>
      </c>
      <c r="Q81" s="455">
        <f t="shared" si="165"/>
        <v>0</v>
      </c>
      <c r="R81" s="455">
        <f t="shared" si="165"/>
        <v>0</v>
      </c>
      <c r="S81" s="455">
        <f t="shared" si="165"/>
        <v>0</v>
      </c>
      <c r="T81" s="455">
        <f>SUM(T77:T79)</f>
        <v>0</v>
      </c>
      <c r="U81" s="455">
        <f>SUM(U77:U79)</f>
        <v>0</v>
      </c>
      <c r="V81" s="729">
        <f>SUM(V77:V79)</f>
        <v>0</v>
      </c>
      <c r="W81" s="455">
        <f>SUM(W77:W79)</f>
        <v>0</v>
      </c>
      <c r="X81" s="455">
        <f t="shared" si="165"/>
        <v>0</v>
      </c>
      <c r="Y81" s="455">
        <f t="shared" si="165"/>
        <v>0</v>
      </c>
      <c r="Z81" s="455">
        <f t="shared" ref="Z81" si="167">SUM(Z77:Z79)</f>
        <v>0</v>
      </c>
      <c r="AA81" s="455">
        <f t="shared" ref="AA81" si="168">SUM(AA77:AA79)</f>
        <v>0</v>
      </c>
      <c r="AB81" s="724">
        <f>SUM(AB77:AB79)</f>
        <v>21049.028985405777</v>
      </c>
      <c r="AC81" s="336">
        <f t="shared" si="165"/>
        <v>1679192.0289854058</v>
      </c>
      <c r="AD81" s="455">
        <f t="shared" si="165"/>
        <v>0</v>
      </c>
      <c r="AE81" s="455">
        <f t="shared" ref="AE81" si="169">SUM(AE77:AE79)</f>
        <v>0</v>
      </c>
      <c r="AF81" s="455">
        <f t="shared" ref="AF81" si="170">SUM(AF77:AF79)</f>
        <v>0</v>
      </c>
      <c r="AG81" s="567">
        <f>SUM(AG77:AG79)</f>
        <v>-766</v>
      </c>
      <c r="AH81" s="567">
        <f>SUM(AH77:AH79)</f>
        <v>0</v>
      </c>
      <c r="AI81" s="729">
        <f>SUM(AI77:AI79)</f>
        <v>0</v>
      </c>
      <c r="AJ81" s="729">
        <f t="shared" si="165"/>
        <v>0</v>
      </c>
      <c r="AK81" s="729">
        <f t="shared" ref="AK81" si="171">SUM(AK77:AK79)</f>
        <v>0</v>
      </c>
      <c r="AL81" s="455">
        <f>SUM(AL77:AL79)</f>
        <v>0</v>
      </c>
      <c r="AM81" s="455">
        <f>SUM(AM77:AM79)</f>
        <v>0</v>
      </c>
      <c r="AN81" s="455">
        <f>SUM(AN77:AN79)</f>
        <v>0</v>
      </c>
      <c r="AO81" s="455">
        <f>SUM(AO77:AO79)</f>
        <v>0</v>
      </c>
      <c r="AP81" s="455">
        <f t="shared" si="165"/>
        <v>9316.0669790457214</v>
      </c>
      <c r="AQ81" s="455">
        <f t="shared" ref="AQ81:AV81" si="172">SUM(AQ77:AQ79)</f>
        <v>23307.524261841289</v>
      </c>
      <c r="AR81" s="455">
        <f t="shared" si="172"/>
        <v>51537.676443689525</v>
      </c>
      <c r="AS81" s="455">
        <f t="shared" si="172"/>
        <v>35583.899668735903</v>
      </c>
      <c r="AT81" s="455">
        <f t="shared" si="172"/>
        <v>10885.756480909702</v>
      </c>
      <c r="AU81" s="455">
        <f t="shared" si="172"/>
        <v>92163</v>
      </c>
      <c r="AV81" s="455">
        <f t="shared" si="172"/>
        <v>13126</v>
      </c>
      <c r="AW81" s="455">
        <f t="shared" ref="AW81:AX81" si="173">SUM(AW77:AW79)</f>
        <v>9358</v>
      </c>
      <c r="AX81" s="455">
        <f t="shared" si="173"/>
        <v>-15605</v>
      </c>
      <c r="AY81" s="455">
        <f>SUM(AY77:AY79)</f>
        <v>0</v>
      </c>
      <c r="AZ81" s="455">
        <f>SUM(AZ77:AZ79)</f>
        <v>-30542</v>
      </c>
      <c r="BA81" s="455">
        <f>SUM(BA77:BA79)</f>
        <v>0</v>
      </c>
      <c r="BB81" s="455">
        <f>SUM(BB77:BB79)</f>
        <v>0</v>
      </c>
      <c r="BC81" s="472">
        <f t="shared" ref="BC81" si="174">SUM(BC77:BC79)</f>
        <v>1877556.9528196282</v>
      </c>
      <c r="BD81" s="803">
        <f>SUM(BD77:BD79)</f>
        <v>17681</v>
      </c>
      <c r="BE81" s="811">
        <f t="shared" ref="BE81" si="175">SUM(BE77:BE79)</f>
        <v>1895237.9528196282</v>
      </c>
    </row>
    <row r="82" spans="1:60" ht="18" customHeight="1" thickTop="1">
      <c r="A82" s="422">
        <v>50</v>
      </c>
      <c r="B82" s="409" t="s">
        <v>624</v>
      </c>
      <c r="E82" s="428">
        <f>ROUND(E57/E81,4)</f>
        <v>6.7299999999999999E-2</v>
      </c>
      <c r="F82" s="660"/>
      <c r="G82" s="660"/>
      <c r="H82" s="660"/>
      <c r="I82" s="660"/>
      <c r="J82" s="660"/>
      <c r="K82" s="660"/>
      <c r="L82" s="660"/>
      <c r="M82" s="660"/>
      <c r="N82" s="660"/>
      <c r="O82" s="660"/>
      <c r="P82" s="660"/>
      <c r="Q82" s="660"/>
      <c r="R82" s="660"/>
      <c r="V82" s="730"/>
      <c r="Z82" s="669"/>
      <c r="AC82" s="390" t="s">
        <v>619</v>
      </c>
      <c r="AL82" s="669"/>
      <c r="AO82" s="669"/>
      <c r="AW82" s="669"/>
      <c r="AX82" s="669"/>
      <c r="AY82" s="669"/>
      <c r="AZ82" s="669"/>
      <c r="BB82" s="669"/>
      <c r="BD82" s="669"/>
    </row>
    <row r="83" spans="1:60">
      <c r="A83" s="410">
        <v>51</v>
      </c>
      <c r="B83" s="409" t="s">
        <v>620</v>
      </c>
      <c r="E83" s="445">
        <f>E89</f>
        <v>15940.852833466184</v>
      </c>
      <c r="F83" s="445">
        <f>F89</f>
        <v>4.2994171805945767</v>
      </c>
      <c r="G83" s="445">
        <f>G89</f>
        <v>59.710645126268716</v>
      </c>
      <c r="H83" s="445">
        <f>H89</f>
        <v>-343.22155875725218</v>
      </c>
      <c r="I83" s="445">
        <f t="shared" ref="I83" si="176">I89</f>
        <v>-4417.2395067351254</v>
      </c>
      <c r="J83" s="445">
        <f>J89</f>
        <v>83.676025494708028</v>
      </c>
      <c r="K83" s="445">
        <f t="shared" ref="K83" si="177">K89</f>
        <v>1046.9962690025341</v>
      </c>
      <c r="L83" s="445">
        <f t="shared" ref="L83:S83" si="178">L89</f>
        <v>1503.0306079486927</v>
      </c>
      <c r="M83" s="445">
        <f t="shared" si="178"/>
        <v>-389.09351855039228</v>
      </c>
      <c r="N83" s="445">
        <f t="shared" si="178"/>
        <v>53.343466252876361</v>
      </c>
      <c r="O83" s="445">
        <f t="shared" si="178"/>
        <v>-3.9719632355082921</v>
      </c>
      <c r="P83" s="445">
        <f t="shared" si="178"/>
        <v>-54.389416571560211</v>
      </c>
      <c r="Q83" s="445">
        <f t="shared" si="178"/>
        <v>35.562310835250905</v>
      </c>
      <c r="R83" s="445">
        <f t="shared" si="178"/>
        <v>-60.665118483663313</v>
      </c>
      <c r="S83" s="445">
        <f t="shared" si="178"/>
        <v>820.02504984813856</v>
      </c>
      <c r="T83" s="445">
        <f t="shared" ref="T83" si="179">T89</f>
        <v>1461.1925952013389</v>
      </c>
      <c r="U83" s="445">
        <f>U89</f>
        <v>-1280.2431900690328</v>
      </c>
      <c r="V83" s="731">
        <f>V89</f>
        <v>787.60058996893918</v>
      </c>
      <c r="W83" s="445">
        <f>W89</f>
        <v>1236.6045539882482</v>
      </c>
      <c r="X83" s="445">
        <f>X89</f>
        <v>-1421.9628383119687</v>
      </c>
      <c r="Y83" s="445">
        <f>Y89</f>
        <v>-5.2297515934192518</v>
      </c>
      <c r="Z83" s="445">
        <f t="shared" ref="Z83" si="180">Z89</f>
        <v>-968.54999510124526</v>
      </c>
      <c r="AA83" s="445">
        <f>AA89</f>
        <v>6134.4986190807822</v>
      </c>
      <c r="AB83" s="731">
        <f>AB89</f>
        <v>3866.7850011514138</v>
      </c>
      <c r="AC83" s="445">
        <f>AC89</f>
        <v>24089.61112713681</v>
      </c>
      <c r="AD83" s="445">
        <f t="shared" ref="AD83:AF83" si="181">AD89</f>
        <v>-15253.093497366588</v>
      </c>
      <c r="AE83" s="445">
        <f t="shared" ref="AE83" si="182">AE89</f>
        <v>-1155.7751021456545</v>
      </c>
      <c r="AF83" s="445">
        <f t="shared" si="181"/>
        <v>-15543.867685960699</v>
      </c>
      <c r="AG83" s="445">
        <f t="shared" ref="AG83:AL83" si="183">AG89</f>
        <v>-2598.1332726064288</v>
      </c>
      <c r="AH83" s="445">
        <f t="shared" si="183"/>
        <v>-661.99387258471529</v>
      </c>
      <c r="AI83" s="731">
        <f t="shared" si="183"/>
        <v>3417.1196911401389</v>
      </c>
      <c r="AJ83" s="731">
        <f t="shared" si="183"/>
        <v>-332.61220134146436</v>
      </c>
      <c r="AK83" s="731">
        <f t="shared" si="183"/>
        <v>1171.4643569259122</v>
      </c>
      <c r="AL83" s="445">
        <f t="shared" si="183"/>
        <v>3701.6181778221458</v>
      </c>
      <c r="AM83" s="445">
        <f t="shared" ref="AM83" si="184">AM89</f>
        <v>2105.4979915105905</v>
      </c>
      <c r="AN83" s="445">
        <f>AN89</f>
        <v>1786.4831443120161</v>
      </c>
      <c r="AO83" s="445">
        <f>AO89</f>
        <v>1393.2058244868886</v>
      </c>
      <c r="AP83" s="445">
        <f t="shared" ref="AP83" si="185">AP89</f>
        <v>2774.6621841511078</v>
      </c>
      <c r="AQ83" s="445">
        <f t="shared" ref="AQ83:AV83" si="186">AQ89</f>
        <v>2607.7556570204511</v>
      </c>
      <c r="AR83" s="445">
        <f t="shared" si="186"/>
        <v>6061.6940434418875</v>
      </c>
      <c r="AS83" s="445">
        <f t="shared" si="186"/>
        <v>3997.2408194877307</v>
      </c>
      <c r="AT83" s="445">
        <f t="shared" si="186"/>
        <v>3051.6112755814465</v>
      </c>
      <c r="AU83" s="445">
        <f t="shared" si="186"/>
        <v>18536.763162424169</v>
      </c>
      <c r="AV83" s="445">
        <f t="shared" si="186"/>
        <v>5738.0590763331893</v>
      </c>
      <c r="AW83" s="445">
        <f t="shared" ref="AW83:AX83" si="187">AW89</f>
        <v>3780.518494784812</v>
      </c>
      <c r="AX83" s="445">
        <f t="shared" si="187"/>
        <v>-1673.7464616427512</v>
      </c>
      <c r="AY83" s="445">
        <f t="shared" ref="AY83:BE83" si="188">AY89</f>
        <v>-16.735205098941606</v>
      </c>
      <c r="AZ83" s="445">
        <f t="shared" si="188"/>
        <v>-2793.8893516961612</v>
      </c>
      <c r="BA83" s="445">
        <f t="shared" si="188"/>
        <v>0</v>
      </c>
      <c r="BB83" s="445">
        <f t="shared" si="188"/>
        <v>0</v>
      </c>
      <c r="BC83" s="539">
        <f t="shared" si="188"/>
        <v>44183.458376115908</v>
      </c>
      <c r="BD83" s="804">
        <f t="shared" si="188"/>
        <v>-44183.009458927008</v>
      </c>
      <c r="BE83" s="804">
        <f t="shared" si="188"/>
        <v>0.44891718888038934</v>
      </c>
      <c r="BG83" s="826"/>
      <c r="BH83" s="827"/>
    </row>
    <row r="84" spans="1:60" ht="69.75" customHeight="1">
      <c r="B84" s="465"/>
      <c r="E84" s="409"/>
      <c r="AD84" s="707"/>
      <c r="AE84" s="707"/>
      <c r="AF84" s="707"/>
      <c r="AI84" s="740"/>
      <c r="AJ84" s="740"/>
      <c r="AK84" s="740"/>
      <c r="AL84" s="435"/>
      <c r="AM84" s="707"/>
      <c r="AN84" s="707"/>
      <c r="AO84" s="435"/>
      <c r="AP84" s="774"/>
      <c r="AQ84" s="707"/>
      <c r="AR84" s="707"/>
      <c r="AS84" s="707"/>
      <c r="AT84" s="707"/>
      <c r="AU84" s="707"/>
      <c r="AV84" s="707"/>
      <c r="AW84" s="765"/>
      <c r="AX84" s="765"/>
      <c r="AY84" s="765"/>
      <c r="BA84" s="707"/>
      <c r="BB84" s="697"/>
      <c r="BC84" s="697"/>
      <c r="BE84" s="813"/>
    </row>
    <row r="85" spans="1:60">
      <c r="E85" s="428">
        <f>'RR SUMMARY'!E14</f>
        <v>7.4300000000000005E-2</v>
      </c>
      <c r="AP85" s="775"/>
      <c r="AQ85" s="763"/>
      <c r="AR85" s="763"/>
      <c r="AS85" s="763"/>
      <c r="AT85" s="763"/>
      <c r="AU85" s="763"/>
      <c r="AV85" s="763"/>
      <c r="BA85" s="763"/>
      <c r="BC85" s="434"/>
    </row>
    <row r="86" spans="1:60">
      <c r="E86" s="428"/>
      <c r="AP86" s="475"/>
      <c r="BC86" s="434"/>
    </row>
    <row r="87" spans="1:60">
      <c r="D87" s="409" t="s">
        <v>685</v>
      </c>
      <c r="E87" s="568">
        <f>'CF '!E24</f>
        <v>0.75529400000000002</v>
      </c>
    </row>
    <row r="88" spans="1:60">
      <c r="D88" s="409" t="s">
        <v>227</v>
      </c>
      <c r="E88" s="450">
        <f t="shared" ref="E88:BC88" si="189">E81*$E$85-E57</f>
        <v>12040.030500000008</v>
      </c>
      <c r="F88" s="450">
        <f t="shared" si="189"/>
        <v>3.2473240000000003</v>
      </c>
      <c r="G88" s="450">
        <f t="shared" si="189"/>
        <v>45.099092000000006</v>
      </c>
      <c r="H88" s="450">
        <f>H81*$E$85-H57</f>
        <v>-259.23318400000005</v>
      </c>
      <c r="I88" s="450">
        <f t="shared" si="189"/>
        <v>-3336.314496</v>
      </c>
      <c r="J88" s="450">
        <f t="shared" si="189"/>
        <v>63.2</v>
      </c>
      <c r="K88" s="450">
        <f t="shared" si="189"/>
        <v>790.79</v>
      </c>
      <c r="L88" s="450">
        <f t="shared" si="189"/>
        <v>1135.23</v>
      </c>
      <c r="M88" s="450">
        <f t="shared" si="189"/>
        <v>-293.88</v>
      </c>
      <c r="N88" s="450">
        <f t="shared" si="189"/>
        <v>40.29</v>
      </c>
      <c r="O88" s="450">
        <f t="shared" si="189"/>
        <v>-3</v>
      </c>
      <c r="P88" s="450">
        <f t="shared" si="189"/>
        <v>-41.08</v>
      </c>
      <c r="Q88" s="450">
        <f t="shared" si="189"/>
        <v>26.86</v>
      </c>
      <c r="R88" s="450">
        <f t="shared" si="189"/>
        <v>-45.82</v>
      </c>
      <c r="S88" s="450">
        <f t="shared" si="189"/>
        <v>619.36</v>
      </c>
      <c r="T88" s="450">
        <f t="shared" si="189"/>
        <v>1103.6300000000001</v>
      </c>
      <c r="U88" s="450">
        <f t="shared" si="189"/>
        <v>-966.96</v>
      </c>
      <c r="V88" s="728">
        <f t="shared" si="189"/>
        <v>594.87</v>
      </c>
      <c r="W88" s="450">
        <f t="shared" si="189"/>
        <v>934</v>
      </c>
      <c r="X88" s="450">
        <f t="shared" si="189"/>
        <v>-1074</v>
      </c>
      <c r="Y88" s="450">
        <f t="shared" si="189"/>
        <v>-3.95</v>
      </c>
      <c r="Z88" s="450">
        <f t="shared" si="189"/>
        <v>-731.54</v>
      </c>
      <c r="AA88" s="450">
        <f t="shared" si="189"/>
        <v>4633.3500000000004</v>
      </c>
      <c r="AB88" s="728">
        <f t="shared" si="189"/>
        <v>2920.5595106596561</v>
      </c>
      <c r="AC88" s="450">
        <f t="shared" si="189"/>
        <v>18194.73874665967</v>
      </c>
      <c r="AD88" s="450">
        <f t="shared" si="189"/>
        <v>-11520.57</v>
      </c>
      <c r="AE88" s="450">
        <f t="shared" ref="AE88" si="190">AE81*$E$85-AE57</f>
        <v>-872.95</v>
      </c>
      <c r="AF88" s="450">
        <f t="shared" ref="AF88" si="191">AF81*$E$85-AF57</f>
        <v>-11740.19</v>
      </c>
      <c r="AG88" s="450">
        <f t="shared" si="189"/>
        <v>-1962.354472</v>
      </c>
      <c r="AH88" s="450">
        <f t="shared" ref="AH88" si="192">AH81*$E$85-AH57</f>
        <v>-500</v>
      </c>
      <c r="AI88" s="728">
        <f t="shared" si="189"/>
        <v>2580.9300000000003</v>
      </c>
      <c r="AJ88" s="728">
        <f t="shared" si="189"/>
        <v>-251.22</v>
      </c>
      <c r="AK88" s="728">
        <f t="shared" si="189"/>
        <v>884.8</v>
      </c>
      <c r="AL88" s="450">
        <f t="shared" ref="AL88" si="193">AL81*$E$85-AL57</f>
        <v>2795.81</v>
      </c>
      <c r="AM88" s="450">
        <f t="shared" si="189"/>
        <v>1590.27</v>
      </c>
      <c r="AN88" s="450">
        <f t="shared" si="189"/>
        <v>1349.32</v>
      </c>
      <c r="AO88" s="450">
        <f t="shared" ref="AO88:AT88" si="194">AO81*$E$85-AO57</f>
        <v>1052.28</v>
      </c>
      <c r="AP88" s="450">
        <f t="shared" si="194"/>
        <v>2095.6856997162267</v>
      </c>
      <c r="AQ88" s="450">
        <f t="shared" si="194"/>
        <v>1969.6222012136045</v>
      </c>
      <c r="AR88" s="450">
        <f t="shared" si="194"/>
        <v>4578.3611408473971</v>
      </c>
      <c r="AS88" s="450">
        <f t="shared" si="194"/>
        <v>3019.0920075141662</v>
      </c>
      <c r="AT88" s="450">
        <f t="shared" si="194"/>
        <v>2304.8636867790133</v>
      </c>
      <c r="AU88" s="450">
        <f>AU81*$E$85-AU57</f>
        <v>14000.705996000001</v>
      </c>
      <c r="AV88" s="450">
        <f>AV81*$E$85-AV57</f>
        <v>4333.9215919999997</v>
      </c>
      <c r="AW88" s="450">
        <f t="shared" ref="AW88" si="195">AW81*$E$85-AW57</f>
        <v>2855.402936</v>
      </c>
      <c r="AX88" s="450">
        <f>AX81*$E$85-AX57</f>
        <v>-1264.1706600000002</v>
      </c>
      <c r="AY88" s="450">
        <f t="shared" si="189"/>
        <v>-12.64</v>
      </c>
      <c r="AZ88" s="450">
        <f>AZ81*$E$85-AZ57</f>
        <v>-2110.2078640000004</v>
      </c>
      <c r="BA88" s="450">
        <f>BA81*$E$85-BA57</f>
        <v>0</v>
      </c>
      <c r="BB88" s="450">
        <f t="shared" si="189"/>
        <v>0</v>
      </c>
      <c r="BC88" s="451">
        <f t="shared" si="189"/>
        <v>33371.501010730091</v>
      </c>
      <c r="BD88" s="450">
        <f>BD81*$E$85-BD57</f>
        <v>-33371.161946270819</v>
      </c>
      <c r="BE88" s="450">
        <f t="shared" ref="BE88" si="196">BE81*$E$85-BE57</f>
        <v>0.33906445925822482</v>
      </c>
    </row>
    <row r="89" spans="1:60" s="475" customFormat="1">
      <c r="A89" s="537"/>
      <c r="D89" s="475" t="s">
        <v>651</v>
      </c>
      <c r="E89" s="443">
        <f>E88/$E$87</f>
        <v>15940.852833466184</v>
      </c>
      <c r="F89" s="443">
        <f>F88/$E$87</f>
        <v>4.2994171805945767</v>
      </c>
      <c r="G89" s="443">
        <f>G88/$E$87</f>
        <v>59.710645126268716</v>
      </c>
      <c r="H89" s="443">
        <f>H88/$E$87</f>
        <v>-343.22155875725218</v>
      </c>
      <c r="I89" s="443">
        <f t="shared" ref="I89" si="197">I88/$E$87</f>
        <v>-4417.2395067351254</v>
      </c>
      <c r="J89" s="443">
        <f>J88/$E$87</f>
        <v>83.676025494708028</v>
      </c>
      <c r="K89" s="443">
        <f t="shared" ref="K89" si="198">K88/$E$87</f>
        <v>1046.9962690025341</v>
      </c>
      <c r="L89" s="443">
        <f t="shared" ref="L89:S89" si="199">L88/$E$87</f>
        <v>1503.0306079486927</v>
      </c>
      <c r="M89" s="443">
        <f t="shared" si="199"/>
        <v>-389.09351855039228</v>
      </c>
      <c r="N89" s="443">
        <f t="shared" si="199"/>
        <v>53.343466252876361</v>
      </c>
      <c r="O89" s="443">
        <f t="shared" si="199"/>
        <v>-3.9719632355082921</v>
      </c>
      <c r="P89" s="443">
        <f t="shared" si="199"/>
        <v>-54.389416571560211</v>
      </c>
      <c r="Q89" s="443">
        <f t="shared" si="199"/>
        <v>35.562310835250905</v>
      </c>
      <c r="R89" s="443">
        <f t="shared" si="199"/>
        <v>-60.665118483663313</v>
      </c>
      <c r="S89" s="443">
        <f t="shared" si="199"/>
        <v>820.02504984813856</v>
      </c>
      <c r="T89" s="443">
        <f t="shared" ref="T89" si="200">T88/$E$87</f>
        <v>1461.1925952013389</v>
      </c>
      <c r="U89" s="443">
        <f>U88/$E$87</f>
        <v>-1280.2431900690328</v>
      </c>
      <c r="V89" s="723">
        <f t="shared" ref="V89" si="201">V88/$E$87</f>
        <v>787.60058996893918</v>
      </c>
      <c r="W89" s="443">
        <f>W88/$E$87</f>
        <v>1236.6045539882482</v>
      </c>
      <c r="X89" s="443">
        <f>X88/$E$87</f>
        <v>-1421.9628383119687</v>
      </c>
      <c r="Y89" s="443">
        <f>Y88/$E$87</f>
        <v>-5.2297515934192518</v>
      </c>
      <c r="Z89" s="443">
        <f t="shared" ref="Z89" si="202">Z88/$E$87</f>
        <v>-968.54999510124526</v>
      </c>
      <c r="AA89" s="443">
        <f t="shared" ref="AA89" si="203">AA88/$E$87</f>
        <v>6134.4986190807822</v>
      </c>
      <c r="AB89" s="723">
        <f>AB88/$E$87</f>
        <v>3866.7850011514138</v>
      </c>
      <c r="AC89" s="443">
        <f>AC88/$E$87</f>
        <v>24089.61112713681</v>
      </c>
      <c r="AD89" s="443">
        <f t="shared" ref="AD89:AF89" si="204">AD88/$E$87</f>
        <v>-15253.093497366588</v>
      </c>
      <c r="AE89" s="443">
        <f t="shared" ref="AE89" si="205">AE88/$E$87</f>
        <v>-1155.7751021456545</v>
      </c>
      <c r="AF89" s="443">
        <f t="shared" si="204"/>
        <v>-15543.867685960699</v>
      </c>
      <c r="AG89" s="443">
        <f t="shared" ref="AG89:AL89" si="206">AG88/$E$87</f>
        <v>-2598.1332726064288</v>
      </c>
      <c r="AH89" s="443">
        <f t="shared" si="206"/>
        <v>-661.99387258471529</v>
      </c>
      <c r="AI89" s="723">
        <f t="shared" si="206"/>
        <v>3417.1196911401389</v>
      </c>
      <c r="AJ89" s="723">
        <f t="shared" si="206"/>
        <v>-332.61220134146436</v>
      </c>
      <c r="AK89" s="723">
        <f t="shared" si="206"/>
        <v>1171.4643569259122</v>
      </c>
      <c r="AL89" s="443">
        <f t="shared" si="206"/>
        <v>3701.6181778221458</v>
      </c>
      <c r="AM89" s="443">
        <f t="shared" ref="AM89" si="207">AM88/$E$87</f>
        <v>2105.4979915105905</v>
      </c>
      <c r="AN89" s="443">
        <f>AN88/$E$87</f>
        <v>1786.4831443120161</v>
      </c>
      <c r="AO89" s="443">
        <f>AO88/$E$87</f>
        <v>1393.2058244868886</v>
      </c>
      <c r="AP89" s="443">
        <f t="shared" ref="AP89" si="208">AP88/$E$87</f>
        <v>2774.6621841511078</v>
      </c>
      <c r="AQ89" s="443">
        <f t="shared" ref="AQ89:AV89" si="209">AQ88/$E$87</f>
        <v>2607.7556570204511</v>
      </c>
      <c r="AR89" s="443">
        <f t="shared" si="209"/>
        <v>6061.6940434418875</v>
      </c>
      <c r="AS89" s="443">
        <f t="shared" si="209"/>
        <v>3997.2408194877307</v>
      </c>
      <c r="AT89" s="443">
        <f t="shared" si="209"/>
        <v>3051.6112755814465</v>
      </c>
      <c r="AU89" s="443">
        <f t="shared" si="209"/>
        <v>18536.763162424169</v>
      </c>
      <c r="AV89" s="443">
        <f t="shared" si="209"/>
        <v>5738.0590763331893</v>
      </c>
      <c r="AW89" s="443">
        <f t="shared" ref="AW89" si="210">AW88/$E$87</f>
        <v>3780.518494784812</v>
      </c>
      <c r="AX89" s="443">
        <f t="shared" ref="AX89:BC89" si="211">AX88/$E$87</f>
        <v>-1673.7464616427512</v>
      </c>
      <c r="AY89" s="443">
        <f t="shared" si="211"/>
        <v>-16.735205098941606</v>
      </c>
      <c r="AZ89" s="443">
        <f>AZ88/$E$87</f>
        <v>-2793.8893516961612</v>
      </c>
      <c r="BA89" s="443">
        <f>BA88/$E$87</f>
        <v>0</v>
      </c>
      <c r="BB89" s="443">
        <f t="shared" si="211"/>
        <v>0</v>
      </c>
      <c r="BC89" s="237">
        <f t="shared" si="211"/>
        <v>44183.458376115908</v>
      </c>
      <c r="BD89" s="443">
        <f>BD88/$E$87</f>
        <v>-44183.009458927008</v>
      </c>
      <c r="BE89" s="443">
        <f t="shared" ref="BE89" si="212">BE88/$E$87</f>
        <v>0.44891718888038934</v>
      </c>
    </row>
    <row r="90" spans="1:60" s="523" customFormat="1">
      <c r="A90" s="522"/>
      <c r="E90" s="442"/>
      <c r="F90" s="442"/>
      <c r="G90" s="442"/>
      <c r="H90" s="442"/>
      <c r="I90" s="442"/>
      <c r="J90" s="442"/>
      <c r="K90" s="442"/>
      <c r="L90" s="442"/>
      <c r="M90" s="442"/>
      <c r="N90" s="442"/>
      <c r="O90" s="442"/>
      <c r="P90" s="442"/>
      <c r="Q90" s="442"/>
      <c r="R90" s="442"/>
      <c r="S90" s="442"/>
      <c r="T90" s="442"/>
      <c r="U90" s="442"/>
      <c r="V90" s="721"/>
      <c r="W90" s="442"/>
      <c r="X90" s="442"/>
      <c r="Y90" s="442"/>
      <c r="Z90" s="442"/>
      <c r="AA90" s="442"/>
      <c r="AB90" s="721"/>
      <c r="AC90" s="442"/>
      <c r="AD90" s="442"/>
      <c r="AE90" s="442"/>
      <c r="AF90" s="442"/>
      <c r="AG90" s="442"/>
      <c r="AH90" s="442"/>
      <c r="AI90" s="721"/>
      <c r="AJ90" s="721"/>
      <c r="AK90" s="721"/>
      <c r="AL90" s="442"/>
      <c r="AM90" s="442"/>
      <c r="AN90" s="442"/>
      <c r="AO90" s="442"/>
      <c r="AP90" s="476"/>
      <c r="AQ90" s="442"/>
      <c r="AR90" s="442"/>
      <c r="AS90" s="442"/>
      <c r="AT90" s="442"/>
      <c r="AU90" s="442"/>
      <c r="AV90" s="442"/>
      <c r="AW90" s="442"/>
      <c r="AX90" s="442"/>
      <c r="AY90" s="442"/>
      <c r="AZ90" s="442"/>
      <c r="BA90" s="442"/>
      <c r="BB90" s="442"/>
      <c r="BC90" s="442"/>
      <c r="BD90" s="442"/>
      <c r="BE90" s="442"/>
    </row>
    <row r="91" spans="1:60" s="523" customFormat="1">
      <c r="A91" s="522"/>
      <c r="E91" s="442"/>
      <c r="F91" s="442"/>
      <c r="G91" s="442"/>
      <c r="H91" s="442"/>
      <c r="I91" s="442"/>
      <c r="J91" s="442"/>
      <c r="K91" s="442"/>
      <c r="L91" s="442"/>
      <c r="M91" s="442"/>
      <c r="N91" s="442"/>
      <c r="O91" s="442"/>
      <c r="P91" s="442"/>
      <c r="Q91" s="442"/>
      <c r="R91" s="442"/>
      <c r="S91" s="442"/>
      <c r="T91" s="442"/>
      <c r="U91" s="442"/>
      <c r="V91" s="721"/>
      <c r="W91" s="442"/>
      <c r="X91" s="442"/>
      <c r="Y91" s="442"/>
      <c r="Z91" s="442"/>
      <c r="AA91" s="442"/>
      <c r="AB91" s="721"/>
      <c r="AC91" s="442"/>
      <c r="AD91" s="442"/>
      <c r="AE91" s="442"/>
      <c r="AF91" s="442"/>
      <c r="AG91" s="442"/>
      <c r="AH91" s="442"/>
      <c r="AI91" s="721"/>
      <c r="AJ91" s="721"/>
      <c r="AK91" s="721"/>
      <c r="AL91" s="442"/>
      <c r="AM91" s="442"/>
      <c r="AN91" s="442"/>
      <c r="AO91" s="442"/>
      <c r="AP91" s="776"/>
      <c r="AQ91" s="442"/>
      <c r="AR91" s="442"/>
      <c r="AS91" s="442"/>
      <c r="AT91" s="442"/>
      <c r="AU91" s="442"/>
      <c r="AV91" s="442"/>
      <c r="AW91" s="442"/>
      <c r="AX91" s="442"/>
      <c r="AY91" s="442"/>
      <c r="AZ91" s="442"/>
      <c r="BA91" s="442"/>
      <c r="BB91" s="442"/>
      <c r="BC91" s="442"/>
      <c r="BD91" s="442"/>
      <c r="BE91" s="442"/>
    </row>
    <row r="92" spans="1:60" s="523" customFormat="1">
      <c r="A92" s="522"/>
      <c r="E92" s="442"/>
      <c r="F92" s="442"/>
      <c r="G92" s="442"/>
      <c r="H92" s="442"/>
      <c r="I92" s="442"/>
      <c r="J92" s="442"/>
      <c r="K92" s="442"/>
      <c r="L92" s="442"/>
      <c r="M92" s="442"/>
      <c r="N92" s="442"/>
      <c r="O92" s="442"/>
      <c r="P92" s="442"/>
      <c r="Q92" s="442"/>
      <c r="R92" s="442"/>
      <c r="S92" s="442"/>
      <c r="T92" s="442"/>
      <c r="U92" s="442"/>
      <c r="V92" s="721"/>
      <c r="W92" s="442"/>
      <c r="X92" s="442"/>
      <c r="Y92" s="442"/>
      <c r="Z92" s="442"/>
      <c r="AA92" s="442"/>
      <c r="AB92" s="721"/>
      <c r="AC92" s="442"/>
      <c r="AD92" s="442"/>
      <c r="AE92" s="442"/>
      <c r="AF92" s="442"/>
      <c r="AG92" s="442"/>
      <c r="AH92" s="442"/>
      <c r="AI92" s="721"/>
      <c r="AJ92" s="721"/>
      <c r="AK92" s="721"/>
      <c r="AL92" s="442"/>
      <c r="AM92" s="442"/>
      <c r="AN92" s="442"/>
      <c r="AO92" s="442"/>
      <c r="AP92" s="442"/>
      <c r="AQ92" s="442"/>
      <c r="AR92" s="442"/>
      <c r="AS92" s="442"/>
      <c r="AT92" s="442"/>
      <c r="AU92" s="442"/>
      <c r="AV92" s="442"/>
      <c r="AW92" s="442"/>
      <c r="AX92" s="442"/>
      <c r="AY92" s="442"/>
      <c r="AZ92" s="442"/>
      <c r="BA92" s="442"/>
      <c r="BB92" s="442"/>
      <c r="BC92" s="442"/>
      <c r="BD92" s="442"/>
      <c r="BE92" s="442"/>
    </row>
    <row r="93" spans="1:60" s="430" customFormat="1">
      <c r="A93" s="433"/>
      <c r="E93" s="442"/>
      <c r="F93" s="446"/>
      <c r="G93" s="446"/>
      <c r="H93" s="446"/>
      <c r="I93" s="446"/>
      <c r="J93" s="446"/>
      <c r="K93" s="446"/>
      <c r="L93" s="446"/>
      <c r="M93" s="446"/>
      <c r="N93" s="446"/>
      <c r="O93" s="446"/>
      <c r="P93" s="446"/>
      <c r="Q93" s="446"/>
      <c r="R93" s="446"/>
      <c r="S93" s="446"/>
      <c r="T93" s="442"/>
      <c r="U93" s="442"/>
      <c r="V93" s="721"/>
      <c r="W93" s="442"/>
      <c r="X93" s="446"/>
      <c r="Y93" s="446"/>
      <c r="Z93" s="442"/>
      <c r="AA93" s="838"/>
      <c r="AB93" s="726"/>
      <c r="AC93" s="476"/>
      <c r="AD93" s="442"/>
      <c r="AE93" s="442"/>
      <c r="AF93" s="442"/>
      <c r="AG93" s="446"/>
      <c r="AH93" s="446"/>
      <c r="AI93" s="726"/>
      <c r="AJ93" s="726"/>
      <c r="AK93" s="726"/>
      <c r="AL93" s="442"/>
      <c r="AM93" s="446"/>
      <c r="AN93" s="446"/>
      <c r="AO93" s="442"/>
      <c r="AP93" s="442"/>
      <c r="AQ93" s="446"/>
      <c r="AR93" s="446"/>
      <c r="AS93" s="446"/>
      <c r="AT93" s="446"/>
      <c r="AU93" s="446"/>
      <c r="AV93" s="446"/>
      <c r="AW93" s="442"/>
      <c r="AX93" s="442"/>
      <c r="AY93" s="442"/>
      <c r="AZ93" s="442"/>
      <c r="BA93" s="446"/>
      <c r="BB93" s="442"/>
      <c r="BC93" s="447"/>
      <c r="BD93" s="442"/>
      <c r="BE93" s="442"/>
    </row>
    <row r="94" spans="1:60" s="430" customFormat="1">
      <c r="A94" s="433"/>
      <c r="E94" s="442"/>
      <c r="F94" s="446"/>
      <c r="G94" s="446"/>
      <c r="H94" s="446"/>
      <c r="I94" s="446"/>
      <c r="J94" s="446"/>
      <c r="K94" s="446"/>
      <c r="L94" s="446"/>
      <c r="M94" s="446"/>
      <c r="N94" s="446"/>
      <c r="O94" s="446"/>
      <c r="P94" s="446"/>
      <c r="Q94" s="446"/>
      <c r="R94" s="446"/>
      <c r="S94" s="446"/>
      <c r="T94" s="442"/>
      <c r="U94" s="442"/>
      <c r="V94" s="721"/>
      <c r="W94" s="442"/>
      <c r="X94" s="446"/>
      <c r="Y94" s="446"/>
      <c r="Z94" s="442"/>
      <c r="AA94" s="442"/>
      <c r="AB94" s="726"/>
      <c r="AC94" s="476"/>
      <c r="AD94" s="442"/>
      <c r="AE94" s="442"/>
      <c r="AF94" s="442"/>
      <c r="AG94" s="446"/>
      <c r="AH94" s="446"/>
      <c r="AI94" s="726"/>
      <c r="AJ94" s="726"/>
      <c r="AK94" s="726"/>
      <c r="AL94" s="442"/>
      <c r="AM94" s="446"/>
      <c r="AN94" s="446"/>
      <c r="AO94" s="442"/>
      <c r="AP94" s="442"/>
      <c r="AQ94" s="446"/>
      <c r="AR94" s="446"/>
      <c r="AS94" s="446"/>
      <c r="AT94" s="446"/>
      <c r="AU94" s="779">
        <f>AU83/'RR SUMMARY'!E26</f>
        <v>3.4861757012920602E-2</v>
      </c>
      <c r="AV94" s="446"/>
      <c r="AW94" s="442"/>
      <c r="AX94" s="442"/>
      <c r="AY94" s="442"/>
      <c r="AZ94" s="442"/>
      <c r="BA94" s="446"/>
      <c r="BB94" s="442"/>
      <c r="BC94" s="839"/>
      <c r="BD94" s="442"/>
      <c r="BE94" s="442"/>
    </row>
    <row r="98" spans="42:42">
      <c r="AP98" s="666"/>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H39:BH40"/>
    <mergeCell ref="D1:E1"/>
  </mergeCells>
  <phoneticPr fontId="0" type="noConversion"/>
  <hyperlinks>
    <hyperlink ref="J10" location="BandO!A1" display="t" xr:uid="{00000000-0004-0000-0400-000000000000}"/>
  </hyperlinks>
  <pageMargins left="0.7" right="0.51" top="1" bottom="0.25" header="0.5" footer="0.5"/>
  <pageSetup scale="65" firstPageNumber="4" fitToWidth="7" orientation="portrait" r:id="rId3"/>
  <headerFooter scaleWithDoc="0" alignWithMargins="0">
    <oddHeader xml:space="preserve">&amp;R Exh. EMA-2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pageSetUpPr fitToPage="1"/>
  </sheetPr>
  <dimension ref="A1:O66"/>
  <sheetViews>
    <sheetView tabSelected="1" view="pageBreakPreview" topLeftCell="A25" zoomScaleNormal="130" zoomScaleSheetLayoutView="100" workbookViewId="0">
      <selection activeCell="L28" sqref="L28"/>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140625" style="53" customWidth="1"/>
    <col min="7" max="7" width="0.42578125" style="698" hidden="1" customWidth="1"/>
    <col min="8" max="8" width="12.140625" style="365" customWidth="1"/>
    <col min="9" max="9" width="9.42578125" style="384" hidden="1" customWidth="1"/>
    <col min="10" max="10" width="13" style="25" customWidth="1"/>
    <col min="11" max="11" width="15" style="755" customWidth="1"/>
    <col min="12" max="16384" width="11.42578125" style="25"/>
  </cols>
  <sheetData>
    <row r="1" spans="1:15">
      <c r="A1" s="859" t="str">
        <f>'ADJ DETAIL-INPUT'!A2</f>
        <v xml:space="preserve">AVISTA UTILITIES  </v>
      </c>
      <c r="B1" s="859"/>
      <c r="C1" s="859"/>
      <c r="D1" s="859"/>
      <c r="E1" s="859"/>
      <c r="F1" s="859"/>
    </row>
    <row r="2" spans="1:15">
      <c r="A2" s="863" t="s">
        <v>77</v>
      </c>
      <c r="B2" s="863"/>
      <c r="C2" s="863"/>
      <c r="D2" s="863"/>
      <c r="E2" s="863"/>
      <c r="F2" s="863"/>
    </row>
    <row r="3" spans="1:15">
      <c r="A3" s="863" t="s">
        <v>78</v>
      </c>
      <c r="B3" s="863"/>
      <c r="C3" s="863"/>
      <c r="D3" s="863"/>
      <c r="E3" s="863"/>
      <c r="F3" s="863"/>
    </row>
    <row r="4" spans="1:15">
      <c r="A4" s="864" t="str">
        <f>'ADJ DETAIL-INPUT'!A4</f>
        <v>TWELVE MONTHS ENDED DECEMBER 31, 2019</v>
      </c>
      <c r="B4" s="864"/>
      <c r="C4" s="864"/>
      <c r="D4" s="864"/>
      <c r="E4" s="864"/>
      <c r="F4" s="864"/>
    </row>
    <row r="5" spans="1:15" ht="5.25" customHeight="1"/>
    <row r="7" spans="1:15">
      <c r="D7" s="254"/>
      <c r="E7" s="255" t="s">
        <v>78</v>
      </c>
      <c r="F7" s="54"/>
      <c r="G7" s="759" t="s">
        <v>253</v>
      </c>
      <c r="H7" s="366" t="s">
        <v>252</v>
      </c>
      <c r="J7" s="25" t="s">
        <v>585</v>
      </c>
    </row>
    <row r="8" spans="1:15">
      <c r="A8" s="31" t="s">
        <v>79</v>
      </c>
      <c r="B8" s="356" t="s">
        <v>562</v>
      </c>
      <c r="C8" s="54" t="s">
        <v>140</v>
      </c>
      <c r="D8" s="255" t="s">
        <v>81</v>
      </c>
      <c r="E8" s="255" t="s">
        <v>24</v>
      </c>
      <c r="F8" s="54" t="s">
        <v>82</v>
      </c>
      <c r="H8" s="25"/>
      <c r="K8" s="756"/>
      <c r="L8" s="146"/>
      <c r="M8" s="146"/>
      <c r="N8" s="146"/>
    </row>
    <row r="9" spans="1:15">
      <c r="A9" s="189" t="s">
        <v>645</v>
      </c>
      <c r="B9" s="189"/>
      <c r="C9" s="59"/>
      <c r="D9" s="256"/>
      <c r="E9" s="256"/>
      <c r="F9" s="59"/>
      <c r="I9" s="385" t="s">
        <v>253</v>
      </c>
      <c r="K9" s="756"/>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84" t="s">
        <v>716</v>
      </c>
      <c r="K10" s="756"/>
      <c r="L10" s="531"/>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0.24477599999999999</v>
      </c>
      <c r="E11" s="99">
        <f>'ADJ DETAIL-INPUT'!F$81</f>
        <v>47</v>
      </c>
      <c r="F11" s="129"/>
      <c r="G11" s="698"/>
      <c r="H11" s="182" t="s">
        <v>254</v>
      </c>
      <c r="J11" s="784" t="s">
        <v>716</v>
      </c>
      <c r="K11" s="756"/>
      <c r="L11" s="531"/>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-45.024792000000005</v>
      </c>
      <c r="E12" s="99">
        <f>'ADJ DETAIL-INPUT'!G$81</f>
        <v>1</v>
      </c>
      <c r="F12" s="129"/>
      <c r="G12" s="709"/>
      <c r="H12" s="182" t="s">
        <v>659</v>
      </c>
      <c r="J12" s="784" t="s">
        <v>716</v>
      </c>
      <c r="K12" s="756"/>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-19.540416</v>
      </c>
      <c r="E13" s="207">
        <f>'ADJ DETAIL-INPUT'!H$81</f>
        <v>-3752</v>
      </c>
      <c r="F13" s="128"/>
      <c r="G13" s="698"/>
      <c r="H13" s="182" t="s">
        <v>254</v>
      </c>
      <c r="J13" s="784" t="s">
        <v>716</v>
      </c>
      <c r="K13" s="756"/>
      <c r="L13" s="150"/>
      <c r="M13" s="150"/>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-251.483904</v>
      </c>
      <c r="E14" s="207">
        <f>'ADJ DETAIL-INPUT'!I$81</f>
        <v>-48288</v>
      </c>
      <c r="F14" s="128"/>
      <c r="G14" s="698"/>
      <c r="H14" s="182" t="s">
        <v>254</v>
      </c>
      <c r="J14" s="784" t="s">
        <v>716</v>
      </c>
      <c r="K14" s="756"/>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8"/>
      <c r="H15" s="182" t="s">
        <v>618</v>
      </c>
      <c r="J15" s="784" t="s">
        <v>716</v>
      </c>
      <c r="K15" s="755"/>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8"/>
      <c r="H16" s="182" t="s">
        <v>254</v>
      </c>
      <c r="J16" s="784" t="s">
        <v>716</v>
      </c>
      <c r="K16" s="756"/>
      <c r="L16" s="159"/>
      <c r="M16" s="159"/>
      <c r="N16" s="159"/>
      <c r="O16" s="159"/>
    </row>
    <row r="17" spans="1:11" s="44" customFormat="1">
      <c r="A17" s="241">
        <f>'ADJ DETAIL-INPUT'!L$10</f>
        <v>2.0299999999999994</v>
      </c>
      <c r="B17" s="364" t="str">
        <f>'ADJ DETAIL-INPUT'!L$11</f>
        <v>E-UE</v>
      </c>
      <c r="C17" s="35" t="str">
        <f>TRIM(CONCATENATE('ADJ DETAIL-INPUT'!L$7," ",'ADJ DETAIL-INPUT'!L$8," ",'ADJ DETAIL-INPUT'!L$9))</f>
        <v>Uncollect. Expense</v>
      </c>
      <c r="D17" s="99">
        <f>'ADJ DETAIL-INPUT'!L$57</f>
        <v>-1135.23</v>
      </c>
      <c r="E17" s="99">
        <f>'ADJ DETAIL-INPUT'!L$81</f>
        <v>0</v>
      </c>
      <c r="F17" s="53"/>
      <c r="G17" s="709"/>
      <c r="H17" s="477" t="s">
        <v>659</v>
      </c>
      <c r="I17" s="159"/>
      <c r="J17" s="756" t="s">
        <v>716</v>
      </c>
      <c r="K17" s="755"/>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293.88</v>
      </c>
      <c r="E18" s="99">
        <f>'ADJ DETAIL-INPUT'!M$81</f>
        <v>0</v>
      </c>
      <c r="F18" s="53"/>
      <c r="G18" s="698"/>
      <c r="H18" s="182" t="s">
        <v>659</v>
      </c>
      <c r="J18" s="784" t="s">
        <v>716</v>
      </c>
      <c r="K18" s="755"/>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-40.29</v>
      </c>
      <c r="E19" s="99">
        <f>'ADJ DETAIL-INPUT'!N$81</f>
        <v>0</v>
      </c>
      <c r="F19" s="53"/>
      <c r="G19" s="698"/>
      <c r="H19" s="182" t="s">
        <v>659</v>
      </c>
      <c r="J19" s="784" t="s">
        <v>716</v>
      </c>
      <c r="K19" s="755"/>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8"/>
      <c r="H20" s="182" t="s">
        <v>618</v>
      </c>
      <c r="I20" s="182"/>
      <c r="J20" s="784" t="s">
        <v>716</v>
      </c>
      <c r="K20" s="755"/>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659</v>
      </c>
      <c r="J21" s="784" t="s">
        <v>716</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8"/>
      <c r="H22" s="182" t="s">
        <v>618</v>
      </c>
      <c r="J22" s="784" t="s">
        <v>716</v>
      </c>
      <c r="K22" s="757"/>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8"/>
      <c r="H23" s="182" t="s">
        <v>659</v>
      </c>
      <c r="J23" s="784" t="s">
        <v>716</v>
      </c>
      <c r="K23" s="755"/>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618</v>
      </c>
      <c r="J24" s="784" t="s">
        <v>716</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9"/>
      <c r="H25" s="182" t="s">
        <v>715</v>
      </c>
      <c r="J25" s="784" t="s">
        <v>716</v>
      </c>
      <c r="K25" s="783"/>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659</v>
      </c>
      <c r="J26" s="784" t="s">
        <v>716</v>
      </c>
      <c r="K26" s="757"/>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-594.87</v>
      </c>
      <c r="E27" s="99">
        <f>'ADJ DETAIL-INPUT'!V$81</f>
        <v>0</v>
      </c>
      <c r="F27" s="53"/>
      <c r="G27" s="709"/>
      <c r="H27" s="182" t="s">
        <v>265</v>
      </c>
      <c r="J27" s="784" t="s">
        <v>716</v>
      </c>
      <c r="K27" s="755"/>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-934</v>
      </c>
      <c r="E28" s="162">
        <f>'ADJ DETAIL-INPUT'!W$81</f>
        <v>0</v>
      </c>
      <c r="F28" s="152"/>
      <c r="H28" s="182" t="s">
        <v>716</v>
      </c>
      <c r="I28" s="182"/>
      <c r="J28" s="788" t="s">
        <v>716</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9"/>
      <c r="H29" s="182" t="s">
        <v>265</v>
      </c>
      <c r="J29" s="784" t="s">
        <v>716</v>
      </c>
      <c r="K29" s="755"/>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8"/>
      <c r="H30" s="182" t="s">
        <v>659</v>
      </c>
      <c r="J30" s="784" t="s">
        <v>716</v>
      </c>
      <c r="K30" s="755"/>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8"/>
      <c r="H31" s="182" t="s">
        <v>254</v>
      </c>
      <c r="J31" s="784" t="s">
        <v>716</v>
      </c>
      <c r="K31" s="758"/>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9"/>
      <c r="H32" s="182" t="s">
        <v>265</v>
      </c>
      <c r="J32" s="785" t="s">
        <v>716</v>
      </c>
      <c r="K32" s="755"/>
    </row>
    <row r="33" spans="1:11"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-1356.6166570440068</v>
      </c>
      <c r="E33" s="253">
        <f>'ADJ DETAIL-INPUT'!AB$81</f>
        <v>21049.028985405777</v>
      </c>
      <c r="F33" s="128"/>
      <c r="G33" s="709"/>
      <c r="H33" s="708" t="s">
        <v>771</v>
      </c>
      <c r="I33" s="25"/>
      <c r="J33" s="785" t="s">
        <v>716</v>
      </c>
      <c r="K33" s="755"/>
    </row>
    <row r="34" spans="1:11" s="107" customFormat="1" ht="3.75" customHeight="1">
      <c r="A34" s="197"/>
      <c r="B34" s="197"/>
      <c r="C34" s="148"/>
      <c r="D34" s="388"/>
      <c r="E34" s="388"/>
      <c r="F34" s="156"/>
      <c r="G34" s="709"/>
      <c r="I34" s="25"/>
      <c r="J34" s="25"/>
      <c r="K34" s="755"/>
    </row>
    <row r="35" spans="1:11" ht="13.5" thickBot="1">
      <c r="A35" s="40"/>
      <c r="B35" s="40"/>
      <c r="C35" s="146" t="s">
        <v>84</v>
      </c>
      <c r="D35" s="389">
        <f>SUM(D10:D34)</f>
        <v>106569.22900695603</v>
      </c>
      <c r="E35" s="389">
        <f>SUM(E10:E34)</f>
        <v>1679192.0289854058</v>
      </c>
      <c r="F35" s="171">
        <f>D35/E35</f>
        <v>6.3464587234461106E-2</v>
      </c>
      <c r="G35" s="709"/>
      <c r="I35" s="25"/>
    </row>
    <row r="36" spans="1:11" ht="13.5" thickTop="1">
      <c r="A36" s="190" t="s">
        <v>273</v>
      </c>
      <c r="B36" s="190"/>
      <c r="C36" s="146"/>
      <c r="D36" s="257"/>
      <c r="E36" s="258"/>
      <c r="F36" s="199"/>
      <c r="G36" s="709"/>
      <c r="I36" s="25"/>
    </row>
    <row r="37" spans="1:11">
      <c r="A37" s="241" t="str">
        <f>'ADJ DETAIL-INPUT'!AD$10</f>
        <v>3.00P</v>
      </c>
      <c r="B37" s="364" t="str">
        <f>'ADJ DETAIL-INPUT'!AD$11</f>
        <v>E-PPS</v>
      </c>
      <c r="C37" s="35" t="str">
        <f>TRIM(CONCATENATE('ADJ DETAIL-INPUT'!AD$7," ",'ADJ DETAIL-INPUT'!AD$8," ",'ADJ DETAIL-INPUT'!AD$9))</f>
        <v>Pro Forma Power Supply</v>
      </c>
      <c r="D37" s="253">
        <f>'ADJ DETAIL-INPUT'!AD$57</f>
        <v>11520.57</v>
      </c>
      <c r="E37" s="253">
        <f>'ADJ DETAIL-INPUT'!AD$81</f>
        <v>0</v>
      </c>
      <c r="H37" s="708" t="s">
        <v>265</v>
      </c>
      <c r="I37" s="182"/>
      <c r="J37" s="784" t="s">
        <v>716</v>
      </c>
    </row>
    <row r="38" spans="1:11">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8" t="s">
        <v>716</v>
      </c>
      <c r="I38" s="182"/>
      <c r="J38" s="784" t="s">
        <v>716</v>
      </c>
    </row>
    <row r="39" spans="1:11">
      <c r="A39" s="241">
        <f>'ADJ DETAIL-INPUT'!AF$10</f>
        <v>3.01</v>
      </c>
      <c r="B39" s="364" t="str">
        <f>'ADJ DETAIL-INPUT'!AF$11</f>
        <v>E-PREV</v>
      </c>
      <c r="C39" s="35" t="str">
        <f>TRIM(CONCATENATE('ADJ DETAIL-INPUT'!AF$7," ",'ADJ DETAIL-INPUT'!AF$8," ",'ADJ DETAIL-INPUT'!AF$9))</f>
        <v>Pro Forma Revenue Normalization</v>
      </c>
      <c r="D39" s="253">
        <f>'ADJ DETAIL-INPUT'!AF$57</f>
        <v>11740.19</v>
      </c>
      <c r="E39" s="36">
        <f>'ADJ DETAIL-INPUT'!AF$81</f>
        <v>0</v>
      </c>
      <c r="H39" s="708" t="s">
        <v>751</v>
      </c>
      <c r="I39" s="182"/>
      <c r="J39" s="784" t="s">
        <v>716</v>
      </c>
      <c r="K39" s="783"/>
    </row>
    <row r="40" spans="1:11"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1905.4406719999999</v>
      </c>
      <c r="E40" s="262">
        <f>'ADJ DETAIL-INPUT'!AG$81</f>
        <v>-766</v>
      </c>
      <c r="F40" s="156"/>
      <c r="H40" s="708" t="s">
        <v>659</v>
      </c>
      <c r="J40" s="784" t="s">
        <v>716</v>
      </c>
      <c r="K40" s="756"/>
    </row>
    <row r="41" spans="1:11" s="146" customFormat="1">
      <c r="A41" s="242">
        <f>'ADJ DETAIL-INPUT'!AH$10</f>
        <v>3.0299999999999994</v>
      </c>
      <c r="B41" s="374" t="str">
        <f>'ADJ DETAIL-INPUT'!AH$11</f>
        <v>E-ARAM</v>
      </c>
      <c r="C41" s="192" t="str">
        <f>TRIM(CONCATENATE('ADJ DETAIL-INPUT'!AH$7," ",'ADJ DETAIL-INPUT'!AH$8," ",'ADJ DETAIL-INPUT'!AH$9))</f>
        <v>Pro Forma ARAM DFIT</v>
      </c>
      <c r="D41" s="175">
        <f>'ADJ DETAIL-INPUT'!AH$57</f>
        <v>500</v>
      </c>
      <c r="E41" s="262">
        <f>'ADJ DETAIL-INPUT'!AH$81</f>
        <v>0</v>
      </c>
      <c r="F41" s="156"/>
      <c r="G41" s="709"/>
      <c r="H41" s="708" t="s">
        <v>618</v>
      </c>
      <c r="J41" s="784" t="s">
        <v>716</v>
      </c>
      <c r="K41" s="129"/>
    </row>
    <row r="42" spans="1:11" s="146" customFormat="1">
      <c r="A42" s="242">
        <f>'ADJ DETAIL-INPUT'!AI$10</f>
        <v>3.0399999999999991</v>
      </c>
      <c r="B42" s="364" t="str">
        <f>'ADJ DETAIL-INPUT'!AI$11</f>
        <v>E-PLN</v>
      </c>
      <c r="C42" s="192" t="str">
        <f>TRIM(CONCATENATE('ADJ DETAIL-INPUT'!AI$7," ",'ADJ DETAIL-INPUT'!AI$8," ",'ADJ DETAIL-INPUT'!AI$9))</f>
        <v>Pro Forma Labor Non-Exec</v>
      </c>
      <c r="D42" s="262">
        <f>'ADJ DETAIL-INPUT'!AI$57</f>
        <v>-2580.9300000000003</v>
      </c>
      <c r="E42" s="262">
        <f>'ADJ DETAIL-INPUT'!AI$81</f>
        <v>0</v>
      </c>
      <c r="F42" s="153"/>
      <c r="H42" s="708" t="s">
        <v>265</v>
      </c>
      <c r="I42" s="477"/>
      <c r="J42" s="784" t="s">
        <v>716</v>
      </c>
      <c r="K42" s="756"/>
    </row>
    <row r="43" spans="1:11"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8"/>
      <c r="H43" s="708" t="s">
        <v>265</v>
      </c>
      <c r="J43" s="784" t="s">
        <v>716</v>
      </c>
      <c r="K43" s="756"/>
    </row>
    <row r="44" spans="1:11"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-884.8</v>
      </c>
      <c r="E44" s="262">
        <f>'ADJ DETAIL-INPUT'!AK$81</f>
        <v>0</v>
      </c>
      <c r="F44" s="156"/>
      <c r="G44" s="698"/>
      <c r="H44" s="708" t="s">
        <v>265</v>
      </c>
      <c r="I44" s="477"/>
      <c r="J44" s="784" t="s">
        <v>716</v>
      </c>
      <c r="K44" s="756"/>
    </row>
    <row r="45" spans="1:11">
      <c r="A45" s="242">
        <f>'ADJ DETAIL-INPUT'!AL$10</f>
        <v>3.0699999999999985</v>
      </c>
      <c r="B45" s="364" t="str">
        <f>'ADJ DETAIL-INPUT'!AL$11</f>
        <v>E-PINS</v>
      </c>
      <c r="C45" s="192" t="str">
        <f>TRIM(CONCATENATE('ADJ DETAIL-INPUT'!AL$7," ",'ADJ DETAIL-INPUT'!AL$8," ",'ADJ DETAIL-INPUT'!AL$9))</f>
        <v>Pro Forma Insurance Expense</v>
      </c>
      <c r="D45" s="162">
        <f>'ADJ DETAIL-INPUT'!AL$57</f>
        <v>-2795.81</v>
      </c>
      <c r="E45" s="162">
        <f>'ADJ DETAIL-INPUT'!AL$81</f>
        <v>0</v>
      </c>
      <c r="F45" s="172"/>
      <c r="H45" s="708" t="s">
        <v>659</v>
      </c>
      <c r="I45" s="146"/>
      <c r="J45" s="784" t="s">
        <v>716</v>
      </c>
    </row>
    <row r="46" spans="1:11" s="44" customFormat="1">
      <c r="A46" s="241">
        <f>'ADJ DETAIL-INPUT'!AM$10</f>
        <v>3.0799999999999983</v>
      </c>
      <c r="B46" s="364" t="str">
        <f>'ADJ DETAIL-INPUT'!AM$11</f>
        <v>E-PIT</v>
      </c>
      <c r="C46" s="35" t="str">
        <f>TRIM(CONCATENATE('ADJ DETAIL-INPUT'!AM$7," ",'ADJ DETAIL-INPUT'!AM$8," ",'ADJ DETAIL-INPUT'!AM$9))</f>
        <v>Pro Forma IS/IT Expense</v>
      </c>
      <c r="D46" s="262">
        <f>'ADJ DETAIL-INPUT'!AM$57</f>
        <v>-1590.27</v>
      </c>
      <c r="E46" s="262">
        <f>'ADJ DETAIL-INPUT'!AM$81</f>
        <v>0</v>
      </c>
      <c r="F46" s="53"/>
      <c r="H46" s="708" t="s">
        <v>659</v>
      </c>
      <c r="J46" s="784" t="s">
        <v>716</v>
      </c>
      <c r="K46" s="755"/>
    </row>
    <row r="47" spans="1:11" s="44" customFormat="1">
      <c r="A47" s="241">
        <f>'ADJ DETAIL-INPUT'!AN$10</f>
        <v>3.0899999999999981</v>
      </c>
      <c r="B47" s="364" t="str">
        <f>'ADJ DETAIL-INPUT'!AN$11</f>
        <v>E-PPT</v>
      </c>
      <c r="C47" s="35" t="str">
        <f>TRIM(CONCATENATE('ADJ DETAIL-INPUT'!AN$7," ",'ADJ DETAIL-INPUT'!AN$8," ",'ADJ DETAIL-INPUT'!AN$9))</f>
        <v>Pro Forma Property Tax</v>
      </c>
      <c r="D47" s="262">
        <f>'ADJ DETAIL-INPUT'!AN$57</f>
        <v>-1349.32</v>
      </c>
      <c r="E47" s="262">
        <f>'ADJ DETAIL-INPUT'!AN$81</f>
        <v>0</v>
      </c>
      <c r="F47" s="53"/>
      <c r="G47" s="698"/>
      <c r="H47" s="708" t="s">
        <v>254</v>
      </c>
      <c r="I47" s="182"/>
      <c r="J47" s="756" t="s">
        <v>716</v>
      </c>
      <c r="K47" s="755"/>
    </row>
    <row r="48" spans="1:11"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8" t="s">
        <v>659</v>
      </c>
      <c r="I48" s="182"/>
      <c r="J48" s="784" t="s">
        <v>716</v>
      </c>
      <c r="K48" s="758"/>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-1403.5019231731299</v>
      </c>
      <c r="E49" s="258">
        <f>'ADJ DETAIL-INPUT'!AP$81</f>
        <v>9316.0669790457214</v>
      </c>
      <c r="F49" s="407"/>
      <c r="H49" s="708" t="s">
        <v>771</v>
      </c>
      <c r="I49" s="182"/>
      <c r="J49" s="784" t="s">
        <v>716</v>
      </c>
      <c r="K49" s="758"/>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-237.87314855879669</v>
      </c>
      <c r="E50" s="262">
        <f>'ADJ DETAIL-INPUT'!AQ$81</f>
        <v>23307.524261841289</v>
      </c>
      <c r="F50" s="59"/>
      <c r="H50" s="708" t="s">
        <v>771</v>
      </c>
      <c r="I50" s="167"/>
      <c r="J50" s="784" t="s">
        <v>716</v>
      </c>
      <c r="K50" s="538"/>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-749.11178108126501</v>
      </c>
      <c r="E51" s="175">
        <f>'ADJ DETAIL-INPUT'!AR$81</f>
        <v>51537.676443689525</v>
      </c>
      <c r="F51" s="59"/>
      <c r="H51" s="708" t="s">
        <v>771</v>
      </c>
      <c r="I51" s="167"/>
      <c r="J51" s="756" t="s">
        <v>716</v>
      </c>
      <c r="K51" s="783"/>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-375.20826212708823</v>
      </c>
      <c r="E52" s="175">
        <f>'ADJ DETAIL-INPUT'!AS$81</f>
        <v>35583.899668735903</v>
      </c>
      <c r="F52" s="59"/>
      <c r="H52" s="708" t="s">
        <v>771</v>
      </c>
      <c r="I52" s="167"/>
      <c r="J52" s="784" t="s">
        <v>716</v>
      </c>
      <c r="K52" s="538"/>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-1496.0519802474223</v>
      </c>
      <c r="E53" s="175">
        <f>'ADJ DETAIL-INPUT'!AT$81</f>
        <v>10885.756480909702</v>
      </c>
      <c r="F53" s="59"/>
      <c r="H53" s="708" t="s">
        <v>771</v>
      </c>
      <c r="I53" s="167"/>
      <c r="J53" s="784" t="s">
        <v>716</v>
      </c>
      <c r="K53" s="538"/>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-7152.9950960000006</v>
      </c>
      <c r="E54" s="198">
        <f>'ADJ DETAIL-INPUT'!AU$81</f>
        <v>92163</v>
      </c>
      <c r="F54" s="407"/>
      <c r="G54" s="761"/>
      <c r="H54" s="708" t="s">
        <v>254</v>
      </c>
      <c r="J54" s="756" t="s">
        <v>716</v>
      </c>
      <c r="K54" s="758"/>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-3358.6597919999999</v>
      </c>
      <c r="E55" s="198">
        <f>'ADJ DETAIL-INPUT'!AV$81</f>
        <v>13126</v>
      </c>
      <c r="F55" s="407"/>
      <c r="G55" s="760"/>
      <c r="H55" s="708" t="s">
        <v>772</v>
      </c>
      <c r="J55" s="785" t="s">
        <v>716</v>
      </c>
      <c r="K55" s="758"/>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-2160.1035360000001</v>
      </c>
      <c r="E56" s="198">
        <f>'ADJ DETAIL-INPUT'!AW$81</f>
        <v>9358</v>
      </c>
      <c r="F56" s="407"/>
      <c r="G56" s="760"/>
      <c r="H56" s="708" t="s">
        <v>772</v>
      </c>
      <c r="J56" s="785" t="s">
        <v>716</v>
      </c>
      <c r="K56" s="758"/>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104.71915999999999</v>
      </c>
      <c r="E57" s="429">
        <f>'ADJ DETAIL-INPUT'!AX$81</f>
        <v>-15605</v>
      </c>
      <c r="F57" s="407"/>
      <c r="G57" s="761"/>
      <c r="H57" s="708" t="s">
        <v>254</v>
      </c>
      <c r="I57" s="182"/>
      <c r="J57" s="784" t="s">
        <v>716</v>
      </c>
      <c r="K57" s="758"/>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12.64</v>
      </c>
      <c r="E58" s="429">
        <f>'ADJ DETAIL-INPUT'!AY$81</f>
        <v>0</v>
      </c>
      <c r="F58" s="407"/>
      <c r="H58" s="708" t="s">
        <v>716</v>
      </c>
      <c r="J58" s="784" t="s">
        <v>716</v>
      </c>
      <c r="K58" s="758"/>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-159.062736</v>
      </c>
      <c r="E59" s="258">
        <f>'ADJ DETAIL-INPUT'!AZ$81</f>
        <v>-30542</v>
      </c>
      <c r="F59" s="407"/>
      <c r="G59" s="767"/>
      <c r="H59" s="708" t="s">
        <v>254</v>
      </c>
      <c r="J59" s="819" t="s">
        <v>716</v>
      </c>
      <c r="K59" s="758"/>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698"/>
      <c r="J60" s="784"/>
      <c r="K60" s="758"/>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698"/>
      <c r="I61" s="182"/>
      <c r="J61" s="784"/>
      <c r="K61" s="758"/>
    </row>
    <row r="62" spans="1:11" ht="14.25" customHeight="1" thickBot="1">
      <c r="A62" s="511"/>
      <c r="B62" s="511"/>
      <c r="C62" s="59" t="s">
        <v>712</v>
      </c>
      <c r="D62" s="686">
        <f>SUM(D35:D61)</f>
        <v>106130.98058376832</v>
      </c>
      <c r="E62" s="686">
        <f>SUM(E35:E61)</f>
        <v>1877556.9528196279</v>
      </c>
      <c r="F62" s="171">
        <f>D62/E62</f>
        <v>5.6526104534078574E-2</v>
      </c>
      <c r="G62" s="709"/>
      <c r="H62" s="25"/>
      <c r="I62" s="25"/>
      <c r="J62" s="102"/>
    </row>
    <row r="63" spans="1:11" s="150" customFormat="1" ht="13.5" thickTop="1">
      <c r="A63" s="190" t="s">
        <v>587</v>
      </c>
      <c r="B63" s="525" t="s">
        <v>588</v>
      </c>
      <c r="C63" s="138" t="s">
        <v>136</v>
      </c>
      <c r="D63" s="258"/>
      <c r="E63" s="258"/>
      <c r="F63" s="407"/>
      <c r="G63" s="698"/>
      <c r="I63" s="182"/>
      <c r="J63" s="538"/>
      <c r="K63" s="758"/>
    </row>
    <row r="64" spans="1:11" ht="18" customHeight="1">
      <c r="A64" s="814" t="s">
        <v>788</v>
      </c>
      <c r="B64" s="53"/>
      <c r="D64" s="259"/>
      <c r="E64" s="259"/>
      <c r="F64" s="120"/>
      <c r="H64" s="477" t="s">
        <v>659</v>
      </c>
      <c r="I64" s="25"/>
      <c r="J64" s="784" t="s">
        <v>716</v>
      </c>
    </row>
    <row r="65" spans="1:10" ht="12" customHeight="1">
      <c r="A65" s="406" t="str">
        <f>'ADJ DETAIL-INPUT'!BD$10</f>
        <v>4.00T</v>
      </c>
      <c r="B65" s="405" t="str">
        <f>'ADJ DETAIL-INPUT'!BD$11</f>
        <v>E-Tax</v>
      </c>
      <c r="C65" s="381" t="str">
        <f>TRIM(CONCATENATE('ADJ DETAIL-INPUT'!BD$7," ",'ADJ DETAIL-INPUT'!BD$8," ",'ADJ DETAIL-INPUT'!BD$9))</f>
        <v>Tax Customer Credit Tariff #76</v>
      </c>
      <c r="D65" s="816">
        <f>'ADJ DETAIL-INPUT'!BD$57</f>
        <v>34684.860246270822</v>
      </c>
      <c r="E65" s="817">
        <f>'ADJ DETAIL-INPUT'!BD$81</f>
        <v>17681</v>
      </c>
      <c r="F65" s="818"/>
      <c r="J65" s="102"/>
    </row>
    <row r="66" spans="1:10">
      <c r="C66" s="25" t="s">
        <v>803</v>
      </c>
      <c r="D66" s="253">
        <f>D62+D65</f>
        <v>140815.84083003915</v>
      </c>
      <c r="E66" s="253">
        <f>E62+E65</f>
        <v>1895237.9528196279</v>
      </c>
      <c r="F66" s="815">
        <f>D66/E66</f>
        <v>7.4299821096628679E-2</v>
      </c>
      <c r="H66" s="708" t="s">
        <v>254</v>
      </c>
      <c r="J66" s="819" t="s">
        <v>716</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2" orientation="portrait" r:id="rId3"/>
  <headerFooter alignWithMargins="0">
    <oddHeader>&amp;C
&amp;RExh. EMA - 2</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8"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865">
        <f>'ADJ DETAIL-INPUT'!AA3</f>
        <v>0</v>
      </c>
      <c r="AB3" s="865">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8"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865"/>
      <c r="AB4" s="865"/>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8" t="str">
        <f>'ADJ DETAIL-INPUT'!A5</f>
        <v xml:space="preserve">(000'S OF DOLLARS)  </v>
      </c>
      <c r="D5" s="410"/>
      <c r="AA5" s="865"/>
      <c r="AB5" s="865"/>
    </row>
    <row r="6" spans="1:54" s="412" customFormat="1">
      <c r="A6" s="518"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865"/>
      <c r="AB6" s="865"/>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2" t="str">
        <f>'ADJ DETAIL-INPUT'!F7</f>
        <v xml:space="preserve">Deferred </v>
      </c>
      <c r="G7" s="462" t="str">
        <f>'ADJ DETAIL-INPUT'!G7</f>
        <v xml:space="preserve">Deferred </v>
      </c>
      <c r="H7" s="462" t="str">
        <f>'ADJ DETAIL-INPUT'!H7</f>
        <v>Working</v>
      </c>
      <c r="I7" s="462" t="str">
        <f>'ADJ DETAIL-INPUT'!I7</f>
        <v>Remove</v>
      </c>
      <c r="J7" s="462" t="str">
        <f>'ADJ DETAIL-INPUT'!J7</f>
        <v>Eliminate</v>
      </c>
      <c r="K7" s="462" t="str">
        <f>'ADJ DETAIL-INPUT'!K7</f>
        <v>Restate</v>
      </c>
      <c r="L7" s="462" t="str">
        <f>'ADJ DETAIL-INPUT'!L7</f>
        <v>Uncollect.</v>
      </c>
      <c r="M7" s="462" t="str">
        <f>'ADJ DETAIL-INPUT'!M7</f>
        <v>Regulatory</v>
      </c>
      <c r="N7" s="462" t="str">
        <f>'ADJ DETAIL-INPUT'!N7</f>
        <v>Injuries</v>
      </c>
      <c r="O7" s="462" t="str">
        <f>'ADJ DETAIL-INPUT'!O7</f>
        <v>FIT/DFIT/</v>
      </c>
      <c r="P7" s="462" t="str">
        <f>'ADJ DETAIL-INPUT'!P7</f>
        <v>Office Space</v>
      </c>
      <c r="Q7" s="462" t="str">
        <f>'ADJ DETAIL-INPUT'!Q7</f>
        <v>Restate</v>
      </c>
      <c r="R7" s="462" t="str">
        <f>'ADJ DETAIL-INPUT'!R7</f>
        <v>Net</v>
      </c>
      <c r="S7" s="462" t="str">
        <f>'ADJ DETAIL-INPUT'!S7</f>
        <v xml:space="preserve">Weather </v>
      </c>
      <c r="T7" s="462" t="str">
        <f>'ADJ DETAIL-INPUT'!T7</f>
        <v>Eliminate</v>
      </c>
      <c r="U7" s="462" t="str">
        <f>'ADJ DETAIL-INPUT'!U7</f>
        <v>Misc. Restating</v>
      </c>
      <c r="V7" s="462" t="str">
        <f>'ADJ DETAIL-INPUT'!V7</f>
        <v xml:space="preserve">Restating </v>
      </c>
      <c r="W7" s="462" t="str">
        <f>'ADJ DETAIL-INPUT'!W7</f>
        <v>Restate</v>
      </c>
      <c r="X7" s="462" t="str">
        <f>'ADJ DETAIL-INPUT'!X7</f>
        <v>Eliminate</v>
      </c>
      <c r="Y7" s="462" t="str">
        <f>'ADJ DETAIL-INPUT'!Y7</f>
        <v>Nez Perce</v>
      </c>
      <c r="Z7" s="462" t="str">
        <f>'ADJ DETAIL-INPUT'!Z7</f>
        <v>Normalize</v>
      </c>
      <c r="AA7" s="462" t="str">
        <f>'ADJ DETAIL-INPUT'!AA7</f>
        <v xml:space="preserve">Authorized </v>
      </c>
      <c r="AB7" s="462" t="str">
        <f>'ADJ DETAIL-INPUT'!AB7</f>
        <v>Restate 2019</v>
      </c>
      <c r="AC7" s="462" t="str">
        <f>'ADJ DETAIL-INPUT'!AD7</f>
        <v>Pro Forma</v>
      </c>
      <c r="AD7" s="462" t="str">
        <f>'ADJ DETAIL-INPUT'!AE7</f>
        <v>Pro Forma</v>
      </c>
      <c r="AE7" s="462" t="str">
        <f>'ADJ DETAIL-INPUT'!AF7</f>
        <v>Pro Forma</v>
      </c>
      <c r="AF7" s="462" t="str">
        <f>'ADJ DETAIL-INPUT'!AG7</f>
        <v xml:space="preserve">Pro Forma </v>
      </c>
      <c r="AG7" s="462" t="str">
        <f>'ADJ DETAIL-INPUT'!AH7</f>
        <v xml:space="preserve">Pro Forma </v>
      </c>
      <c r="AH7" s="462" t="str">
        <f>'ADJ DETAIL-INPUT'!AI7</f>
        <v xml:space="preserve">Pro Forma </v>
      </c>
      <c r="AI7" s="462" t="str">
        <f>'ADJ DETAIL-INPUT'!AJ7</f>
        <v xml:space="preserve">Pro Forma </v>
      </c>
      <c r="AJ7" s="462" t="str">
        <f>'ADJ DETAIL-INPUT'!AK7</f>
        <v xml:space="preserve">Pro Forma </v>
      </c>
      <c r="AK7" s="462" t="str">
        <f>'ADJ DETAIL-INPUT'!AL7</f>
        <v>Pro Forma</v>
      </c>
      <c r="AL7" s="462" t="str">
        <f>'ADJ DETAIL-INPUT'!AM7</f>
        <v xml:space="preserve">Pro Forma </v>
      </c>
      <c r="AM7" s="462" t="str">
        <f>'ADJ DETAIL-INPUT'!AN7</f>
        <v xml:space="preserve">Pro Forma </v>
      </c>
      <c r="AN7" s="462" t="str">
        <f>'ADJ DETAIL-INPUT'!AO7</f>
        <v>Pro Forma</v>
      </c>
      <c r="AO7" s="462" t="str">
        <f>'ADJ DETAIL-INPUT'!AP7</f>
        <v xml:space="preserve">Pro Forma </v>
      </c>
      <c r="AP7" s="462" t="str">
        <f>'ADJ DETAIL-INPUT'!AQ7</f>
        <v xml:space="preserve">Pro Forma </v>
      </c>
      <c r="AQ7" s="462" t="str">
        <f>'ADJ DETAIL-INPUT'!AR7</f>
        <v xml:space="preserve">Pro Forma </v>
      </c>
      <c r="AR7" s="462" t="str">
        <f>'ADJ DETAIL-INPUT'!AS7</f>
        <v xml:space="preserve">Pro Forma </v>
      </c>
      <c r="AS7" s="462" t="str">
        <f>'ADJ DETAIL-INPUT'!AT7</f>
        <v xml:space="preserve">Pro Forma </v>
      </c>
      <c r="AT7" s="462" t="str">
        <f>'ADJ DETAIL-INPUT'!AU7</f>
        <v>Pro Forma</v>
      </c>
      <c r="AU7" s="462" t="str">
        <f>'ADJ DETAIL-INPUT'!AV7</f>
        <v>Pro Forma</v>
      </c>
      <c r="AV7" s="462" t="str">
        <f>'ADJ DETAIL-INPUT'!AW7</f>
        <v>Pro Forma</v>
      </c>
      <c r="AW7" s="462" t="str">
        <f>'ADJ DETAIL-INPUT'!AX7</f>
        <v>Pro Forma</v>
      </c>
      <c r="AX7" s="462" t="str">
        <f>'ADJ DETAIL-INPUT'!AY7</f>
        <v>PF Normalize</v>
      </c>
      <c r="AY7" s="462" t="str">
        <f>'ADJ DETAIL-INPUT'!AZ7</f>
        <v>Restate</v>
      </c>
      <c r="AZ7" s="462" t="str">
        <f>'ADJ DETAIL-INPUT'!BC7</f>
        <v>Base</v>
      </c>
      <c r="BA7" s="462" t="str">
        <f>'ADJ DETAIL-INPUT'!BD7</f>
        <v>Tax Customer</v>
      </c>
      <c r="BB7" s="462" t="str">
        <f>'ADJ DETAIL-INPUT'!BE7</f>
        <v>Billed</v>
      </c>
    </row>
    <row r="8" spans="1:54" s="412" customFormat="1">
      <c r="A8" s="358" t="str">
        <f>'ADJ DETAIL-INPUT'!A8</f>
        <v>Line</v>
      </c>
      <c r="B8" s="418"/>
      <c r="C8" s="418"/>
      <c r="D8" s="418"/>
      <c r="E8" s="515" t="s">
        <v>261</v>
      </c>
      <c r="F8" s="462" t="str">
        <f>'ADJ DETAIL-INPUT'!F8</f>
        <v>FIT</v>
      </c>
      <c r="G8" s="462" t="str">
        <f>'ADJ DETAIL-INPUT'!G8</f>
        <v xml:space="preserve">Debits and </v>
      </c>
      <c r="H8" s="462" t="str">
        <f>'ADJ DETAIL-INPUT'!H8</f>
        <v>Capital</v>
      </c>
      <c r="I8" s="462" t="str">
        <f>'ADJ DETAIL-INPUT'!I8</f>
        <v>AMI</v>
      </c>
      <c r="J8" s="462" t="str">
        <f>'ADJ DETAIL-INPUT'!J8</f>
        <v>B &amp; O</v>
      </c>
      <c r="K8" s="462" t="str">
        <f>'ADJ DETAIL-INPUT'!K8</f>
        <v>Property</v>
      </c>
      <c r="L8" s="462" t="str">
        <f>'ADJ DETAIL-INPUT'!L8</f>
        <v>Expense</v>
      </c>
      <c r="M8" s="462" t="str">
        <f>'ADJ DETAIL-INPUT'!M8</f>
        <v>Expense</v>
      </c>
      <c r="N8" s="462" t="str">
        <f>'ADJ DETAIL-INPUT'!N8</f>
        <v xml:space="preserve">and </v>
      </c>
      <c r="O8" s="462" t="str">
        <f>'ADJ DETAIL-INPUT'!O8</f>
        <v>ITC</v>
      </c>
      <c r="P8" s="462" t="str">
        <f>'ADJ DETAIL-INPUT'!P8</f>
        <v>Charges to</v>
      </c>
      <c r="Q8" s="462" t="str">
        <f>'ADJ DETAIL-INPUT'!Q8</f>
        <v>Excise</v>
      </c>
      <c r="R8" s="462" t="str">
        <f>'ADJ DETAIL-INPUT'!R8</f>
        <v>Gains &amp;</v>
      </c>
      <c r="S8" s="462" t="str">
        <f>'ADJ DETAIL-INPUT'!S8</f>
        <v>Normalization</v>
      </c>
      <c r="T8" s="462" t="str">
        <f>'ADJ DETAIL-INPUT'!T8</f>
        <v>Adder</v>
      </c>
      <c r="U8" s="462" t="str">
        <f>'ADJ DETAIL-INPUT'!U8</f>
        <v>Non-Util / Non-</v>
      </c>
      <c r="V8" s="462" t="str">
        <f>'ADJ DETAIL-INPUT'!V8</f>
        <v>Incentives</v>
      </c>
      <c r="W8" s="462" t="str">
        <f>'ADJ DETAIL-INPUT'!W8</f>
        <v>Debt</v>
      </c>
      <c r="X8" s="462" t="str">
        <f>'ADJ DETAIL-INPUT'!X8</f>
        <v>WA Power</v>
      </c>
      <c r="Y8" s="462" t="str">
        <f>'ADJ DETAIL-INPUT'!Y8</f>
        <v>Settlement</v>
      </c>
      <c r="Z8" s="462" t="str">
        <f>'ADJ DETAIL-INPUT'!Z8</f>
        <v>CS2/Colstrip</v>
      </c>
      <c r="AA8" s="462" t="str">
        <f>'ADJ DETAIL-INPUT'!AA8</f>
        <v>Power</v>
      </c>
      <c r="AB8" s="462" t="str">
        <f>'ADJ DETAIL-INPUT'!AB8</f>
        <v>AMA Rate</v>
      </c>
      <c r="AC8" s="462" t="str">
        <f>'ADJ DETAIL-INPUT'!AD8</f>
        <v xml:space="preserve">Power </v>
      </c>
      <c r="AD8" s="462" t="str">
        <f>'ADJ DETAIL-INPUT'!AE8</f>
        <v>Transmission</v>
      </c>
      <c r="AE8" s="462" t="str">
        <f>'ADJ DETAIL-INPUT'!AF8</f>
        <v xml:space="preserve">Revenue </v>
      </c>
      <c r="AF8" s="462" t="str">
        <f>'ADJ DETAIL-INPUT'!AG8</f>
        <v>Def. Debits, Credits &amp;</v>
      </c>
      <c r="AG8" s="462" t="str">
        <f>'ADJ DETAIL-INPUT'!AH8</f>
        <v>ARAM</v>
      </c>
      <c r="AH8" s="462" t="str">
        <f>'ADJ DETAIL-INPUT'!AI8</f>
        <v>Labor</v>
      </c>
      <c r="AI8" s="462" t="str">
        <f>'ADJ DETAIL-INPUT'!AJ8</f>
        <v>Labor</v>
      </c>
      <c r="AJ8" s="462" t="str">
        <f>'ADJ DETAIL-INPUT'!AK8</f>
        <v xml:space="preserve">Employee </v>
      </c>
      <c r="AK8" s="462" t="str">
        <f>'ADJ DETAIL-INPUT'!AL8</f>
        <v>Insurance</v>
      </c>
      <c r="AL8" s="462" t="str">
        <f>'ADJ DETAIL-INPUT'!AM8</f>
        <v>IS/IT</v>
      </c>
      <c r="AM8" s="462" t="str">
        <f>'ADJ DETAIL-INPUT'!AN8</f>
        <v>Property</v>
      </c>
      <c r="AN8" s="462" t="str">
        <f>'ADJ DETAIL-INPUT'!AO8</f>
        <v>Fee Free</v>
      </c>
      <c r="AO8" s="462" t="str">
        <f>'ADJ DETAIL-INPUT'!AP8</f>
        <v>2020 Customer</v>
      </c>
      <c r="AP8" s="462" t="str">
        <f>'ADJ DETAIL-INPUT'!AQ8</f>
        <v>2020 Large</v>
      </c>
      <c r="AQ8" s="462" t="str">
        <f>'ADJ DETAIL-INPUT'!AR8</f>
        <v>2020</v>
      </c>
      <c r="AR8" s="462" t="str">
        <f>'ADJ DETAIL-INPUT'!AS8</f>
        <v xml:space="preserve">2020 Mandatory </v>
      </c>
      <c r="AS8" s="462" t="str">
        <f>'ADJ DETAIL-INPUT'!AT8</f>
        <v>2020</v>
      </c>
      <c r="AT8" s="462" t="str">
        <f>'ADJ DETAIL-INPUT'!AU8</f>
        <v xml:space="preserve">AMI </v>
      </c>
      <c r="AU8" s="462" t="str">
        <f>'ADJ DETAIL-INPUT'!AV8</f>
        <v>WildFire</v>
      </c>
      <c r="AV8" s="462" t="str">
        <f>'ADJ DETAIL-INPUT'!AW8</f>
        <v>EIM</v>
      </c>
      <c r="AW8" s="462" t="str">
        <f>'ADJ DETAIL-INPUT'!AX8</f>
        <v>Colstrip Cap &amp;</v>
      </c>
      <c r="AX8" s="462" t="str">
        <f>'ADJ DETAIL-INPUT'!AY8</f>
        <v>CS2/Colstrip</v>
      </c>
      <c r="AY8" s="462" t="str">
        <f>'ADJ DETAIL-INPUT'!AZ8</f>
        <v>2019</v>
      </c>
      <c r="AZ8" s="462" t="str">
        <f>'ADJ DETAIL-INPUT'!BC8</f>
        <v xml:space="preserve">Pro Forma </v>
      </c>
      <c r="BA8" s="462" t="str">
        <f>'ADJ DETAIL-INPUT'!BD8</f>
        <v>Credit</v>
      </c>
      <c r="BB8" s="462" t="str">
        <f>'ADJ DETAIL-INPUT'!BE8</f>
        <v>Net Total</v>
      </c>
    </row>
    <row r="9" spans="1:54" s="412" customFormat="1" ht="11.25" customHeight="1">
      <c r="A9" s="362" t="str">
        <f>'ADJ DETAIL-INPUT'!A9</f>
        <v>No.</v>
      </c>
      <c r="B9" s="421"/>
      <c r="C9" s="363" t="s">
        <v>22</v>
      </c>
      <c r="D9" s="421"/>
      <c r="E9" s="359" t="s">
        <v>262</v>
      </c>
      <c r="F9" s="463" t="str">
        <f>'ADJ DETAIL-INPUT'!F9</f>
        <v>Rate Base</v>
      </c>
      <c r="G9" s="463" t="str">
        <f>'ADJ DETAIL-INPUT'!G9</f>
        <v>Credits</v>
      </c>
      <c r="H9" s="463" t="str">
        <f>'ADJ DETAIL-INPUT'!H9</f>
        <v xml:space="preserve"> </v>
      </c>
      <c r="I9" s="463" t="str">
        <f>'ADJ DETAIL-INPUT'!I9</f>
        <v>Rate Base</v>
      </c>
      <c r="J9" s="463" t="str">
        <f>'ADJ DETAIL-INPUT'!J9</f>
        <v>Taxes</v>
      </c>
      <c r="K9" s="463" t="str">
        <f>'ADJ DETAIL-INPUT'!K9</f>
        <v>Tax</v>
      </c>
      <c r="L9" s="463" t="str">
        <f>'ADJ DETAIL-INPUT'!L9</f>
        <v xml:space="preserve"> </v>
      </c>
      <c r="M9" s="463" t="str">
        <f>'ADJ DETAIL-INPUT'!M9</f>
        <v xml:space="preserve"> </v>
      </c>
      <c r="N9" s="463" t="str">
        <f>'ADJ DETAIL-INPUT'!N9</f>
        <v>Damages</v>
      </c>
      <c r="O9" s="463" t="str">
        <f>'ADJ DETAIL-INPUT'!O9</f>
        <v>Expense</v>
      </c>
      <c r="P9" s="463" t="str">
        <f>'ADJ DETAIL-INPUT'!P9</f>
        <v>Non-Utility</v>
      </c>
      <c r="Q9" s="463" t="str">
        <f>'ADJ DETAIL-INPUT'!Q9</f>
        <v>Taxes</v>
      </c>
      <c r="R9" s="463" t="str">
        <f>'ADJ DETAIL-INPUT'!R9</f>
        <v>Losses</v>
      </c>
      <c r="S9" s="463" t="str">
        <f>'ADJ DETAIL-INPUT'!S9</f>
        <v xml:space="preserve"> </v>
      </c>
      <c r="T9" s="463" t="str">
        <f>'ADJ DETAIL-INPUT'!T9</f>
        <v>Schedules</v>
      </c>
      <c r="U9" s="463" t="str">
        <f>'ADJ DETAIL-INPUT'!U9</f>
        <v>Recurring Expenses</v>
      </c>
      <c r="V9" s="463">
        <f>'ADJ DETAIL-INPUT'!V9</f>
        <v>0</v>
      </c>
      <c r="W9" s="463" t="str">
        <f>'ADJ DETAIL-INPUT'!W9</f>
        <v>Interest</v>
      </c>
      <c r="X9" s="463" t="str">
        <f>'ADJ DETAIL-INPUT'!X9</f>
        <v>Cost Defer</v>
      </c>
      <c r="Y9" s="463" t="str">
        <f>'ADJ DETAIL-INPUT'!Y9</f>
        <v>Adjustment</v>
      </c>
      <c r="Z9" s="463" t="str">
        <f>'ADJ DETAIL-INPUT'!Z9</f>
        <v>Major Maint</v>
      </c>
      <c r="AA9" s="463" t="str">
        <f>'ADJ DETAIL-INPUT'!AA9</f>
        <v>Supply</v>
      </c>
      <c r="AB9" s="463" t="str">
        <f>'ADJ DETAIL-INPUT'!AB9</f>
        <v>Base to EOP</v>
      </c>
      <c r="AC9" s="463" t="str">
        <f>'ADJ DETAIL-INPUT'!AD9</f>
        <v>Supply</v>
      </c>
      <c r="AD9" s="463" t="str">
        <f>'ADJ DETAIL-INPUT'!AE9</f>
        <v>Revenue/Expense</v>
      </c>
      <c r="AE9" s="463" t="str">
        <f>'ADJ DETAIL-INPUT'!AF9</f>
        <v>Normalization</v>
      </c>
      <c r="AF9" s="463" t="str">
        <f>'ADJ DETAIL-INPUT'!AG9</f>
        <v>Regulatory Amorts</v>
      </c>
      <c r="AG9" s="463" t="str">
        <f>'ADJ DETAIL-INPUT'!AH9</f>
        <v>DFIT</v>
      </c>
      <c r="AH9" s="463" t="str">
        <f>'ADJ DETAIL-INPUT'!AI9</f>
        <v>Non-Exec</v>
      </c>
      <c r="AI9" s="463" t="str">
        <f>'ADJ DETAIL-INPUT'!AJ9</f>
        <v>Exec</v>
      </c>
      <c r="AJ9" s="463" t="str">
        <f>'ADJ DETAIL-INPUT'!AK9</f>
        <v>Benefits</v>
      </c>
      <c r="AK9" s="463" t="str">
        <f>'ADJ DETAIL-INPUT'!AL9</f>
        <v>Expense</v>
      </c>
      <c r="AL9" s="463" t="str">
        <f>'ADJ DETAIL-INPUT'!AM9</f>
        <v>Expense</v>
      </c>
      <c r="AM9" s="463" t="str">
        <f>'ADJ DETAIL-INPUT'!AN9</f>
        <v>Tax</v>
      </c>
      <c r="AN9" s="463" t="str">
        <f>'ADJ DETAIL-INPUT'!AO9</f>
        <v>Amortization</v>
      </c>
      <c r="AO9" s="463" t="str">
        <f>'ADJ DETAIL-INPUT'!AP9</f>
        <v xml:space="preserve">At Center </v>
      </c>
      <c r="AP9" s="463" t="str">
        <f>'ADJ DETAIL-INPUT'!AQ9</f>
        <v>&amp; Distinct</v>
      </c>
      <c r="AQ9" s="463" t="str">
        <f>'ADJ DETAIL-INPUT'!AR9</f>
        <v>Programmatic</v>
      </c>
      <c r="AR9" s="463" t="str">
        <f>'ADJ DETAIL-INPUT'!AS9</f>
        <v>&amp; Compliance</v>
      </c>
      <c r="AS9" s="463" t="str">
        <f>'ADJ DETAIL-INPUT'!AT9</f>
        <v>Short Lived</v>
      </c>
      <c r="AT9" s="463" t="str">
        <f>'ADJ DETAIL-INPUT'!AU9</f>
        <v>Capital</v>
      </c>
      <c r="AU9" s="463" t="str">
        <f>'ADJ DETAIL-INPUT'!AV9</f>
        <v>Plan</v>
      </c>
      <c r="AV9" s="463" t="str">
        <f>'ADJ DETAIL-INPUT'!AW9</f>
        <v>Expenditures</v>
      </c>
      <c r="AW9" s="463" t="str">
        <f>'ADJ DETAIL-INPUT'!AX9</f>
        <v>Amortization</v>
      </c>
      <c r="AX9" s="463" t="str">
        <f>'ADJ DETAIL-INPUT'!AY9</f>
        <v>Major Maint</v>
      </c>
      <c r="AY9" s="463" t="str">
        <f>'ADJ DETAIL-INPUT'!AZ9</f>
        <v>ADFIT</v>
      </c>
      <c r="AZ9" s="463" t="str">
        <f>'ADJ DETAIL-INPUT'!BC9</f>
        <v>Total</v>
      </c>
      <c r="BA9" s="463" t="str">
        <f>'ADJ DETAIL-INPUT'!BD9</f>
        <v>Tariff #76</v>
      </c>
      <c r="BB9" s="463" t="str">
        <f>'ADJ DETAIL-INPUT'!BE9</f>
        <v>After Tariff</v>
      </c>
    </row>
    <row r="10" spans="1:54" s="458" customFormat="1">
      <c r="B10" s="461" t="s">
        <v>563</v>
      </c>
      <c r="E10" s="460">
        <v>1</v>
      </c>
      <c r="F10" s="459">
        <f>'ADJ DETAIL-INPUT'!F10</f>
        <v>1.01</v>
      </c>
      <c r="G10" s="459">
        <f>'ADJ DETAIL-INPUT'!G10</f>
        <v>1.02</v>
      </c>
      <c r="H10" s="459">
        <f>'ADJ DETAIL-INPUT'!H10</f>
        <v>1.03</v>
      </c>
      <c r="I10" s="459">
        <f>'ADJ DETAIL-INPUT'!I10</f>
        <v>1.04</v>
      </c>
      <c r="J10" s="459">
        <f>'ADJ DETAIL-INPUT'!J10</f>
        <v>2.0099999999999998</v>
      </c>
      <c r="K10" s="459">
        <f>'ADJ DETAIL-INPUT'!K10</f>
        <v>2.0199999999999996</v>
      </c>
      <c r="L10" s="459">
        <f>'ADJ DETAIL-INPUT'!L10</f>
        <v>2.0299999999999994</v>
      </c>
      <c r="M10" s="459">
        <f>'ADJ DETAIL-INPUT'!M10</f>
        <v>2.0399999999999991</v>
      </c>
      <c r="N10" s="459">
        <f>'ADJ DETAIL-INPUT'!N10</f>
        <v>2.0499999999999989</v>
      </c>
      <c r="O10" s="459">
        <f>'ADJ DETAIL-INPUT'!O10</f>
        <v>2.0599999999999987</v>
      </c>
      <c r="P10" s="459">
        <f>'ADJ DETAIL-INPUT'!P10</f>
        <v>2.0699999999999985</v>
      </c>
      <c r="Q10" s="459">
        <f>'ADJ DETAIL-INPUT'!Q10</f>
        <v>2.0799999999999983</v>
      </c>
      <c r="R10" s="459">
        <f>'ADJ DETAIL-INPUT'!R10</f>
        <v>2.0899999999999981</v>
      </c>
      <c r="S10" s="459">
        <f>'ADJ DETAIL-INPUT'!S10</f>
        <v>2.0999999999999979</v>
      </c>
      <c r="T10" s="459">
        <f>'ADJ DETAIL-INPUT'!T10</f>
        <v>2.1099999999999977</v>
      </c>
      <c r="U10" s="459">
        <f>'ADJ DETAIL-INPUT'!U10</f>
        <v>2.1199999999999974</v>
      </c>
      <c r="V10" s="459">
        <f>'ADJ DETAIL-INPUT'!V10</f>
        <v>2.1299999999999972</v>
      </c>
      <c r="W10" s="459">
        <f>'ADJ DETAIL-INPUT'!W10</f>
        <v>2.139999999999997</v>
      </c>
      <c r="X10" s="459">
        <f>'ADJ DETAIL-INPUT'!X10</f>
        <v>2.1499999999999968</v>
      </c>
      <c r="Y10" s="459">
        <f>'ADJ DETAIL-INPUT'!Y10</f>
        <v>2.1599999999999966</v>
      </c>
      <c r="Z10" s="459">
        <f>'ADJ DETAIL-INPUT'!Z10</f>
        <v>2.1699999999999964</v>
      </c>
      <c r="AA10" s="459">
        <f>'ADJ DETAIL-INPUT'!AA10</f>
        <v>2.1799999999999962</v>
      </c>
      <c r="AB10" s="459">
        <f>'ADJ DETAIL-INPUT'!AB10</f>
        <v>2.1899999999999959</v>
      </c>
      <c r="AC10" s="459" t="str">
        <f>'ADJ DETAIL-INPUT'!AD10</f>
        <v>3.00P</v>
      </c>
      <c r="AD10" s="459" t="str">
        <f>'ADJ DETAIL-INPUT'!AE10</f>
        <v>3.00T</v>
      </c>
      <c r="AE10" s="459">
        <f>'ADJ DETAIL-INPUT'!AF10</f>
        <v>3.01</v>
      </c>
      <c r="AF10" s="459">
        <f>'ADJ DETAIL-INPUT'!AG10</f>
        <v>3.0199999999999996</v>
      </c>
      <c r="AG10" s="459">
        <f>'ADJ DETAIL-INPUT'!AH10</f>
        <v>3.0299999999999994</v>
      </c>
      <c r="AH10" s="459">
        <f>'ADJ DETAIL-INPUT'!AI10</f>
        <v>3.0399999999999991</v>
      </c>
      <c r="AI10" s="459">
        <f>'ADJ DETAIL-INPUT'!AJ10</f>
        <v>3.0499999999999989</v>
      </c>
      <c r="AJ10" s="459">
        <f>'ADJ DETAIL-INPUT'!AK10</f>
        <v>3.0599999999999987</v>
      </c>
      <c r="AK10" s="459">
        <f>'ADJ DETAIL-INPUT'!AL10</f>
        <v>3.0699999999999985</v>
      </c>
      <c r="AL10" s="459">
        <f>'ADJ DETAIL-INPUT'!AM10</f>
        <v>3.0799999999999983</v>
      </c>
      <c r="AM10" s="459">
        <f>'ADJ DETAIL-INPUT'!AN10</f>
        <v>3.0899999999999981</v>
      </c>
      <c r="AN10" s="459">
        <f>'ADJ DETAIL-INPUT'!AO10</f>
        <v>3.0999999999999979</v>
      </c>
      <c r="AO10" s="459">
        <f>'ADJ DETAIL-INPUT'!AP10</f>
        <v>3.1099999999999977</v>
      </c>
      <c r="AP10" s="459">
        <f>'ADJ DETAIL-INPUT'!AQ10</f>
        <v>3.1199999999999974</v>
      </c>
      <c r="AQ10" s="459">
        <f>'ADJ DETAIL-INPUT'!AR10</f>
        <v>3.1299999999999972</v>
      </c>
      <c r="AR10" s="459">
        <f>'ADJ DETAIL-INPUT'!AS10</f>
        <v>3.139999999999997</v>
      </c>
      <c r="AS10" s="459">
        <f>'ADJ DETAIL-INPUT'!AT10</f>
        <v>3.1499999999999968</v>
      </c>
      <c r="AT10" s="459">
        <f>'ADJ DETAIL-INPUT'!AU10</f>
        <v>3.1599999999999966</v>
      </c>
      <c r="AU10" s="459">
        <f>'ADJ DETAIL-INPUT'!AV10</f>
        <v>3.1699999999999964</v>
      </c>
      <c r="AV10" s="459">
        <f>'ADJ DETAIL-INPUT'!AW10</f>
        <v>3.1799999999999962</v>
      </c>
      <c r="AW10" s="459">
        <f>'ADJ DETAIL-INPUT'!AX10</f>
        <v>3.1899999999999959</v>
      </c>
      <c r="AX10" s="459">
        <f>'ADJ DETAIL-INPUT'!AY10</f>
        <v>3.1999999999999957</v>
      </c>
      <c r="AY10" s="459">
        <f>'ADJ DETAIL-INPUT'!AZ10</f>
        <v>3.2099999999999955</v>
      </c>
      <c r="AZ10" s="459" t="str">
        <f>'ADJ DETAIL-INPUT'!BC10</f>
        <v>PF-SubTtl</v>
      </c>
      <c r="BA10" s="459" t="str">
        <f>'ADJ DETAIL-INPUT'!BD10</f>
        <v>4.00T</v>
      </c>
      <c r="BB10" s="459" t="str">
        <f>'ADJ DETAIL-INPUT'!BE10</f>
        <v>Net Billed</v>
      </c>
    </row>
    <row r="11" spans="1:54" s="458" customFormat="1">
      <c r="A11" s="360"/>
      <c r="B11" s="361" t="s">
        <v>564</v>
      </c>
      <c r="C11" s="360"/>
      <c r="D11" s="360"/>
      <c r="E11" s="464" t="str">
        <f>'ADJ DETAIL-INPUT'!E11</f>
        <v>E-ROO</v>
      </c>
      <c r="F11" s="464" t="str">
        <f>'ADJ DETAIL-INPUT'!F11</f>
        <v>E-DFIT</v>
      </c>
      <c r="G11" s="464" t="str">
        <f>'ADJ DETAIL-INPUT'!G11</f>
        <v>E-DDC</v>
      </c>
      <c r="H11" s="464" t="str">
        <f>'ADJ DETAIL-INPUT'!H11</f>
        <v xml:space="preserve">E-WC </v>
      </c>
      <c r="I11" s="464" t="str">
        <f>'ADJ DETAIL-INPUT'!I11</f>
        <v>E-AMI</v>
      </c>
      <c r="J11" s="464" t="str">
        <f>'ADJ DETAIL-INPUT'!J11</f>
        <v>E-EBO</v>
      </c>
      <c r="K11" s="464" t="str">
        <f>'ADJ DETAIL-INPUT'!K11</f>
        <v>E-RPT</v>
      </c>
      <c r="L11" s="464" t="str">
        <f>'ADJ DETAIL-INPUT'!L11</f>
        <v>E-UE</v>
      </c>
      <c r="M11" s="464" t="str">
        <f>'ADJ DETAIL-INPUT'!M11</f>
        <v>E-RE</v>
      </c>
      <c r="N11" s="464" t="str">
        <f>'ADJ DETAIL-INPUT'!N11</f>
        <v>E-ID</v>
      </c>
      <c r="O11" s="464" t="str">
        <f>'ADJ DETAIL-INPUT'!O11</f>
        <v xml:space="preserve">E-FIT </v>
      </c>
      <c r="P11" s="464" t="str">
        <f>'ADJ DETAIL-INPUT'!P11</f>
        <v>E-OSC</v>
      </c>
      <c r="Q11" s="464" t="str">
        <f>'ADJ DETAIL-INPUT'!Q11</f>
        <v>E-RET</v>
      </c>
      <c r="R11" s="464" t="str">
        <f>'ADJ DETAIL-INPUT'!R11</f>
        <v>E-NGL</v>
      </c>
      <c r="S11" s="464" t="str">
        <f>'ADJ DETAIL-INPUT'!S11</f>
        <v>E-WN</v>
      </c>
      <c r="T11" s="464" t="str">
        <f>'ADJ DETAIL-INPUT'!T11</f>
        <v>E-EAS</v>
      </c>
      <c r="U11" s="464" t="str">
        <f>'ADJ DETAIL-INPUT'!U11</f>
        <v>E-MR</v>
      </c>
      <c r="V11" s="464" t="str">
        <f>'ADJ DETAIL-INPUT'!V11</f>
        <v>E-RI</v>
      </c>
      <c r="W11" s="464" t="str">
        <f>'ADJ DETAIL-INPUT'!W11</f>
        <v>E-RDI</v>
      </c>
      <c r="X11" s="464" t="str">
        <f>'ADJ DETAIL-INPUT'!X11</f>
        <v>E-EWPC</v>
      </c>
      <c r="Y11" s="464" t="str">
        <f>'ADJ DETAIL-INPUT'!Y11</f>
        <v>E-NPS</v>
      </c>
      <c r="Z11" s="464" t="str">
        <f>'ADJ DETAIL-INPUT'!Z11</f>
        <v>E-PMM</v>
      </c>
      <c r="AA11" s="464" t="str">
        <f>'ADJ DETAIL-INPUT'!AA11</f>
        <v>E-APS</v>
      </c>
      <c r="AB11" s="464" t="str">
        <f>'ADJ DETAIL-INPUT'!AB11</f>
        <v>E-EOP19</v>
      </c>
      <c r="AC11" s="464" t="str">
        <f>'ADJ DETAIL-INPUT'!AD11</f>
        <v>E-PPS</v>
      </c>
      <c r="AD11" s="464" t="str">
        <f>'ADJ DETAIL-INPUT'!AE11</f>
        <v>E-PTRAN</v>
      </c>
      <c r="AE11" s="464" t="str">
        <f>'ADJ DETAIL-INPUT'!AF11</f>
        <v>E-PREV</v>
      </c>
      <c r="AF11" s="464" t="str">
        <f>'ADJ DETAIL-INPUT'!AG11</f>
        <v>E-PRA</v>
      </c>
      <c r="AG11" s="464" t="str">
        <f>'ADJ DETAIL-INPUT'!AH11</f>
        <v>E-ARAM</v>
      </c>
      <c r="AH11" s="464" t="str">
        <f>'ADJ DETAIL-INPUT'!AI11</f>
        <v>E-PLN</v>
      </c>
      <c r="AI11" s="464" t="str">
        <f>'ADJ DETAIL-INPUT'!AJ11</f>
        <v>E-PLE</v>
      </c>
      <c r="AJ11" s="464" t="str">
        <f>'ADJ DETAIL-INPUT'!AK11</f>
        <v>E-PEB</v>
      </c>
      <c r="AK11" s="464" t="str">
        <f>'ADJ DETAIL-INPUT'!AL11</f>
        <v>E-PINS</v>
      </c>
      <c r="AL11" s="464" t="str">
        <f>'ADJ DETAIL-INPUT'!AM11</f>
        <v>E-PIT</v>
      </c>
      <c r="AM11" s="464" t="str">
        <f>'ADJ DETAIL-INPUT'!AN11</f>
        <v>E-PPT</v>
      </c>
      <c r="AN11" s="464" t="str">
        <f>'ADJ DETAIL-INPUT'!AO11</f>
        <v>E-PFEE</v>
      </c>
      <c r="AO11" s="464" t="str">
        <f>'ADJ DETAIL-INPUT'!AP11</f>
        <v>E-PCAP1</v>
      </c>
      <c r="AP11" s="464" t="str">
        <f>'ADJ DETAIL-INPUT'!AQ11</f>
        <v>E-CAP2</v>
      </c>
      <c r="AQ11" s="464" t="str">
        <f>'ADJ DETAIL-INPUT'!AR11</f>
        <v>E-CAP3</v>
      </c>
      <c r="AR11" s="464" t="str">
        <f>'ADJ DETAIL-INPUT'!AS11</f>
        <v>E-CAP4</v>
      </c>
      <c r="AS11" s="464" t="str">
        <f>'ADJ DETAIL-INPUT'!AT11</f>
        <v>E-CAP5</v>
      </c>
      <c r="AT11" s="464" t="str">
        <f>'ADJ DETAIL-INPUT'!AU11</f>
        <v>E-AMI</v>
      </c>
      <c r="AU11" s="464" t="str">
        <f>'ADJ DETAIL-INPUT'!AV11</f>
        <v>E-WF</v>
      </c>
      <c r="AV11" s="464" t="str">
        <f>'ADJ DETAIL-INPUT'!AW11</f>
        <v>E-PEIM</v>
      </c>
      <c r="AW11" s="464" t="str">
        <f>'ADJ DETAIL-INPUT'!AX11</f>
        <v>E-PCOL</v>
      </c>
      <c r="AX11" s="464" t="str">
        <f>'ADJ DETAIL-INPUT'!AY11</f>
        <v>E-PMM</v>
      </c>
      <c r="AY11" s="464" t="str">
        <f>'ADJ DETAIL-INPUT'!AZ11</f>
        <v>E-RDFIT</v>
      </c>
      <c r="AZ11" s="464">
        <f>'ADJ DETAIL-INPUT'!BC11</f>
        <v>0</v>
      </c>
      <c r="BA11" s="464" t="str">
        <f>'ADJ DETAIL-INPUT'!BD11</f>
        <v>E-Tax</v>
      </c>
      <c r="BB11" s="464" t="str">
        <f>'ADJ DETAIL-INPUT'!BE11</f>
        <v>Total</v>
      </c>
    </row>
    <row r="12" spans="1:54" s="458" customFormat="1">
      <c r="B12" s="461"/>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row>
    <row r="13" spans="1:54">
      <c r="B13" s="409" t="str">
        <f>'ADJ DETAIL-INPUT'!B13</f>
        <v xml:space="preserve">REVENUES  </v>
      </c>
    </row>
    <row r="14" spans="1:54" s="423" customFormat="1">
      <c r="A14" s="422">
        <f>'ADJ DETAIL-INPUT'!A14</f>
        <v>1</v>
      </c>
      <c r="B14" s="423" t="str">
        <f>'ADJ DETAIL-INPUT'!B14</f>
        <v xml:space="preserve">Total General Business  </v>
      </c>
      <c r="E14" s="449">
        <f>'ADJ DETAIL-INPUT'!E14</f>
        <v>546549</v>
      </c>
      <c r="F14" s="457">
        <f>'ADJ DETAIL-INPUT'!F14</f>
        <v>0</v>
      </c>
      <c r="G14" s="457">
        <f>'ADJ DETAIL-INPUT'!G14</f>
        <v>0</v>
      </c>
      <c r="H14" s="457">
        <f>'ADJ DETAIL-INPUT'!H14</f>
        <v>0</v>
      </c>
      <c r="I14" s="457">
        <f>'ADJ DETAIL-INPUT'!I14</f>
        <v>0</v>
      </c>
      <c r="J14" s="457">
        <f>'ADJ DETAIL-INPUT'!J14</f>
        <v>-18871</v>
      </c>
      <c r="K14" s="457">
        <f>'ADJ DETAIL-INPUT'!K14</f>
        <v>0</v>
      </c>
      <c r="L14" s="457">
        <f>'ADJ DETAIL-INPUT'!L14</f>
        <v>0</v>
      </c>
      <c r="M14" s="457">
        <f>'ADJ DETAIL-INPUT'!M14</f>
        <v>0</v>
      </c>
      <c r="N14" s="457">
        <f>'ADJ DETAIL-INPUT'!N14</f>
        <v>0</v>
      </c>
      <c r="O14" s="457">
        <f>'ADJ DETAIL-INPUT'!O14</f>
        <v>0</v>
      </c>
      <c r="P14" s="457">
        <f>'ADJ DETAIL-INPUT'!P14</f>
        <v>0</v>
      </c>
      <c r="Q14" s="457">
        <f>'ADJ DETAIL-INPUT'!Q14</f>
        <v>0</v>
      </c>
      <c r="R14" s="457">
        <f>'ADJ DETAIL-INPUT'!R14</f>
        <v>0</v>
      </c>
      <c r="S14" s="457">
        <f>'ADJ DETAIL-INPUT'!S14</f>
        <v>-3836</v>
      </c>
      <c r="T14" s="457">
        <f>'ADJ DETAIL-INPUT'!T14</f>
        <v>-21727</v>
      </c>
      <c r="U14" s="457">
        <f>'ADJ DETAIL-INPUT'!U14</f>
        <v>0</v>
      </c>
      <c r="V14" s="457">
        <f>'ADJ DETAIL-INPUT'!V14</f>
        <v>0</v>
      </c>
      <c r="W14" s="457">
        <f>'ADJ DETAIL-INPUT'!W14</f>
        <v>0</v>
      </c>
      <c r="X14" s="457">
        <f>'ADJ DETAIL-INPUT'!X14</f>
        <v>1740</v>
      </c>
      <c r="Y14" s="457">
        <f>'ADJ DETAIL-INPUT'!Y14</f>
        <v>0</v>
      </c>
      <c r="Z14" s="457">
        <f>'ADJ DETAIL-INPUT'!Z14</f>
        <v>0</v>
      </c>
      <c r="AA14" s="457">
        <f>'ADJ DETAIL-INPUT'!AA14</f>
        <v>0</v>
      </c>
      <c r="AB14" s="457">
        <f>'ADJ DETAIL-INPUT'!AB14</f>
        <v>0</v>
      </c>
      <c r="AC14" s="457">
        <f>'ADJ DETAIL-INPUT'!AD14</f>
        <v>0</v>
      </c>
      <c r="AD14" s="457">
        <f>'ADJ DETAIL-INPUT'!AE14</f>
        <v>0</v>
      </c>
      <c r="AE14" s="457">
        <f>'ADJ DETAIL-INPUT'!AF14</f>
        <v>26639</v>
      </c>
      <c r="AF14" s="457">
        <f>'ADJ DETAIL-INPUT'!AG14</f>
        <v>0</v>
      </c>
      <c r="AG14" s="457">
        <f>'ADJ DETAIL-INPUT'!AH14</f>
        <v>0</v>
      </c>
      <c r="AH14" s="457">
        <f>'ADJ DETAIL-INPUT'!AI14</f>
        <v>0</v>
      </c>
      <c r="AI14" s="457">
        <f>'ADJ DETAIL-INPUT'!AJ14</f>
        <v>0</v>
      </c>
      <c r="AJ14" s="457">
        <f>'ADJ DETAIL-INPUT'!AK14</f>
        <v>0</v>
      </c>
      <c r="AK14" s="457">
        <f>'ADJ DETAIL-INPUT'!AL14</f>
        <v>0</v>
      </c>
      <c r="AL14" s="457">
        <f>'ADJ DETAIL-INPUT'!AM14</f>
        <v>0</v>
      </c>
      <c r="AM14" s="457">
        <f>'ADJ DETAIL-INPUT'!AN14</f>
        <v>0</v>
      </c>
      <c r="AN14" s="457">
        <f>'ADJ DETAIL-INPUT'!AO14</f>
        <v>0</v>
      </c>
      <c r="AO14" s="457">
        <f>'ADJ DETAIL-INPUT'!AP14</f>
        <v>0</v>
      </c>
      <c r="AP14" s="457">
        <f>'ADJ DETAIL-INPUT'!AQ14</f>
        <v>0</v>
      </c>
      <c r="AQ14" s="457">
        <f>'ADJ DETAIL-INPUT'!AR14</f>
        <v>0</v>
      </c>
      <c r="AR14" s="457">
        <f>'ADJ DETAIL-INPUT'!AS14</f>
        <v>0</v>
      </c>
      <c r="AS14" s="457">
        <f>'ADJ DETAIL-INPUT'!AT14</f>
        <v>0</v>
      </c>
      <c r="AT14" s="457">
        <f>'ADJ DETAIL-INPUT'!AU14</f>
        <v>0</v>
      </c>
      <c r="AU14" s="457">
        <f>'ADJ DETAIL-INPUT'!AV14</f>
        <v>0</v>
      </c>
      <c r="AV14" s="457">
        <f>'ADJ DETAIL-INPUT'!AW14</f>
        <v>0</v>
      </c>
      <c r="AW14" s="457">
        <f>'ADJ DETAIL-INPUT'!AX14</f>
        <v>0</v>
      </c>
      <c r="AX14" s="457">
        <f>'ADJ DETAIL-INPUT'!AY14</f>
        <v>0</v>
      </c>
      <c r="AY14" s="457">
        <f>'ADJ DETAIL-INPUT'!AZ14</f>
        <v>0</v>
      </c>
      <c r="AZ14" s="457">
        <f>'ADJ DETAIL-INPUT'!BC14</f>
        <v>530494</v>
      </c>
      <c r="BA14" s="457">
        <f>'ADJ DETAIL-INPUT'!BD14</f>
        <v>0</v>
      </c>
      <c r="BB14" s="457">
        <f>'ADJ DETAIL-INPUT'!BE14</f>
        <v>530494</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DETAIL-INPUT'!BC15</f>
        <v>1228</v>
      </c>
      <c r="BA15" s="435">
        <f>'ADJ DETAIL-INPUT'!BD15</f>
        <v>0</v>
      </c>
      <c r="BB15" s="435">
        <f>'ADJ DETAIL-INPUT'!BE15</f>
        <v>1228</v>
      </c>
    </row>
    <row r="16" spans="1:54" s="424" customFormat="1">
      <c r="A16" s="422">
        <f>'ADJ DETAIL-INPUT'!A16</f>
        <v>3</v>
      </c>
      <c r="B16" s="424" t="str">
        <f>'ADJ DETAIL-INPUT'!B16</f>
        <v xml:space="preserve">Sales for Resale  </v>
      </c>
      <c r="E16" s="454">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17183</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DETAIL-INPUT'!BC16</f>
        <v>53469</v>
      </c>
      <c r="BA16" s="444">
        <f>'ADJ DETAIL-INPUT'!BD16</f>
        <v>0</v>
      </c>
      <c r="BB16" s="444">
        <f>'ADJ DETAIL-INPUT'!BE16</f>
        <v>53469</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17183</v>
      </c>
      <c r="AD17" s="435">
        <f>'ADJ DETAIL-INPUT'!AE17</f>
        <v>0</v>
      </c>
      <c r="AE17" s="435">
        <f>'ADJ DETAIL-INPUT'!AF17</f>
        <v>26639</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DETAIL-INPUT'!BC17</f>
        <v>585191</v>
      </c>
      <c r="BA17" s="435">
        <f>'ADJ DETAIL-INPUT'!BD17</f>
        <v>0</v>
      </c>
      <c r="BB17" s="435">
        <f>'ADJ DETAIL-INPUT'!BE17</f>
        <v>585191</v>
      </c>
    </row>
    <row r="18" spans="1:54" s="424" customFormat="1">
      <c r="A18" s="422">
        <f>'ADJ DETAIL-INPUT'!A18</f>
        <v>5</v>
      </c>
      <c r="B18" s="424" t="str">
        <f>'ADJ DETAIL-INPUT'!B18</f>
        <v xml:space="preserve">Other Revenue  </v>
      </c>
      <c r="E18" s="454">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DETAIL-INPUT'!BC18</f>
        <v>16881</v>
      </c>
      <c r="BA18" s="444">
        <f>'ADJ DETAIL-INPUT'!BD18</f>
        <v>0</v>
      </c>
      <c r="BB18" s="444">
        <f>'ADJ DETAIL-INPUT'!BE18</f>
        <v>16881</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20316</v>
      </c>
      <c r="AD19" s="435">
        <f>'ADJ DETAIL-INPUT'!AE19</f>
        <v>658</v>
      </c>
      <c r="AE19" s="435">
        <f>'ADJ DETAIL-INPUT'!AF19</f>
        <v>16031</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DETAIL-INPUT'!BC19</f>
        <v>602072</v>
      </c>
      <c r="BA19" s="435">
        <f>'ADJ DETAIL-INPUT'!BD19</f>
        <v>0</v>
      </c>
      <c r="BB19" s="435">
        <f>'ADJ DETAIL-INPUT'!BE19</f>
        <v>602072</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0</v>
      </c>
      <c r="AC23" s="435">
        <f>'ADJ DETAIL-INPUT'!AD23</f>
        <v>9232</v>
      </c>
      <c r="AD23" s="435">
        <f>'ADJ DETAIL-INPUT'!AE23</f>
        <v>-447</v>
      </c>
      <c r="AE23" s="435">
        <f>'ADJ DETAIL-INPUT'!AF23</f>
        <v>0</v>
      </c>
      <c r="AF23" s="435">
        <f>'ADJ DETAIL-INPUT'!AG23</f>
        <v>231</v>
      </c>
      <c r="AG23" s="435">
        <f>'ADJ DETAIL-INPUT'!AH23</f>
        <v>0</v>
      </c>
      <c r="AH23" s="435">
        <f>'ADJ DETAIL-INPUT'!AI23</f>
        <v>1169</v>
      </c>
      <c r="AI23" s="435">
        <f>'ADJ DETAIL-INPUT'!AJ23</f>
        <v>0</v>
      </c>
      <c r="AJ23" s="435">
        <f>'ADJ DETAIL-INPUT'!AK23</f>
        <v>392</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1386</v>
      </c>
      <c r="AW23" s="435">
        <f>'ADJ DETAIL-INPUT'!AX23</f>
        <v>0</v>
      </c>
      <c r="AX23" s="435">
        <f>'ADJ DETAIL-INPUT'!AY23</f>
        <v>-16</v>
      </c>
      <c r="AY23" s="435">
        <f>'ADJ DETAIL-INPUT'!AZ23</f>
        <v>0</v>
      </c>
      <c r="AZ23" s="435">
        <f>'ADJ DETAIL-INPUT'!BC23</f>
        <v>147183</v>
      </c>
      <c r="BA23" s="435">
        <f>'ADJ DETAIL-INPUT'!BD23</f>
        <v>0</v>
      </c>
      <c r="BB23" s="435">
        <f>'ADJ DETAIL-INPUT'!BE23</f>
        <v>147183</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DETAIL-INPUT'!BC24</f>
        <v>70783</v>
      </c>
      <c r="BA24" s="435">
        <f>'ADJ DETAIL-INPUT'!BD24</f>
        <v>0</v>
      </c>
      <c r="BB24" s="435">
        <f>'ADJ DETAIL-INPUT'!BE24</f>
        <v>70783</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3567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227</v>
      </c>
      <c r="AQ25" s="435">
        <f>'ADJ DETAIL-INPUT'!AR25</f>
        <v>204</v>
      </c>
      <c r="AR25" s="435">
        <f>'ADJ DETAIL-INPUT'!AS25</f>
        <v>629</v>
      </c>
      <c r="AS25" s="435">
        <f>'ADJ DETAIL-INPUT'!AT25</f>
        <v>0</v>
      </c>
      <c r="AT25" s="435">
        <f>'ADJ DETAIL-INPUT'!AU25</f>
        <v>0</v>
      </c>
      <c r="AU25" s="435">
        <f>'ADJ DETAIL-INPUT'!AV25</f>
        <v>97</v>
      </c>
      <c r="AV25" s="435">
        <f>'ADJ DETAIL-INPUT'!AW25</f>
        <v>91</v>
      </c>
      <c r="AW25" s="435">
        <f>'ADJ DETAIL-INPUT'!AX25</f>
        <v>3053</v>
      </c>
      <c r="AX25" s="435">
        <f>'ADJ DETAIL-INPUT'!AY25</f>
        <v>0</v>
      </c>
      <c r="AY25" s="435">
        <f>'ADJ DETAIL-INPUT'!AZ25</f>
        <v>0</v>
      </c>
      <c r="AZ25" s="435">
        <f>'ADJ DETAIL-INPUT'!BC25</f>
        <v>40315</v>
      </c>
      <c r="BA25" s="435">
        <f>'ADJ DETAIL-INPUT'!BD25</f>
        <v>0</v>
      </c>
      <c r="BB25" s="435">
        <f>'ADJ DETAIL-INPUT'!BE25</f>
        <v>40315</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DETAIL-INPUT'!BC26</f>
        <v>-1783</v>
      </c>
      <c r="BA26" s="436">
        <f>'ADJ DETAIL-INPUT'!BD26</f>
        <v>0</v>
      </c>
      <c r="BB26" s="436">
        <f>'ADJ DETAIL-INPUT'!BE26</f>
        <v>-1783</v>
      </c>
    </row>
    <row r="27" spans="1:54" s="424" customFormat="1">
      <c r="A27" s="422">
        <f>'ADJ DETAIL-INPUT'!A27</f>
        <v>11</v>
      </c>
      <c r="C27" s="424" t="str">
        <f>'ADJ DETAIL-INPUT'!C27</f>
        <v xml:space="preserve">Taxes  </v>
      </c>
      <c r="E27" s="454">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1156</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DETAIL-INPUT'!BC27</f>
        <v>17996</v>
      </c>
      <c r="BA27" s="444">
        <f>'ADJ DETAIL-INPUT'!BD27</f>
        <v>0</v>
      </c>
      <c r="BB27" s="444">
        <f>'ADJ DETAIL-INPUT'!BE27</f>
        <v>17996</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3567</v>
      </c>
      <c r="AC28" s="435">
        <f>'ADJ DETAIL-INPUT'!AD28</f>
        <v>5733</v>
      </c>
      <c r="AD28" s="435">
        <f>'ADJ DETAIL-INPUT'!AE28</f>
        <v>-447</v>
      </c>
      <c r="AE28" s="435">
        <f>'ADJ DETAIL-INPUT'!AF28</f>
        <v>0</v>
      </c>
      <c r="AF28" s="435">
        <f>'ADJ DETAIL-INPUT'!AG28</f>
        <v>-1638</v>
      </c>
      <c r="AG28" s="435">
        <f>'ADJ DETAIL-INPUT'!AH28</f>
        <v>0</v>
      </c>
      <c r="AH28" s="435">
        <f>'ADJ DETAIL-INPUT'!AI28</f>
        <v>1169</v>
      </c>
      <c r="AI28" s="435">
        <f>'ADJ DETAIL-INPUT'!AJ28</f>
        <v>0</v>
      </c>
      <c r="AJ28" s="435">
        <f>'ADJ DETAIL-INPUT'!AK28</f>
        <v>392</v>
      </c>
      <c r="AK28" s="435">
        <f>'ADJ DETAIL-INPUT'!AL28</f>
        <v>0</v>
      </c>
      <c r="AL28" s="435">
        <f>'ADJ DETAIL-INPUT'!AM28</f>
        <v>0</v>
      </c>
      <c r="AM28" s="435">
        <f>'ADJ DETAIL-INPUT'!AN28</f>
        <v>1156</v>
      </c>
      <c r="AN28" s="435">
        <f>'ADJ DETAIL-INPUT'!AO28</f>
        <v>0</v>
      </c>
      <c r="AO28" s="435">
        <f>'ADJ DETAIL-INPUT'!AP28</f>
        <v>0</v>
      </c>
      <c r="AP28" s="435">
        <f>'ADJ DETAIL-INPUT'!AQ28</f>
        <v>227</v>
      </c>
      <c r="AQ28" s="435">
        <f>'ADJ DETAIL-INPUT'!AR28</f>
        <v>204</v>
      </c>
      <c r="AR28" s="435">
        <f>'ADJ DETAIL-INPUT'!AS28</f>
        <v>629</v>
      </c>
      <c r="AS28" s="435">
        <f>'ADJ DETAIL-INPUT'!AT28</f>
        <v>0</v>
      </c>
      <c r="AT28" s="435">
        <f>'ADJ DETAIL-INPUT'!AU28</f>
        <v>0</v>
      </c>
      <c r="AU28" s="435">
        <f>'ADJ DETAIL-INPUT'!AV28</f>
        <v>1092</v>
      </c>
      <c r="AV28" s="435">
        <f>'ADJ DETAIL-INPUT'!AW28</f>
        <v>1477</v>
      </c>
      <c r="AW28" s="435">
        <f>'ADJ DETAIL-INPUT'!AX28</f>
        <v>519</v>
      </c>
      <c r="AX28" s="435">
        <f>'ADJ DETAIL-INPUT'!AY28</f>
        <v>-16</v>
      </c>
      <c r="AY28" s="435">
        <f>'ADJ DETAIL-INPUT'!AZ28</f>
        <v>0</v>
      </c>
      <c r="AZ28" s="435">
        <f>'ADJ DETAIL-INPUT'!BC28</f>
        <v>274494</v>
      </c>
      <c r="BA28" s="435">
        <f>'ADJ DETAIL-INPUT'!BD28</f>
        <v>0</v>
      </c>
      <c r="BB28" s="435">
        <f>'ADJ DETAIL-INPUT'!BE28</f>
        <v>274494</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713</v>
      </c>
      <c r="AI31" s="435">
        <f>'ADJ DETAIL-INPUT'!AJ31</f>
        <v>0</v>
      </c>
      <c r="AJ31" s="435">
        <f>'ADJ DETAIL-INPUT'!AK31</f>
        <v>247</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-166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DETAIL-INPUT'!BC31</f>
        <v>30571</v>
      </c>
      <c r="BA31" s="435">
        <f>'ADJ DETAIL-INPUT'!BD31</f>
        <v>0</v>
      </c>
      <c r="BB31" s="435">
        <f>'ADJ DETAIL-INPUT'!BE31</f>
        <v>30571</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-1363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33.757892296792569</v>
      </c>
      <c r="AQ32" s="435">
        <f>'ADJ DETAIL-INPUT'!AR32</f>
        <v>702</v>
      </c>
      <c r="AR32" s="435">
        <f>'ADJ DETAIL-INPUT'!AS32</f>
        <v>80.530647597297119</v>
      </c>
      <c r="AS32" s="435">
        <f>'ADJ DETAIL-INPUT'!AT32</f>
        <v>0</v>
      </c>
      <c r="AT32" s="435">
        <f>'ADJ DETAIL-INPUT'!AU32</f>
        <v>1934</v>
      </c>
      <c r="AU32" s="435">
        <f>'ADJ DETAIL-INPUT'!AV32</f>
        <v>216</v>
      </c>
      <c r="AV32" s="435">
        <f>'ADJ DETAIL-INPUT'!AW32</f>
        <v>0</v>
      </c>
      <c r="AW32" s="435">
        <f>'ADJ DETAIL-INPUT'!AX32</f>
        <v>0</v>
      </c>
      <c r="AX32" s="435">
        <f>'ADJ DETAIL-INPUT'!AY32</f>
        <v>0</v>
      </c>
      <c r="AY32" s="435">
        <f>'ADJ DETAIL-INPUT'!AZ32</f>
        <v>0</v>
      </c>
      <c r="AZ32" s="435">
        <f>'ADJ DETAIL-INPUT'!BC32</f>
        <v>32677.288539894089</v>
      </c>
      <c r="BA32" s="435">
        <f>'ADJ DETAIL-INPUT'!BD32</f>
        <v>0</v>
      </c>
      <c r="BB32" s="435">
        <f>'ADJ DETAIL-INPUT'!BE32</f>
        <v>32677.288539894089</v>
      </c>
    </row>
    <row r="33" spans="1:54" s="424" customFormat="1">
      <c r="A33" s="422">
        <f>'ADJ DETAIL-INPUT'!A34</f>
        <v>15</v>
      </c>
      <c r="C33" s="424" t="str">
        <f>'ADJ DETAIL-INPUT'!C34</f>
        <v xml:space="preserve">Taxes  </v>
      </c>
      <c r="E33" s="454">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1028</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552</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DETAIL-INPUT'!BC34</f>
        <v>29961</v>
      </c>
      <c r="BA33" s="444">
        <f>'ADJ DETAIL-INPUT'!BD34</f>
        <v>0</v>
      </c>
      <c r="BB33" s="444">
        <f>'ADJ DETAIL-INPUT'!BE34</f>
        <v>29961</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-1363</v>
      </c>
      <c r="AC34" s="435">
        <f>'ADJ DETAIL-INPUT'!AD35</f>
        <v>0</v>
      </c>
      <c r="AD34" s="435">
        <f>'ADJ DETAIL-INPUT'!AE35</f>
        <v>0</v>
      </c>
      <c r="AE34" s="435">
        <f>'ADJ DETAIL-INPUT'!AF35</f>
        <v>1028</v>
      </c>
      <c r="AF34" s="435">
        <f>'ADJ DETAIL-INPUT'!AG35</f>
        <v>0</v>
      </c>
      <c r="AG34" s="435">
        <f>'ADJ DETAIL-INPUT'!AH35</f>
        <v>0</v>
      </c>
      <c r="AH34" s="435">
        <f>'ADJ DETAIL-INPUT'!AI35</f>
        <v>713</v>
      </c>
      <c r="AI34" s="435">
        <f>'ADJ DETAIL-INPUT'!AJ35</f>
        <v>0</v>
      </c>
      <c r="AJ34" s="435">
        <f>'ADJ DETAIL-INPUT'!AK35</f>
        <v>247</v>
      </c>
      <c r="AK34" s="435">
        <f>'ADJ DETAIL-INPUT'!AL35</f>
        <v>0</v>
      </c>
      <c r="AL34" s="435">
        <f>'ADJ DETAIL-INPUT'!AM35</f>
        <v>0</v>
      </c>
      <c r="AM34" s="435">
        <f>'ADJ DETAIL-INPUT'!AN35</f>
        <v>552</v>
      </c>
      <c r="AN34" s="435">
        <f>'ADJ DETAIL-INPUT'!AO35</f>
        <v>0</v>
      </c>
      <c r="AO34" s="435">
        <f>'ADJ DETAIL-INPUT'!AP35</f>
        <v>0</v>
      </c>
      <c r="AP34" s="435">
        <f>'ADJ DETAIL-INPUT'!AQ35</f>
        <v>33.757892296792569</v>
      </c>
      <c r="AQ34" s="435">
        <f>'ADJ DETAIL-INPUT'!AR35</f>
        <v>536</v>
      </c>
      <c r="AR34" s="435">
        <f>'ADJ DETAIL-INPUT'!AS35</f>
        <v>80.530647597297119</v>
      </c>
      <c r="AS34" s="435">
        <f>'ADJ DETAIL-INPUT'!AT35</f>
        <v>0</v>
      </c>
      <c r="AT34" s="435">
        <f>'ADJ DETAIL-INPUT'!AU35</f>
        <v>1934</v>
      </c>
      <c r="AU34" s="435">
        <f>'ADJ DETAIL-INPUT'!AV35</f>
        <v>3246</v>
      </c>
      <c r="AV34" s="435">
        <f>'ADJ DETAIL-INPUT'!AW35</f>
        <v>0</v>
      </c>
      <c r="AW34" s="435">
        <f>'ADJ DETAIL-INPUT'!AX35</f>
        <v>0</v>
      </c>
      <c r="AX34" s="435">
        <f>'ADJ DETAIL-INPUT'!AY35</f>
        <v>0</v>
      </c>
      <c r="AY34" s="435">
        <f>'ADJ DETAIL-INPUT'!AZ35</f>
        <v>0</v>
      </c>
      <c r="AZ34" s="435">
        <f>'ADJ DETAIL-INPUT'!BC35</f>
        <v>93209.288539894085</v>
      </c>
      <c r="BA34" s="435">
        <f>'ADJ DETAIL-INPUT'!BD35</f>
        <v>0</v>
      </c>
      <c r="BB34" s="435">
        <f>'ADJ DETAIL-INPUT'!BE35</f>
        <v>93209.288539894085</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89</v>
      </c>
      <c r="AF36" s="435">
        <f>'ADJ DETAIL-INPUT'!AG37</f>
        <v>0</v>
      </c>
      <c r="AG36" s="435">
        <f>'ADJ DETAIL-INPUT'!AH37</f>
        <v>0</v>
      </c>
      <c r="AH36" s="435">
        <f>'ADJ DETAIL-INPUT'!AI37</f>
        <v>315</v>
      </c>
      <c r="AI36" s="435">
        <f>'ADJ DETAIL-INPUT'!AJ37</f>
        <v>0</v>
      </c>
      <c r="AJ36" s="435">
        <f>'ADJ DETAIL-INPUT'!AK37</f>
        <v>112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DETAIL-INPUT'!BC37</f>
        <v>11944</v>
      </c>
      <c r="BA36" s="435">
        <f>'ADJ DETAIL-INPUT'!BD37</f>
        <v>0</v>
      </c>
      <c r="BB36" s="435">
        <f>'ADJ DETAIL-INPUT'!BE37</f>
        <v>11944</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25</v>
      </c>
      <c r="AI37" s="435">
        <f>'ADJ DETAIL-INPUT'!AJ38</f>
        <v>0</v>
      </c>
      <c r="AJ37" s="435">
        <f>'ADJ DETAIL-INPUT'!AK38</f>
        <v>11</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DETAIL-INPUT'!BC38</f>
        <v>1634</v>
      </c>
      <c r="BA37" s="435">
        <f>'ADJ DETAIL-INPUT'!BD38</f>
        <v>0</v>
      </c>
      <c r="BB37" s="435">
        <f>'ADJ DETAIL-INPUT'!BE38</f>
        <v>1634</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DETAIL-INPUT'!BC39</f>
        <v>0</v>
      </c>
      <c r="BA38" s="435">
        <f>'ADJ DETAIL-INPUT'!BD39</f>
        <v>0</v>
      </c>
      <c r="BB38" s="435">
        <f>'ADJ DETAIL-INPUT'!BE39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-372</v>
      </c>
      <c r="N41" s="435">
        <f>'ADJ DETAIL-INPUT'!N42</f>
        <v>51</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753</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53</v>
      </c>
      <c r="AF41" s="435">
        <f>'ADJ DETAIL-INPUT'!AG42</f>
        <v>0</v>
      </c>
      <c r="AG41" s="435">
        <f>'ADJ DETAIL-INPUT'!AH42</f>
        <v>0</v>
      </c>
      <c r="AH41" s="435">
        <f>'ADJ DETAIL-INPUT'!AI42</f>
        <v>1045</v>
      </c>
      <c r="AI41" s="435">
        <f>'ADJ DETAIL-INPUT'!AJ42</f>
        <v>-318</v>
      </c>
      <c r="AJ41" s="435">
        <f>'ADJ DETAIL-INPUT'!AK42</f>
        <v>358</v>
      </c>
      <c r="AK41" s="435">
        <f>'ADJ DETAIL-INPUT'!AL42</f>
        <v>3539</v>
      </c>
      <c r="AL41" s="435">
        <f>'ADJ DETAIL-INPUT'!AM42</f>
        <v>2013</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-2986</v>
      </c>
      <c r="AU41" s="435">
        <f>'ADJ DETAIL-INPUT'!AV42</f>
        <v>0</v>
      </c>
      <c r="AV41" s="435">
        <f>'ADJ DETAIL-INPUT'!AW42</f>
        <v>0</v>
      </c>
      <c r="AW41" s="435">
        <f>'ADJ DETAIL-INPUT'!AX42</f>
        <v>0</v>
      </c>
      <c r="AX41" s="435">
        <f>'ADJ DETAIL-INPUT'!AY42</f>
        <v>0</v>
      </c>
      <c r="AY41" s="435">
        <f>'ADJ DETAIL-INPUT'!AZ42</f>
        <v>0</v>
      </c>
      <c r="AZ41" s="435">
        <f>'ADJ DETAIL-INPUT'!BC42</f>
        <v>58684</v>
      </c>
      <c r="BA41" s="435">
        <f>'ADJ DETAIL-INPUT'!BD42</f>
        <v>0</v>
      </c>
      <c r="BB41" s="435">
        <f>'ADJ DETAIL-INPUT'!BE42</f>
        <v>58684</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1838</v>
      </c>
      <c r="AP42" s="435">
        <f>'ADJ DETAIL-INPUT'!AQ43</f>
        <v>194</v>
      </c>
      <c r="AQ42" s="435">
        <f>'ADJ DETAIL-INPUT'!AR43</f>
        <v>548</v>
      </c>
      <c r="AR42" s="435">
        <f>'ADJ DETAIL-INPUT'!AS43</f>
        <v>0</v>
      </c>
      <c r="AS42" s="435">
        <f>'ADJ DETAIL-INPUT'!AT43</f>
        <v>1965.5</v>
      </c>
      <c r="AT42" s="435">
        <f>'ADJ DETAIL-INPUT'!AU43</f>
        <v>581</v>
      </c>
      <c r="AU42" s="435">
        <f>'ADJ DETAIL-INPUT'!AV43</f>
        <v>0</v>
      </c>
      <c r="AV42" s="435">
        <f>'ADJ DETAIL-INPUT'!AW43</f>
        <v>1319</v>
      </c>
      <c r="AW42" s="435">
        <f>'ADJ DETAIL-INPUT'!AX43</f>
        <v>0</v>
      </c>
      <c r="AX42" s="435">
        <f>'ADJ DETAIL-INPUT'!AY43</f>
        <v>0</v>
      </c>
      <c r="AY42" s="435">
        <f>'ADJ DETAIL-INPUT'!AZ43</f>
        <v>0</v>
      </c>
      <c r="AZ42" s="435">
        <f>'ADJ DETAIL-INPUT'!BC43</f>
        <v>41692.5</v>
      </c>
      <c r="BA42" s="435">
        <f>'ADJ DETAIL-INPUT'!BD43</f>
        <v>0</v>
      </c>
      <c r="BB42" s="435">
        <f>'ADJ DETAIL-INPUT'!BE43</f>
        <v>41692.5</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DETAIL-INPUT'!BC44</f>
        <v>5485</v>
      </c>
      <c r="BA43" s="435">
        <f>'ADJ DETAIL-INPUT'!BD44</f>
        <v>-43788.326073760531</v>
      </c>
      <c r="BB43" s="435">
        <f>'ADJ DETAIL-INPUT'!BE44</f>
        <v>-38303.326073760531</v>
      </c>
    </row>
    <row r="44" spans="1:54" s="424" customFormat="1">
      <c r="A44" s="448">
        <f>'ADJ DETAIL-INPUT'!A45</f>
        <v>23</v>
      </c>
      <c r="C44" s="424" t="str">
        <f>'ADJ DETAIL-INPUT'!C45</f>
        <v xml:space="preserve">Taxes  </v>
      </c>
      <c r="E44" s="454">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DETAIL-INPUT'!BC45</f>
        <v>0</v>
      </c>
      <c r="BA44" s="444">
        <f>'ADJ DETAIL-INPUT'!BD45</f>
        <v>0</v>
      </c>
      <c r="BB44" s="444">
        <f>'ADJ DETAIL-INPUT'!BE45</f>
        <v>0</v>
      </c>
    </row>
    <row r="45" spans="1:54" s="424" customFormat="1">
      <c r="A45" s="422">
        <f>'ADJ DETAIL-INPUT'!A46</f>
        <v>24</v>
      </c>
      <c r="B45" s="424" t="str">
        <f>'ADJ DETAIL-INPUT'!B46</f>
        <v xml:space="preserve">Total Admin. &amp; General  </v>
      </c>
      <c r="E45" s="454">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-372</v>
      </c>
      <c r="N45" s="444">
        <f>'ADJ DETAIL-INPUT'!N46</f>
        <v>51</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753</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53</v>
      </c>
      <c r="AF45" s="444">
        <f>'ADJ DETAIL-INPUT'!AG46</f>
        <v>-779</v>
      </c>
      <c r="AG45" s="444">
        <f>'ADJ DETAIL-INPUT'!AH46</f>
        <v>0</v>
      </c>
      <c r="AH45" s="444">
        <f>'ADJ DETAIL-INPUT'!AI46</f>
        <v>1045</v>
      </c>
      <c r="AI45" s="444">
        <f>'ADJ DETAIL-INPUT'!AJ46</f>
        <v>-318</v>
      </c>
      <c r="AJ45" s="444">
        <f>'ADJ DETAIL-INPUT'!AK46</f>
        <v>358</v>
      </c>
      <c r="AK45" s="444">
        <f>'ADJ DETAIL-INPUT'!AL46</f>
        <v>3539</v>
      </c>
      <c r="AL45" s="444">
        <f>'ADJ DETAIL-INPUT'!AM46</f>
        <v>2013</v>
      </c>
      <c r="AM45" s="444">
        <f>'ADJ DETAIL-INPUT'!AN46</f>
        <v>0</v>
      </c>
      <c r="AN45" s="444">
        <f>'ADJ DETAIL-INPUT'!AO46</f>
        <v>1235</v>
      </c>
      <c r="AO45" s="444">
        <f>'ADJ DETAIL-INPUT'!AP46</f>
        <v>1838</v>
      </c>
      <c r="AP45" s="444">
        <f>'ADJ DETAIL-INPUT'!AQ46</f>
        <v>194</v>
      </c>
      <c r="AQ45" s="444">
        <f>'ADJ DETAIL-INPUT'!AR46</f>
        <v>548</v>
      </c>
      <c r="AR45" s="444">
        <f>'ADJ DETAIL-INPUT'!AS46</f>
        <v>0</v>
      </c>
      <c r="AS45" s="444">
        <f>'ADJ DETAIL-INPUT'!AT46</f>
        <v>1965.5</v>
      </c>
      <c r="AT45" s="444">
        <f>'ADJ DETAIL-INPUT'!AU46</f>
        <v>7728</v>
      </c>
      <c r="AU45" s="444">
        <f>'ADJ DETAIL-INPUT'!AV46</f>
        <v>0</v>
      </c>
      <c r="AV45" s="444">
        <f>'ADJ DETAIL-INPUT'!AW46</f>
        <v>1319</v>
      </c>
      <c r="AW45" s="444">
        <f>'ADJ DETAIL-INPUT'!AX46</f>
        <v>0</v>
      </c>
      <c r="AX45" s="444">
        <f>'ADJ DETAIL-INPUT'!AY46</f>
        <v>0</v>
      </c>
      <c r="AY45" s="444">
        <f>'ADJ DETAIL-INPUT'!AZ46</f>
        <v>0</v>
      </c>
      <c r="AZ45" s="444">
        <f>'ADJ DETAIL-INPUT'!BC46</f>
        <v>105861.5</v>
      </c>
      <c r="BA45" s="444">
        <f>'ADJ DETAIL-INPUT'!BD46</f>
        <v>-43788.326073760531</v>
      </c>
      <c r="BB45" s="444">
        <f>'ADJ DETAIL-INPUT'!BE46</f>
        <v>62073.173926239469</v>
      </c>
    </row>
    <row r="46" spans="1:54" s="424" customFormat="1">
      <c r="A46" s="422">
        <f>'ADJ DETAIL-INPUT'!A47</f>
        <v>25</v>
      </c>
      <c r="B46" s="424" t="str">
        <f>'ADJ DETAIL-INPUT'!B47</f>
        <v xml:space="preserve">Total Electric Expenses  </v>
      </c>
      <c r="E46" s="454">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-372</v>
      </c>
      <c r="N46" s="444">
        <f>'ADJ DETAIL-INPUT'!N47</f>
        <v>51</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753</v>
      </c>
      <c r="W46" s="444">
        <f>'ADJ DETAIL-INPUT'!W47</f>
        <v>0</v>
      </c>
      <c r="X46" s="444">
        <f>'ADJ DETAIL-INPUT'!X47</f>
        <v>381</v>
      </c>
      <c r="Y46" s="444">
        <f>'ADJ DETAIL-INPUT'!Y47</f>
        <v>-5</v>
      </c>
      <c r="Z46" s="444">
        <f>'ADJ DETAIL-INPUT'!Z47</f>
        <v>-926</v>
      </c>
      <c r="AA46" s="444">
        <f>'ADJ DETAIL-INPUT'!AA47</f>
        <v>-50487</v>
      </c>
      <c r="AB46" s="444">
        <f>'ADJ DETAIL-INPUT'!AB47</f>
        <v>1856</v>
      </c>
      <c r="AC46" s="444">
        <f>'ADJ DETAIL-INPUT'!AD47</f>
        <v>5733</v>
      </c>
      <c r="AD46" s="444">
        <f>'ADJ DETAIL-INPUT'!AE47</f>
        <v>-447</v>
      </c>
      <c r="AE46" s="444">
        <f>'ADJ DETAIL-INPUT'!AF47</f>
        <v>1170</v>
      </c>
      <c r="AF46" s="444">
        <f>'ADJ DETAIL-INPUT'!AG47</f>
        <v>-2417</v>
      </c>
      <c r="AG46" s="444">
        <f>'ADJ DETAIL-INPUT'!AH47</f>
        <v>0</v>
      </c>
      <c r="AH46" s="444">
        <f>'ADJ DETAIL-INPUT'!AI47</f>
        <v>3267</v>
      </c>
      <c r="AI46" s="444">
        <f>'ADJ DETAIL-INPUT'!AJ47</f>
        <v>-318</v>
      </c>
      <c r="AJ46" s="444">
        <f>'ADJ DETAIL-INPUT'!AK47</f>
        <v>1120</v>
      </c>
      <c r="AK46" s="444">
        <f>'ADJ DETAIL-INPUT'!AL47</f>
        <v>3539</v>
      </c>
      <c r="AL46" s="444">
        <f>'ADJ DETAIL-INPUT'!AM47</f>
        <v>2013</v>
      </c>
      <c r="AM46" s="444">
        <f>'ADJ DETAIL-INPUT'!AN47</f>
        <v>1708</v>
      </c>
      <c r="AN46" s="444">
        <f>'ADJ DETAIL-INPUT'!AO47</f>
        <v>1332</v>
      </c>
      <c r="AO46" s="444">
        <f>'ADJ DETAIL-INPUT'!AP47</f>
        <v>1838</v>
      </c>
      <c r="AP46" s="444">
        <f>'ADJ DETAIL-INPUT'!AQ47</f>
        <v>454.75789229679253</v>
      </c>
      <c r="AQ46" s="444">
        <f>'ADJ DETAIL-INPUT'!AR47</f>
        <v>1288</v>
      </c>
      <c r="AR46" s="444">
        <f>'ADJ DETAIL-INPUT'!AS47</f>
        <v>709.53064759729716</v>
      </c>
      <c r="AS46" s="444">
        <f>'ADJ DETAIL-INPUT'!AT47</f>
        <v>1965.5</v>
      </c>
      <c r="AT46" s="444">
        <f>'ADJ DETAIL-INPUT'!AU47</f>
        <v>9662</v>
      </c>
      <c r="AU46" s="444">
        <f>'ADJ DETAIL-INPUT'!AV47</f>
        <v>4338</v>
      </c>
      <c r="AV46" s="444">
        <f>'ADJ DETAIL-INPUT'!AW47</f>
        <v>2796</v>
      </c>
      <c r="AW46" s="444">
        <f>'ADJ DETAIL-INPUT'!AX47</f>
        <v>519</v>
      </c>
      <c r="AX46" s="444">
        <f>'ADJ DETAIL-INPUT'!AY47</f>
        <v>-16</v>
      </c>
      <c r="AY46" s="444">
        <f>'ADJ DETAIL-INPUT'!AZ47</f>
        <v>0</v>
      </c>
      <c r="AZ46" s="444">
        <f>'ADJ DETAIL-INPUT'!BC47</f>
        <v>487142.78853989404</v>
      </c>
      <c r="BA46" s="444">
        <f>'ADJ DETAIL-INPUT'!BD47</f>
        <v>-43788.326073760531</v>
      </c>
      <c r="BB46" s="444">
        <f>'ADJ DETAIL-INPUT'!BE47</f>
        <v>443354.46246613353</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372</v>
      </c>
      <c r="N48" s="435">
        <f>'ADJ DETAIL-INPUT'!N49</f>
        <v>-51</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-753</v>
      </c>
      <c r="W48" s="435">
        <f>'ADJ DETAIL-INPUT'!W49</f>
        <v>0</v>
      </c>
      <c r="X48" s="435">
        <f>'ADJ DETAIL-INPUT'!X49</f>
        <v>1359</v>
      </c>
      <c r="Y48" s="435">
        <f>'ADJ DETAIL-INPUT'!Y49</f>
        <v>5</v>
      </c>
      <c r="Z48" s="435">
        <f>'ADJ DETAIL-INPUT'!Z49</f>
        <v>926</v>
      </c>
      <c r="AA48" s="435">
        <f>'ADJ DETAIL-INPUT'!AA49</f>
        <v>-5865</v>
      </c>
      <c r="AB48" s="435">
        <f>'ADJ DETAIL-INPUT'!AB49</f>
        <v>-1856</v>
      </c>
      <c r="AC48" s="435">
        <f>'ADJ DETAIL-INPUT'!AD49</f>
        <v>14583</v>
      </c>
      <c r="AD48" s="435">
        <f>'ADJ DETAIL-INPUT'!AE49</f>
        <v>1105</v>
      </c>
      <c r="AE48" s="435">
        <f>'ADJ DETAIL-INPUT'!AF49</f>
        <v>14861</v>
      </c>
      <c r="AF48" s="435">
        <f>'ADJ DETAIL-INPUT'!AG49</f>
        <v>2417</v>
      </c>
      <c r="AG48" s="435">
        <f>'ADJ DETAIL-INPUT'!AH49</f>
        <v>0</v>
      </c>
      <c r="AH48" s="435">
        <f>'ADJ DETAIL-INPUT'!AI49</f>
        <v>-3267</v>
      </c>
      <c r="AI48" s="435">
        <f>'ADJ DETAIL-INPUT'!AJ49</f>
        <v>318</v>
      </c>
      <c r="AJ48" s="435">
        <f>'ADJ DETAIL-INPUT'!AK49</f>
        <v>-1120</v>
      </c>
      <c r="AK48" s="435">
        <f>'ADJ DETAIL-INPUT'!AL49</f>
        <v>-3539</v>
      </c>
      <c r="AL48" s="435">
        <f>'ADJ DETAIL-INPUT'!AM49</f>
        <v>-2013</v>
      </c>
      <c r="AM48" s="435">
        <f>'ADJ DETAIL-INPUT'!AN49</f>
        <v>-1708</v>
      </c>
      <c r="AN48" s="435">
        <f>'ADJ DETAIL-INPUT'!AO49</f>
        <v>-1332</v>
      </c>
      <c r="AO48" s="435">
        <f>'ADJ DETAIL-INPUT'!AP49</f>
        <v>-1838</v>
      </c>
      <c r="AP48" s="435">
        <f>'ADJ DETAIL-INPUT'!AQ49</f>
        <v>-454.75789229679253</v>
      </c>
      <c r="AQ48" s="435">
        <f>'ADJ DETAIL-INPUT'!AR49</f>
        <v>-1288</v>
      </c>
      <c r="AR48" s="435">
        <f>'ADJ DETAIL-INPUT'!AS49</f>
        <v>-709.53064759729716</v>
      </c>
      <c r="AS48" s="435">
        <f>'ADJ DETAIL-INPUT'!AT49</f>
        <v>-1965.5</v>
      </c>
      <c r="AT48" s="435">
        <f>'ADJ DETAIL-INPUT'!AU49</f>
        <v>-9662</v>
      </c>
      <c r="AU48" s="435">
        <f>'ADJ DETAIL-INPUT'!AV49</f>
        <v>-4338</v>
      </c>
      <c r="AV48" s="435">
        <f>'ADJ DETAIL-INPUT'!AW49</f>
        <v>-2796</v>
      </c>
      <c r="AW48" s="435">
        <f>'ADJ DETAIL-INPUT'!AX49</f>
        <v>-519</v>
      </c>
      <c r="AX48" s="435">
        <f>'ADJ DETAIL-INPUT'!AY49</f>
        <v>16</v>
      </c>
      <c r="AY48" s="435">
        <f>'ADJ DETAIL-INPUT'!AZ49</f>
        <v>0</v>
      </c>
      <c r="AZ48" s="435">
        <f>'ADJ DETAIL-INPUT'!BC49</f>
        <v>114929.2114601059</v>
      </c>
      <c r="BA48" s="435">
        <f>'ADJ DETAIL-INPUT'!BD49</f>
        <v>43788.326073760531</v>
      </c>
      <c r="BB48" s="435">
        <f>'ADJ DETAIL-INPUT'!BE49</f>
        <v>158717.53753386642</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DETAIL-INPUT'!BC51</f>
        <v>0</v>
      </c>
      <c r="BA50" s="435">
        <f>'ADJ DETAIL-INPUT'!BD51</f>
        <v>0</v>
      </c>
      <c r="BB50" s="435">
        <f>'ADJ DETAIL-INPUT'!BE51</f>
        <v>0</v>
      </c>
    </row>
    <row r="51" spans="1:54" s="424" customFormat="1">
      <c r="A51" s="448">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78.11999999999999</v>
      </c>
      <c r="N51" s="435">
        <f>'ADJ DETAIL-INPUT'!N52</f>
        <v>-10.709999999999999</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-158.13</v>
      </c>
      <c r="W51" s="435">
        <f>'ADJ DETAIL-INPUT'!W52</f>
        <v>934</v>
      </c>
      <c r="X51" s="435">
        <f>'ADJ DETAIL-INPUT'!X52</f>
        <v>348</v>
      </c>
      <c r="Y51" s="435">
        <f>'ADJ DETAIL-INPUT'!Y52</f>
        <v>1.05</v>
      </c>
      <c r="Z51" s="435">
        <f>'ADJ DETAIL-INPUT'!Z52</f>
        <v>194.45999999999998</v>
      </c>
      <c r="AA51" s="435">
        <f>'ADJ DETAIL-INPUT'!AA52</f>
        <v>-1231.6499999999999</v>
      </c>
      <c r="AB51" s="435">
        <f>'ADJ DETAIL-INPUT'!AB52</f>
        <v>-389.76</v>
      </c>
      <c r="AC51" s="435">
        <f>'ADJ DETAIL-INPUT'!AD52</f>
        <v>3062.43</v>
      </c>
      <c r="AD51" s="435">
        <f>'ADJ DETAIL-INPUT'!AE52</f>
        <v>232.04999999999998</v>
      </c>
      <c r="AE51" s="435">
        <f>'ADJ DETAIL-INPUT'!AF52</f>
        <v>3120.81</v>
      </c>
      <c r="AF51" s="435">
        <f>'ADJ DETAIL-INPUT'!AG52</f>
        <v>507.57</v>
      </c>
      <c r="AG51" s="435">
        <f>'ADJ DETAIL-INPUT'!AH52</f>
        <v>0</v>
      </c>
      <c r="AH51" s="435">
        <f>'ADJ DETAIL-INPUT'!AI52</f>
        <v>-686.06999999999994</v>
      </c>
      <c r="AI51" s="435">
        <f>'ADJ DETAIL-INPUT'!AJ52</f>
        <v>66.78</v>
      </c>
      <c r="AJ51" s="435">
        <f>'ADJ DETAIL-INPUT'!AK52</f>
        <v>-235.2</v>
      </c>
      <c r="AK51" s="435">
        <f>'ADJ DETAIL-INPUT'!AL52</f>
        <v>-743.18999999999994</v>
      </c>
      <c r="AL51" s="435">
        <f>'ADJ DETAIL-INPUT'!AM52</f>
        <v>-422.72999999999996</v>
      </c>
      <c r="AM51" s="435">
        <f>'ADJ DETAIL-INPUT'!AN52</f>
        <v>-358.68</v>
      </c>
      <c r="AN51" s="435">
        <f>'ADJ DETAIL-INPUT'!AO52</f>
        <v>-279.71999999999997</v>
      </c>
      <c r="AO51" s="435">
        <f>'ADJ DETAIL-INPUT'!AP52</f>
        <v>-385.97999999999996</v>
      </c>
      <c r="AP51" s="435">
        <f>'ADJ DETAIL-INPUT'!AQ52</f>
        <v>-95.49915738232643</v>
      </c>
      <c r="AQ51" s="435">
        <f>'ADJ DETAIL-INPUT'!AR52</f>
        <v>-270.48</v>
      </c>
      <c r="AR51" s="435">
        <f>'ADJ DETAIL-INPUT'!AS52</f>
        <v>-149.00143599543239</v>
      </c>
      <c r="AS51" s="435">
        <f>'ADJ DETAIL-INPUT'!AT52</f>
        <v>-412.755</v>
      </c>
      <c r="AT51" s="435">
        <f>'ADJ DETAIL-INPUT'!AU52</f>
        <v>-2029.02</v>
      </c>
      <c r="AU51" s="435">
        <f>'ADJ DETAIL-INPUT'!AV52</f>
        <v>-910.98</v>
      </c>
      <c r="AV51" s="435">
        <f>'ADJ DETAIL-INPUT'!AW52</f>
        <v>-587.16</v>
      </c>
      <c r="AW51" s="435">
        <f>'ADJ DETAIL-INPUT'!AX52</f>
        <v>-108.99</v>
      </c>
      <c r="AX51" s="435">
        <f>'ADJ DETAIL-INPUT'!AY52</f>
        <v>3.36</v>
      </c>
      <c r="AY51" s="435">
        <f>'ADJ DETAIL-INPUT'!AZ52</f>
        <v>0</v>
      </c>
      <c r="AZ51" s="435">
        <f>'ADJ DETAIL-INPUT'!BC52</f>
        <v>3321.1644066222425</v>
      </c>
      <c r="BA51" s="435">
        <f>'ADJ DETAIL-INPUT'!BD52</f>
        <v>9195.5484754897116</v>
      </c>
      <c r="BB51" s="435">
        <f>'ADJ DETAIL-INPUT'!BE52</f>
        <v>12516.712882111955</v>
      </c>
    </row>
    <row r="52" spans="1:54" s="427" customFormat="1">
      <c r="A52" s="422">
        <f>'ADJ DETAIL-INPUT'!A53</f>
        <v>28</v>
      </c>
      <c r="B52" s="427" t="str">
        <f>'ADJ DETAIL-INPUT'!B53</f>
        <v>Debt Interest</v>
      </c>
      <c r="E52" s="431">
        <f>'ADJ DETAIL-INPUT'!E53</f>
        <v>0</v>
      </c>
      <c r="F52" s="436">
        <f>'ADJ DETAIL-INPUT'!F53</f>
        <v>-0.24477599999999999</v>
      </c>
      <c r="G52" s="436">
        <f>'ADJ DETAIL-INPUT'!G53</f>
        <v>-5.208E-3</v>
      </c>
      <c r="H52" s="436">
        <f>'ADJ DETAIL-INPUT'!H53</f>
        <v>19.540416</v>
      </c>
      <c r="I52" s="436">
        <f>'ADJ DETAIL-INPUT'!I53</f>
        <v>251.483904</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-109.62334295599328</v>
      </c>
      <c r="AC52" s="436">
        <f>'ADJ DETAIL-INPUT'!AD53</f>
        <v>0</v>
      </c>
      <c r="AD52" s="436">
        <f>'ADJ DETAIL-INPUT'!AE53</f>
        <v>0</v>
      </c>
      <c r="AE52" s="436">
        <f>'ADJ DETAIL-INPUT'!AF53</f>
        <v>0</v>
      </c>
      <c r="AF52" s="436">
        <f>'ADJ DETAIL-INPUT'!AG53</f>
        <v>3.989328</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-48.518076826870114</v>
      </c>
      <c r="AP52" s="436">
        <f>'ADJ DETAIL-INPUT'!AQ53</f>
        <v>-121.38558635566942</v>
      </c>
      <c r="AQ52" s="436">
        <f>'ADJ DETAIL-INPUT'!AR53</f>
        <v>-268.40821891873503</v>
      </c>
      <c r="AR52" s="436">
        <f>'ADJ DETAIL-INPUT'!AS53</f>
        <v>-185.32094947477657</v>
      </c>
      <c r="AS52" s="436">
        <f>'ADJ DETAIL-INPUT'!AT53</f>
        <v>-56.693019752577726</v>
      </c>
      <c r="AT52" s="436">
        <f>'ADJ DETAIL-INPUT'!AU53</f>
        <v>-479.98490399999991</v>
      </c>
      <c r="AU52" s="436">
        <f>'ADJ DETAIL-INPUT'!AV53</f>
        <v>-68.360207999999986</v>
      </c>
      <c r="AV52" s="436">
        <f>'ADJ DETAIL-INPUT'!AW53</f>
        <v>-48.736463999999998</v>
      </c>
      <c r="AW52" s="436">
        <f>'ADJ DETAIL-INPUT'!AX53</f>
        <v>81.270839999999993</v>
      </c>
      <c r="AX52" s="436">
        <f>'ADJ DETAIL-INPUT'!AY53</f>
        <v>0</v>
      </c>
      <c r="AY52" s="436">
        <f>'ADJ DETAIL-INPUT'!AZ53</f>
        <v>159.062736</v>
      </c>
      <c r="AZ52" s="436">
        <f>'ADJ DETAIL-INPUT'!BC53</f>
        <v>-871.93353028462218</v>
      </c>
      <c r="BA52" s="436">
        <f>'ADJ DETAIL-INPUT'!BD53</f>
        <v>-92.082647999999992</v>
      </c>
      <c r="BB52" s="436">
        <f>'ADJ DETAIL-INPUT'!BE53</f>
        <v>-964.01617828462213</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-500</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-596</v>
      </c>
      <c r="AX53" s="435">
        <f>'ADJ DETAIL-INPUT'!AY54</f>
        <v>0</v>
      </c>
      <c r="AY53" s="435">
        <f>'ADJ DETAIL-INPUT'!AZ54</f>
        <v>0</v>
      </c>
      <c r="AZ53" s="435">
        <f>'ADJ DETAIL-INPUT'!BC54</f>
        <v>6667</v>
      </c>
      <c r="BA53" s="435">
        <f>'ADJ DETAIL-INPUT'!BD54</f>
        <v>0</v>
      </c>
      <c r="BB53" s="435">
        <f>'ADJ DETAIL-INPUT'!BE54</f>
        <v>6667</v>
      </c>
    </row>
    <row r="54" spans="1:54" s="424" customFormat="1">
      <c r="A54" s="426">
        <f>'ADJ DETAIL-INPUT'!A55</f>
        <v>30</v>
      </c>
      <c r="B54" s="424" t="str">
        <f>'ADJ DETAIL-INPUT'!B55</f>
        <v>Amortized ITC - Noxon</v>
      </c>
      <c r="E54" s="454">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DETAIL-INPUT'!BC55</f>
        <v>-318</v>
      </c>
      <c r="BA54" s="444">
        <f>'ADJ DETAIL-INPUT'!BD55</f>
        <v>0</v>
      </c>
      <c r="BB54" s="444">
        <f>'ADJ DETAIL-INPUT'!BE55</f>
        <v>-318</v>
      </c>
    </row>
    <row r="55" spans="1:54" ht="6.75" customHeight="1"/>
    <row r="56" spans="1:54" s="423" customFormat="1" ht="12.75" thickBot="1">
      <c r="A56" s="425">
        <f>'ADJ DETAIL-INPUT'!A57</f>
        <v>31</v>
      </c>
      <c r="B56" s="423" t="str">
        <f>'ADJ DETAIL-INPUT'!B57</f>
        <v xml:space="preserve">NET OPERATING INCOME  </v>
      </c>
      <c r="E56" s="455">
        <f>'ADJ DETAIL-INPUT'!E57</f>
        <v>115023</v>
      </c>
      <c r="F56" s="456">
        <f>'ADJ DETAIL-INPUT'!F57</f>
        <v>0.24477599999999999</v>
      </c>
      <c r="G56" s="456">
        <f>'ADJ DETAIL-INPUT'!G57</f>
        <v>-45.024792000000005</v>
      </c>
      <c r="H56" s="456">
        <f>'ADJ DETAIL-INPUT'!H57</f>
        <v>-19.540416</v>
      </c>
      <c r="I56" s="456">
        <f>'ADJ DETAIL-INPUT'!I57</f>
        <v>-251.483904</v>
      </c>
      <c r="J56" s="456">
        <f>'ADJ DETAIL-INPUT'!J57</f>
        <v>-63.2</v>
      </c>
      <c r="K56" s="456">
        <f>'ADJ DETAIL-INPUT'!K57</f>
        <v>-790.79</v>
      </c>
      <c r="L56" s="456">
        <f>'ADJ DETAIL-INPUT'!L57</f>
        <v>-1135.23</v>
      </c>
      <c r="M56" s="456">
        <f>'ADJ DETAIL-INPUT'!M57</f>
        <v>293.88</v>
      </c>
      <c r="N56" s="456">
        <f>'ADJ DETAIL-INPUT'!N57</f>
        <v>-40.29</v>
      </c>
      <c r="O56" s="456">
        <f>'ADJ DETAIL-INPUT'!O57</f>
        <v>3</v>
      </c>
      <c r="P56" s="456">
        <f>'ADJ DETAIL-INPUT'!P57</f>
        <v>41.08</v>
      </c>
      <c r="Q56" s="456">
        <f>'ADJ DETAIL-INPUT'!Q57</f>
        <v>-26.86</v>
      </c>
      <c r="R56" s="456">
        <f>'ADJ DETAIL-INPUT'!R57</f>
        <v>45.82</v>
      </c>
      <c r="S56" s="456">
        <f>'ADJ DETAIL-INPUT'!S57</f>
        <v>-619.36</v>
      </c>
      <c r="T56" s="456">
        <f>'ADJ DETAIL-INPUT'!T57</f>
        <v>-1103.6300000000001</v>
      </c>
      <c r="U56" s="456">
        <f>'ADJ DETAIL-INPUT'!U57</f>
        <v>966.96</v>
      </c>
      <c r="V56" s="456">
        <f>'ADJ DETAIL-INPUT'!V57</f>
        <v>-594.87</v>
      </c>
      <c r="W56" s="456">
        <f>'ADJ DETAIL-INPUT'!W57</f>
        <v>-934</v>
      </c>
      <c r="X56" s="456">
        <f>'ADJ DETAIL-INPUT'!X57</f>
        <v>1074</v>
      </c>
      <c r="Y56" s="456">
        <f>'ADJ DETAIL-INPUT'!Y57</f>
        <v>3.95</v>
      </c>
      <c r="Z56" s="456">
        <f>'ADJ DETAIL-INPUT'!Z57</f>
        <v>731.54</v>
      </c>
      <c r="AA56" s="456">
        <f>'ADJ DETAIL-INPUT'!AA57</f>
        <v>-4633.3500000000004</v>
      </c>
      <c r="AB56" s="456">
        <f>'ADJ DETAIL-INPUT'!AB57</f>
        <v>-1356.6166570440068</v>
      </c>
      <c r="AC56" s="456">
        <f>'ADJ DETAIL-INPUT'!AD57</f>
        <v>11520.57</v>
      </c>
      <c r="AD56" s="456">
        <f>'ADJ DETAIL-INPUT'!AE57</f>
        <v>872.95</v>
      </c>
      <c r="AE56" s="456">
        <f>'ADJ DETAIL-INPUT'!AF57</f>
        <v>11740.19</v>
      </c>
      <c r="AF56" s="456">
        <f>'ADJ DETAIL-INPUT'!AG57</f>
        <v>1905.4406719999999</v>
      </c>
      <c r="AG56" s="456">
        <f>'ADJ DETAIL-INPUT'!AH57</f>
        <v>500</v>
      </c>
      <c r="AH56" s="456">
        <f>'ADJ DETAIL-INPUT'!AI57</f>
        <v>-2580.9300000000003</v>
      </c>
      <c r="AI56" s="456">
        <f>'ADJ DETAIL-INPUT'!AJ57</f>
        <v>251.22</v>
      </c>
      <c r="AJ56" s="456">
        <f>'ADJ DETAIL-INPUT'!AK57</f>
        <v>-884.8</v>
      </c>
      <c r="AK56" s="456">
        <f>'ADJ DETAIL-INPUT'!AL57</f>
        <v>-2795.81</v>
      </c>
      <c r="AL56" s="456">
        <f>'ADJ DETAIL-INPUT'!AM57</f>
        <v>-1590.27</v>
      </c>
      <c r="AM56" s="456">
        <f>'ADJ DETAIL-INPUT'!AN57</f>
        <v>-1349.32</v>
      </c>
      <c r="AN56" s="456">
        <f>'ADJ DETAIL-INPUT'!AO57</f>
        <v>-1052.28</v>
      </c>
      <c r="AO56" s="456">
        <f>'ADJ DETAIL-INPUT'!AP57</f>
        <v>-1403.5019231731299</v>
      </c>
      <c r="AP56" s="456">
        <f>'ADJ DETAIL-INPUT'!AQ57</f>
        <v>-237.87314855879669</v>
      </c>
      <c r="AQ56" s="456">
        <f>'ADJ DETAIL-INPUT'!AR57</f>
        <v>-749.11178108126501</v>
      </c>
      <c r="AR56" s="456">
        <f>'ADJ DETAIL-INPUT'!AS57</f>
        <v>-375.20826212708823</v>
      </c>
      <c r="AS56" s="456">
        <f>'ADJ DETAIL-INPUT'!AT57</f>
        <v>-1496.0519802474223</v>
      </c>
      <c r="AT56" s="456">
        <f>'ADJ DETAIL-INPUT'!AU57</f>
        <v>-7152.9950960000006</v>
      </c>
      <c r="AU56" s="456">
        <f>'ADJ DETAIL-INPUT'!AV57</f>
        <v>-3358.6597919999999</v>
      </c>
      <c r="AV56" s="456">
        <f>'ADJ DETAIL-INPUT'!AW57</f>
        <v>-2160.1035360000001</v>
      </c>
      <c r="AW56" s="456">
        <f>'ADJ DETAIL-INPUT'!AX57</f>
        <v>104.71915999999999</v>
      </c>
      <c r="AX56" s="456">
        <f>'ADJ DETAIL-INPUT'!AY57</f>
        <v>12.64</v>
      </c>
      <c r="AY56" s="456">
        <f>'ADJ DETAIL-INPUT'!AZ57</f>
        <v>-159.062736</v>
      </c>
      <c r="AZ56" s="456">
        <f>'ADJ DETAIL-INPUT'!BC57</f>
        <v>106130.98058376829</v>
      </c>
      <c r="BA56" s="456">
        <f>'ADJ DETAIL-INPUT'!BD57</f>
        <v>34684.860246270822</v>
      </c>
      <c r="BB56" s="456">
        <f>'ADJ DETAIL-INPUT'!BE57</f>
        <v>140815.84083003912</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2">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3707.0058892869092</v>
      </c>
      <c r="AP60" s="423">
        <f>'ADJ DETAIL-INPUT'!AQ61</f>
        <v>889.83781946026181</v>
      </c>
      <c r="AQ60" s="423">
        <f>'ADJ DETAIL-INPUT'!AR61</f>
        <v>666.54174046459934</v>
      </c>
      <c r="AR60" s="423">
        <f>'ADJ DETAIL-INPUT'!AS61</f>
        <v>0</v>
      </c>
      <c r="AS60" s="423">
        <f>'ADJ DETAIL-INPUT'!AT61</f>
        <v>7006.253034839986</v>
      </c>
      <c r="AT60" s="423">
        <f>'ADJ DETAIL-INPUT'!AU61</f>
        <v>29775</v>
      </c>
      <c r="AU60" s="423">
        <f>'ADJ DETAIL-INPUT'!AV61</f>
        <v>0</v>
      </c>
      <c r="AV60" s="423">
        <f>'ADJ DETAIL-INPUT'!AW61</f>
        <v>6595</v>
      </c>
      <c r="AW60" s="423">
        <f>'ADJ DETAIL-INPUT'!AX61</f>
        <v>0</v>
      </c>
      <c r="AX60" s="423">
        <f>'ADJ DETAIL-INPUT'!AY61</f>
        <v>0</v>
      </c>
      <c r="AY60" s="423">
        <f>'ADJ DETAIL-INPUT'!AZ61</f>
        <v>0</v>
      </c>
      <c r="AZ60" s="423">
        <f>'ADJ DETAIL-INPUT'!BC61</f>
        <v>231528.7510147905</v>
      </c>
      <c r="BA60" s="423">
        <f>'ADJ DETAIL-INPUT'!BD61</f>
        <v>0</v>
      </c>
      <c r="BB60" s="423">
        <f>'ADJ DETAIL-INPUT'!BE61</f>
        <v>231528.7510147905</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3979.3009999999776</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892.96205503917099</v>
      </c>
      <c r="AQ61" s="435">
        <f>'ADJ DETAIL-INPUT'!AR62</f>
        <v>2151.2624231521027</v>
      </c>
      <c r="AR61" s="435">
        <f>'ADJ DETAIL-INPUT'!AS62</f>
        <v>1685.627062419597</v>
      </c>
      <c r="AS61" s="435">
        <f>'ADJ DETAIL-INPUT'!AT62</f>
        <v>0</v>
      </c>
      <c r="AT61" s="435">
        <f>'ADJ DETAIL-INPUT'!AU62</f>
        <v>0</v>
      </c>
      <c r="AU61" s="435">
        <f>'ADJ DETAIL-INPUT'!AV62</f>
        <v>0</v>
      </c>
      <c r="AV61" s="435">
        <f>'ADJ DETAIL-INPUT'!AW62</f>
        <v>3082</v>
      </c>
      <c r="AW61" s="435">
        <f>'ADJ DETAIL-INPUT'!AX62</f>
        <v>12361</v>
      </c>
      <c r="AX61" s="435">
        <f>'ADJ DETAIL-INPUT'!AY62</f>
        <v>0</v>
      </c>
      <c r="AY61" s="435">
        <f>'ADJ DETAIL-INPUT'!AZ62</f>
        <v>0</v>
      </c>
      <c r="AZ61" s="435">
        <f>'ADJ DETAIL-INPUT'!BC62</f>
        <v>954312.15254061075</v>
      </c>
      <c r="BA61" s="435">
        <f>'ADJ DETAIL-INPUT'!BD62</f>
        <v>0</v>
      </c>
      <c r="BB61" s="435">
        <f>'ADJ DETAIL-INPUT'!BE62</f>
        <v>954312.15254061075</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11460.026663625875</v>
      </c>
      <c r="AQ62" s="435">
        <f>'ADJ DETAIL-INPUT'!AR63</f>
        <v>6758.6792216758859</v>
      </c>
      <c r="AR62" s="435">
        <f>'ADJ DETAIL-INPUT'!AS63</f>
        <v>28736.411278537293</v>
      </c>
      <c r="AS62" s="435">
        <f>'ADJ DETAIL-INPUT'!AT63</f>
        <v>0</v>
      </c>
      <c r="AT62" s="435">
        <f>'ADJ DETAIL-INPUT'!AU63</f>
        <v>0</v>
      </c>
      <c r="AU62" s="435">
        <f>'ADJ DETAIL-INPUT'!AV63</f>
        <v>4729</v>
      </c>
      <c r="AV62" s="435">
        <f>'ADJ DETAIL-INPUT'!AW63</f>
        <v>1098</v>
      </c>
      <c r="AW62" s="435">
        <f>'ADJ DETAIL-INPUT'!AX63</f>
        <v>0</v>
      </c>
      <c r="AX62" s="435">
        <f>'ADJ DETAIL-INPUT'!AY63</f>
        <v>0</v>
      </c>
      <c r="AY62" s="435">
        <f>'ADJ DETAIL-INPUT'!AZ63</f>
        <v>0</v>
      </c>
      <c r="AZ62" s="435">
        <f>'ADJ DETAIL-INPUT'!BC63</f>
        <v>580646.20516383892</v>
      </c>
      <c r="BA62" s="435">
        <f>'ADJ DETAIL-INPUT'!BD63</f>
        <v>0</v>
      </c>
      <c r="BB62" s="435">
        <f>'ADJ DETAIL-INPUT'!BE63</f>
        <v>580646.20516383892</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7509.7858044323584</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1394.7880919880431</v>
      </c>
      <c r="AQ63" s="435">
        <f>'ADJ DETAIL-INPUT'!AR64</f>
        <v>28821.403859163962</v>
      </c>
      <c r="AR63" s="435">
        <f>'ADJ DETAIL-INPUT'!AS64</f>
        <v>3314.5386583809222</v>
      </c>
      <c r="AS63" s="435">
        <f>'ADJ DETAIL-INPUT'!AT64</f>
        <v>0</v>
      </c>
      <c r="AT63" s="435">
        <f>'ADJ DETAIL-INPUT'!AU64</f>
        <v>34773</v>
      </c>
      <c r="AU63" s="435">
        <f>'ADJ DETAIL-INPUT'!AV64</f>
        <v>8807</v>
      </c>
      <c r="AV63" s="435">
        <f>'ADJ DETAIL-INPUT'!AW64</f>
        <v>0</v>
      </c>
      <c r="AW63" s="435">
        <f>'ADJ DETAIL-INPUT'!AX64</f>
        <v>0</v>
      </c>
      <c r="AX63" s="435">
        <f>'ADJ DETAIL-INPUT'!AY64</f>
        <v>0</v>
      </c>
      <c r="AY63" s="435">
        <f>'ADJ DETAIL-INPUT'!AZ64</f>
        <v>0</v>
      </c>
      <c r="AZ63" s="435">
        <f>'ADJ DETAIL-INPUT'!BC64</f>
        <v>1259951.5164139653</v>
      </c>
      <c r="BA63" s="435">
        <f>'ADJ DETAIL-INPUT'!BD64</f>
        <v>0</v>
      </c>
      <c r="BB63" s="435">
        <f>'ADJ DETAIL-INPUT'!BE64</f>
        <v>1259951.5164139653</v>
      </c>
    </row>
    <row r="64" spans="1:54" s="424" customFormat="1">
      <c r="A64" s="425">
        <f>'ADJ DETAIL-INPUT'!A65</f>
        <v>36</v>
      </c>
      <c r="C64" s="424" t="str">
        <f>'ADJ DETAIL-INPUT'!C65</f>
        <v xml:space="preserve">General  </v>
      </c>
      <c r="E64" s="454">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19.45854221586136</v>
      </c>
      <c r="AP64" s="444">
        <f>'ADJ DETAIL-INPUT'!AQ65</f>
        <v>995.37776320046123</v>
      </c>
      <c r="AQ64" s="444">
        <f>'ADJ DETAIL-INPUT'!AR65</f>
        <v>4921.1332209924794</v>
      </c>
      <c r="AR64" s="444">
        <f>'ADJ DETAIL-INPUT'!AS65</f>
        <v>0</v>
      </c>
      <c r="AS64" s="444">
        <f>'ADJ DETAIL-INPUT'!AT65</f>
        <v>-3299.0298068454795</v>
      </c>
      <c r="AT64" s="444">
        <f>'ADJ DETAIL-INPUT'!AU65</f>
        <v>16649</v>
      </c>
      <c r="AU64" s="444">
        <f>'ADJ DETAIL-INPUT'!AV65</f>
        <v>0</v>
      </c>
      <c r="AV64" s="444">
        <f>'ADJ DETAIL-INPUT'!AW65</f>
        <v>0</v>
      </c>
      <c r="AW64" s="444">
        <f>'ADJ DETAIL-INPUT'!AX65</f>
        <v>0</v>
      </c>
      <c r="AX64" s="444">
        <f>'ADJ DETAIL-INPUT'!AY65</f>
        <v>0</v>
      </c>
      <c r="AY64" s="444">
        <f>'ADJ DETAIL-INPUT'!AZ65</f>
        <v>0</v>
      </c>
      <c r="AZ64" s="444">
        <f>'ADJ DETAIL-INPUT'!BC65</f>
        <v>296157.94055153721</v>
      </c>
      <c r="BA64" s="444">
        <f>'ADJ DETAIL-INPUT'!BD65</f>
        <v>0</v>
      </c>
      <c r="BB64" s="444">
        <f>'ADJ DETAIL-INPUT'!BE65</f>
        <v>296157.94055153721</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37148.28816714498</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3726.4644315027704</v>
      </c>
      <c r="AP65" s="435">
        <f>'ADJ DETAIL-INPUT'!AQ66</f>
        <v>15632.992393313812</v>
      </c>
      <c r="AQ65" s="435">
        <f>'ADJ DETAIL-INPUT'!AR66</f>
        <v>43319.02046544903</v>
      </c>
      <c r="AR65" s="435">
        <f>'ADJ DETAIL-INPUT'!AS66</f>
        <v>33736.576999337813</v>
      </c>
      <c r="AS65" s="435">
        <f>'ADJ DETAIL-INPUT'!AT66</f>
        <v>3707.2232279945065</v>
      </c>
      <c r="AT65" s="435">
        <f>'ADJ DETAIL-INPUT'!AU66</f>
        <v>81197</v>
      </c>
      <c r="AU65" s="435">
        <f>'ADJ DETAIL-INPUT'!AV66</f>
        <v>13536</v>
      </c>
      <c r="AV65" s="435">
        <f>'ADJ DETAIL-INPUT'!AW66</f>
        <v>10775</v>
      </c>
      <c r="AW65" s="435">
        <f>'ADJ DETAIL-INPUT'!AX66</f>
        <v>12361</v>
      </c>
      <c r="AX65" s="435">
        <f>'ADJ DETAIL-INPUT'!AY66</f>
        <v>0</v>
      </c>
      <c r="AY65" s="435">
        <f>'ADJ DETAIL-INPUT'!AZ66</f>
        <v>0</v>
      </c>
      <c r="AZ65" s="435">
        <f>'ADJ DETAIL-INPUT'!BC66</f>
        <v>3322596.5656847432</v>
      </c>
      <c r="BA65" s="435">
        <f>'ADJ DETAIL-INPUT'!BD66</f>
        <v>0</v>
      </c>
      <c r="BB65" s="435">
        <f>'ADJ DETAIL-INPUT'!BE66</f>
        <v>3322596.5656847432</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6155.6468319516362</v>
      </c>
      <c r="AP67" s="435">
        <f>'ADJ DETAIL-INPUT'!AQ68</f>
        <v>-27.054455046030782</v>
      </c>
      <c r="AQ67" s="435">
        <f>'ADJ DETAIL-INPUT'!AR68</f>
        <v>-36.683300378007807</v>
      </c>
      <c r="AR67" s="435">
        <f>'ADJ DETAIL-INPUT'!AS68</f>
        <v>0</v>
      </c>
      <c r="AS67" s="435">
        <f>'ADJ DETAIL-INPUT'!AT68</f>
        <v>702.93679030186138</v>
      </c>
      <c r="AT67" s="435">
        <f>'ADJ DETAIL-INPUT'!AU68</f>
        <v>-16192</v>
      </c>
      <c r="AU67" s="435">
        <f>'ADJ DETAIL-INPUT'!AV68</f>
        <v>0</v>
      </c>
      <c r="AV67" s="435">
        <f>'ADJ DETAIL-INPUT'!AW68</f>
        <v>-990</v>
      </c>
      <c r="AW67" s="435">
        <f>'ADJ DETAIL-INPUT'!AX68</f>
        <v>0</v>
      </c>
      <c r="AX67" s="435">
        <f>'ADJ DETAIL-INPUT'!AY68</f>
        <v>0</v>
      </c>
      <c r="AY67" s="435">
        <f>'ADJ DETAIL-INPUT'!AZ68</f>
        <v>0</v>
      </c>
      <c r="AZ67" s="435">
        <f>'ADJ DETAIL-INPUT'!BC68</f>
        <v>-68346.805838013766</v>
      </c>
      <c r="BA67" s="435">
        <f>'ADJ DETAIL-INPUT'!BD68</f>
        <v>0</v>
      </c>
      <c r="BB67" s="435">
        <f>'ADJ DETAIL-INPUT'!BE68</f>
        <v>-68346.805838013766</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-8174.1350000000093</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2659.2445107463291</v>
      </c>
      <c r="AQ68" s="435">
        <f>'ADJ DETAIL-INPUT'!AR69</f>
        <v>406.90994682449718</v>
      </c>
      <c r="AR68" s="435">
        <f>'ADJ DETAIL-INPUT'!AS69</f>
        <v>337.31790495430289</v>
      </c>
      <c r="AS68" s="435">
        <f>'ADJ DETAIL-INPUT'!AT69</f>
        <v>0</v>
      </c>
      <c r="AT68" s="435">
        <f>'ADJ DETAIL-INPUT'!AU69</f>
        <v>0</v>
      </c>
      <c r="AU68" s="435">
        <f>'ADJ DETAIL-INPUT'!AV69</f>
        <v>0</v>
      </c>
      <c r="AV68" s="435">
        <f>'ADJ DETAIL-INPUT'!AW69</f>
        <v>-80</v>
      </c>
      <c r="AW68" s="435">
        <f>'ADJ DETAIL-INPUT'!AX69</f>
        <v>-25563</v>
      </c>
      <c r="AX68" s="435">
        <f>'ADJ DETAIL-INPUT'!AY69</f>
        <v>0</v>
      </c>
      <c r="AY68" s="435">
        <f>'ADJ DETAIL-INPUT'!AZ69</f>
        <v>0</v>
      </c>
      <c r="AZ68" s="435">
        <f>'ADJ DETAIL-INPUT'!BC69</f>
        <v>-412850.66263747489</v>
      </c>
      <c r="BA68" s="435">
        <f>'ADJ DETAIL-INPUT'!BD69</f>
        <v>0</v>
      </c>
      <c r="BB68" s="435">
        <f>'ADJ DETAIL-INPUT'!BE69</f>
        <v>-412850.66263747489</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2685.2414754389533</v>
      </c>
      <c r="AQ69" s="435">
        <f>'ADJ DETAIL-INPUT'!AR70</f>
        <v>760.09193679465375</v>
      </c>
      <c r="AR69" s="435">
        <f>'ADJ DETAIL-INPUT'!AS70</f>
        <v>2084.3588596479944</v>
      </c>
      <c r="AS69" s="435">
        <f>'ADJ DETAIL-INPUT'!AT70</f>
        <v>0</v>
      </c>
      <c r="AT69" s="435">
        <f>'ADJ DETAIL-INPUT'!AU70</f>
        <v>0</v>
      </c>
      <c r="AU69" s="435">
        <f>'ADJ DETAIL-INPUT'!AV70</f>
        <v>-92</v>
      </c>
      <c r="AV69" s="435">
        <f>'ADJ DETAIL-INPUT'!AW70</f>
        <v>-30</v>
      </c>
      <c r="AW69" s="435">
        <f>'ADJ DETAIL-INPUT'!AX70</f>
        <v>0</v>
      </c>
      <c r="AX69" s="435">
        <f>'ADJ DETAIL-INPUT'!AY70</f>
        <v>0</v>
      </c>
      <c r="AY69" s="435">
        <f>'ADJ DETAIL-INPUT'!AZ70</f>
        <v>0</v>
      </c>
      <c r="AZ69" s="435">
        <f>'ADJ DETAIL-INPUT'!BC70</f>
        <v>-145379.03572811838</v>
      </c>
      <c r="BA69" s="435">
        <f>'ADJ DETAIL-INPUT'!BD70</f>
        <v>0</v>
      </c>
      <c r="BB69" s="435">
        <f>'ADJ DETAIL-INPUT'!BE70</f>
        <v>-145379.03572811838</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558.15549731263059</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1366.1552423139219</v>
      </c>
      <c r="AQ70" s="435">
        <f>'ADJ DETAIL-INPUT'!AR71</f>
        <v>4217.6499404820343</v>
      </c>
      <c r="AR70" s="435">
        <f>'ADJ DETAIL-INPUT'!AS71</f>
        <v>483.64590479579215</v>
      </c>
      <c r="AS70" s="435">
        <f>'ADJ DETAIL-INPUT'!AT71</f>
        <v>0</v>
      </c>
      <c r="AT70" s="435">
        <f>'ADJ DETAIL-INPUT'!AU71</f>
        <v>-6933</v>
      </c>
      <c r="AU70" s="435">
        <f>'ADJ DETAIL-INPUT'!AV71</f>
        <v>-152</v>
      </c>
      <c r="AV70" s="435">
        <f>'ADJ DETAIL-INPUT'!AW71</f>
        <v>0</v>
      </c>
      <c r="AW70" s="435">
        <f>'ADJ DETAIL-INPUT'!AX71</f>
        <v>0</v>
      </c>
      <c r="AX70" s="435">
        <f>'ADJ DETAIL-INPUT'!AY71</f>
        <v>0</v>
      </c>
      <c r="AY70" s="435">
        <f>'ADJ DETAIL-INPUT'!AZ71</f>
        <v>0</v>
      </c>
      <c r="AZ70" s="435">
        <f>'ADJ DETAIL-INPUT'!BC71</f>
        <v>-358902.39341509563</v>
      </c>
      <c r="BA70" s="435">
        <f>'ADJ DETAIL-INPUT'!BD71</f>
        <v>0</v>
      </c>
      <c r="BB70" s="435">
        <f>'ADJ DETAIL-INPUT'!BE71</f>
        <v>-358902.39341509563</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-2.0442844086844922</v>
      </c>
      <c r="AP71" s="435">
        <f>'ADJ DETAIL-INPUT'!AQ72</f>
        <v>1700.9450950743028</v>
      </c>
      <c r="AQ71" s="435">
        <f>'ADJ DETAIL-INPUT'!AR72</f>
        <v>4989.6874545173159</v>
      </c>
      <c r="AR71" s="435">
        <f>'ADJ DETAIL-INPUT'!AS72</f>
        <v>0</v>
      </c>
      <c r="AS71" s="435">
        <f>'ADJ DETAIL-INPUT'!AT72</f>
        <v>7006.5964626133355</v>
      </c>
      <c r="AT71" s="435">
        <f>'ADJ DETAIL-INPUT'!AU72</f>
        <v>-4884</v>
      </c>
      <c r="AU71" s="435">
        <f>'ADJ DETAIL-INPUT'!AV72</f>
        <v>0</v>
      </c>
      <c r="AV71" s="435">
        <f>'ADJ DETAIL-INPUT'!AW72</f>
        <v>0</v>
      </c>
      <c r="AW71" s="435">
        <f>'ADJ DETAIL-INPUT'!AX72</f>
        <v>0</v>
      </c>
      <c r="AX71" s="435">
        <f>'ADJ DETAIL-INPUT'!AY72</f>
        <v>0</v>
      </c>
      <c r="AY71" s="435">
        <f>'ADJ DETAIL-INPUT'!AZ72</f>
        <v>0</v>
      </c>
      <c r="AZ71" s="435">
        <f>'ADJ DETAIL-INPUT'!BC72</f>
        <v>-81735.715246412321</v>
      </c>
      <c r="BA71" s="435">
        <f>'ADJ DETAIL-INPUT'!BD72</f>
        <v>0</v>
      </c>
      <c r="BB71" s="435">
        <f>'ADJ DETAIL-INPUT'!BE72</f>
        <v>-81735.715246412321</v>
      </c>
    </row>
    <row r="72" spans="1:54" s="424" customFormat="1">
      <c r="A72" s="425">
        <f>'ADJ DETAIL-INPUT'!A73</f>
        <v>43</v>
      </c>
      <c r="B72" s="424" t="str">
        <f>'ADJ DETAIL-INPUT'!B73</f>
        <v>Total Accumulated Depreciation</v>
      </c>
      <c r="E72" s="453">
        <f>'ADJ DETAIL-INPUT'!E73</f>
        <v>-1038385</v>
      </c>
      <c r="F72" s="453">
        <f>'ADJ DETAIL-INPUT'!F73</f>
        <v>0</v>
      </c>
      <c r="G72" s="453">
        <f>'ADJ DETAIL-INPUT'!G73</f>
        <v>0</v>
      </c>
      <c r="H72" s="453">
        <f>'ADJ DETAIL-INPUT'!H73</f>
        <v>0</v>
      </c>
      <c r="I72" s="453">
        <f>'ADJ DETAIL-INPUT'!I73</f>
        <v>6178</v>
      </c>
      <c r="J72" s="453">
        <f>'ADJ DETAIL-INPUT'!J73</f>
        <v>0</v>
      </c>
      <c r="K72" s="453">
        <f>'ADJ DETAIL-INPUT'!K73</f>
        <v>0</v>
      </c>
      <c r="L72" s="453">
        <f>'ADJ DETAIL-INPUT'!L73</f>
        <v>0</v>
      </c>
      <c r="M72" s="453">
        <f>'ADJ DETAIL-INPUT'!M73</f>
        <v>0</v>
      </c>
      <c r="N72" s="453">
        <f>'ADJ DETAIL-INPUT'!N73</f>
        <v>0</v>
      </c>
      <c r="O72" s="453">
        <f>'ADJ DETAIL-INPUT'!O73</f>
        <v>0</v>
      </c>
      <c r="P72" s="453">
        <f>'ADJ DETAIL-INPUT'!P73</f>
        <v>0</v>
      </c>
      <c r="Q72" s="453">
        <f>'ADJ DETAIL-INPUT'!Q73</f>
        <v>0</v>
      </c>
      <c r="R72" s="453">
        <f>'ADJ DETAIL-INPUT'!R73</f>
        <v>0</v>
      </c>
      <c r="S72" s="453">
        <f>'ADJ DETAIL-INPUT'!S73</f>
        <v>0</v>
      </c>
      <c r="T72" s="453">
        <f>'ADJ DETAIL-INPUT'!T73</f>
        <v>0</v>
      </c>
      <c r="U72" s="453">
        <f>'ADJ DETAIL-INPUT'!U73</f>
        <v>0</v>
      </c>
      <c r="V72" s="453">
        <f>'ADJ DETAIL-INPUT'!V73</f>
        <v>0</v>
      </c>
      <c r="W72" s="453">
        <f>'ADJ DETAIL-INPUT'!W73</f>
        <v>0</v>
      </c>
      <c r="X72" s="453">
        <f>'ADJ DETAIL-INPUT'!X73</f>
        <v>0</v>
      </c>
      <c r="Y72" s="453">
        <f>'ADJ DETAIL-INPUT'!Y73</f>
        <v>0</v>
      </c>
      <c r="Z72" s="453">
        <f>'ADJ DETAIL-INPUT'!Z73</f>
        <v>0</v>
      </c>
      <c r="AA72" s="453">
        <f>'ADJ DETAIL-INPUT'!AA73</f>
        <v>0</v>
      </c>
      <c r="AB72" s="453">
        <f>'ADJ DETAIL-INPUT'!AB73</f>
        <v>-15582.259181739204</v>
      </c>
      <c r="AC72" s="453">
        <f>'ADJ DETAIL-INPUT'!AD73</f>
        <v>0</v>
      </c>
      <c r="AD72" s="453">
        <f>'ADJ DETAIL-INPUT'!AE73</f>
        <v>0</v>
      </c>
      <c r="AE72" s="453">
        <f>'ADJ DETAIL-INPUT'!AF73</f>
        <v>0</v>
      </c>
      <c r="AF72" s="453">
        <f>'ADJ DETAIL-INPUT'!AG73</f>
        <v>0</v>
      </c>
      <c r="AG72" s="453">
        <f>'ADJ DETAIL-INPUT'!AH73</f>
        <v>0</v>
      </c>
      <c r="AH72" s="453">
        <f>'ADJ DETAIL-INPUT'!AI73</f>
        <v>0</v>
      </c>
      <c r="AI72" s="453">
        <f>'ADJ DETAIL-INPUT'!AJ73</f>
        <v>0</v>
      </c>
      <c r="AJ72" s="453">
        <f>'ADJ DETAIL-INPUT'!AK73</f>
        <v>0</v>
      </c>
      <c r="AK72" s="453">
        <f>'ADJ DETAIL-INPUT'!AL73</f>
        <v>0</v>
      </c>
      <c r="AL72" s="453">
        <f>'ADJ DETAIL-INPUT'!AM73</f>
        <v>0</v>
      </c>
      <c r="AM72" s="453">
        <f>'ADJ DETAIL-INPUT'!AN73</f>
        <v>0</v>
      </c>
      <c r="AN72" s="453">
        <f>'ADJ DETAIL-INPUT'!AO73</f>
        <v>0</v>
      </c>
      <c r="AO72" s="453">
        <f>'ADJ DETAIL-INPUT'!AP73</f>
        <v>6153.6025475429515</v>
      </c>
      <c r="AP72" s="453">
        <f>'ADJ DETAIL-INPUT'!AQ73</f>
        <v>8384.531868527476</v>
      </c>
      <c r="AQ72" s="453">
        <f>'ADJ DETAIL-INPUT'!AR73</f>
        <v>10337.655978240493</v>
      </c>
      <c r="AR72" s="453">
        <f>'ADJ DETAIL-INPUT'!AS73</f>
        <v>2905.3226693980896</v>
      </c>
      <c r="AS72" s="453">
        <f>'ADJ DETAIL-INPUT'!AT73</f>
        <v>7709.5332529151965</v>
      </c>
      <c r="AT72" s="453">
        <f>'ADJ DETAIL-INPUT'!AU73</f>
        <v>-28009</v>
      </c>
      <c r="AU72" s="453">
        <f>'ADJ DETAIL-INPUT'!AV73</f>
        <v>-244</v>
      </c>
      <c r="AV72" s="453">
        <f>'ADJ DETAIL-INPUT'!AW73</f>
        <v>-1100</v>
      </c>
      <c r="AW72" s="453">
        <f>'ADJ DETAIL-INPUT'!AX73</f>
        <v>-25563</v>
      </c>
      <c r="AX72" s="453">
        <f>'ADJ DETAIL-INPUT'!AY73</f>
        <v>0</v>
      </c>
      <c r="AY72" s="453">
        <f>'ADJ DETAIL-INPUT'!AZ73</f>
        <v>0</v>
      </c>
      <c r="AZ72" s="453">
        <f>'ADJ DETAIL-INPUT'!BC73</f>
        <v>-1067214.6128651151</v>
      </c>
      <c r="BA72" s="453">
        <f>'ADJ DETAIL-INPUT'!BD73</f>
        <v>0</v>
      </c>
      <c r="BB72" s="453">
        <f>'ADJ DETAIL-INPUT'!BE73</f>
        <v>-1067214.6128651151</v>
      </c>
    </row>
    <row r="73" spans="1:54" s="424" customFormat="1">
      <c r="A73" s="425">
        <f>'ADJ DETAIL-INPUT'!A74</f>
        <v>44</v>
      </c>
      <c r="B73" s="424" t="str">
        <f>'ADJ DETAIL-INPUT'!B74</f>
        <v xml:space="preserve">NET PLANT </v>
      </c>
      <c r="E73" s="453">
        <f>'ADJ DETAIL-INPUT'!E74</f>
        <v>2086740</v>
      </c>
      <c r="F73" s="453">
        <f>'ADJ DETAIL-INPUT'!F74</f>
        <v>0</v>
      </c>
      <c r="G73" s="453">
        <f>'ADJ DETAIL-INPUT'!G74</f>
        <v>0</v>
      </c>
      <c r="H73" s="453">
        <f>'ADJ DETAIL-INPUT'!H74</f>
        <v>0</v>
      </c>
      <c r="I73" s="453">
        <f>'ADJ DETAIL-INPUT'!I74</f>
        <v>-51490</v>
      </c>
      <c r="J73" s="453">
        <f>'ADJ DETAIL-INPUT'!J74</f>
        <v>0</v>
      </c>
      <c r="K73" s="453">
        <f>'ADJ DETAIL-INPUT'!K74</f>
        <v>0</v>
      </c>
      <c r="L73" s="453">
        <f>'ADJ DETAIL-INPUT'!L74</f>
        <v>0</v>
      </c>
      <c r="M73" s="453">
        <f>'ADJ DETAIL-INPUT'!M74</f>
        <v>0</v>
      </c>
      <c r="N73" s="453">
        <f>'ADJ DETAIL-INPUT'!N74</f>
        <v>0</v>
      </c>
      <c r="O73" s="453">
        <f>'ADJ DETAIL-INPUT'!O74</f>
        <v>0</v>
      </c>
      <c r="P73" s="453">
        <f>'ADJ DETAIL-INPUT'!P74</f>
        <v>0</v>
      </c>
      <c r="Q73" s="453">
        <f>'ADJ DETAIL-INPUT'!Q74</f>
        <v>0</v>
      </c>
      <c r="R73" s="453">
        <f>'ADJ DETAIL-INPUT'!R74</f>
        <v>0</v>
      </c>
      <c r="S73" s="453">
        <f>'ADJ DETAIL-INPUT'!S74</f>
        <v>0</v>
      </c>
      <c r="T73" s="453">
        <f>'ADJ DETAIL-INPUT'!T74</f>
        <v>0</v>
      </c>
      <c r="U73" s="453">
        <f>'ADJ DETAIL-INPUT'!U74</f>
        <v>0</v>
      </c>
      <c r="V73" s="453">
        <f>'ADJ DETAIL-INPUT'!V74</f>
        <v>0</v>
      </c>
      <c r="W73" s="453">
        <f>'ADJ DETAIL-INPUT'!W74</f>
        <v>0</v>
      </c>
      <c r="X73" s="453">
        <f>'ADJ DETAIL-INPUT'!X74</f>
        <v>0</v>
      </c>
      <c r="Y73" s="453">
        <f>'ADJ DETAIL-INPUT'!Y74</f>
        <v>0</v>
      </c>
      <c r="Z73" s="453">
        <f>'ADJ DETAIL-INPUT'!Z74</f>
        <v>0</v>
      </c>
      <c r="AA73" s="453">
        <f>'ADJ DETAIL-INPUT'!AA74</f>
        <v>0</v>
      </c>
      <c r="AB73" s="453">
        <f>'ADJ DETAIL-INPUT'!AB74</f>
        <v>21566.028985405777</v>
      </c>
      <c r="AC73" s="453">
        <f>'ADJ DETAIL-INPUT'!AD74</f>
        <v>0</v>
      </c>
      <c r="AD73" s="453">
        <f>'ADJ DETAIL-INPUT'!AE74</f>
        <v>0</v>
      </c>
      <c r="AE73" s="453">
        <f>'ADJ DETAIL-INPUT'!AF74</f>
        <v>0</v>
      </c>
      <c r="AF73" s="453">
        <f>'ADJ DETAIL-INPUT'!AG74</f>
        <v>0</v>
      </c>
      <c r="AG73" s="453">
        <f>'ADJ DETAIL-INPUT'!AH74</f>
        <v>0</v>
      </c>
      <c r="AH73" s="453">
        <f>'ADJ DETAIL-INPUT'!AI74</f>
        <v>0</v>
      </c>
      <c r="AI73" s="453">
        <f>'ADJ DETAIL-INPUT'!AJ74</f>
        <v>0</v>
      </c>
      <c r="AJ73" s="453">
        <f>'ADJ DETAIL-INPUT'!AK74</f>
        <v>0</v>
      </c>
      <c r="AK73" s="453">
        <f>'ADJ DETAIL-INPUT'!AL74</f>
        <v>0</v>
      </c>
      <c r="AL73" s="453">
        <f>'ADJ DETAIL-INPUT'!AM74</f>
        <v>0</v>
      </c>
      <c r="AM73" s="453">
        <f>'ADJ DETAIL-INPUT'!AN74</f>
        <v>0</v>
      </c>
      <c r="AN73" s="453">
        <f>'ADJ DETAIL-INPUT'!AO74</f>
        <v>0</v>
      </c>
      <c r="AO73" s="453">
        <f>'ADJ DETAIL-INPUT'!AP74</f>
        <v>9880.0669790457214</v>
      </c>
      <c r="AP73" s="453">
        <f>'ADJ DETAIL-INPUT'!AQ74</f>
        <v>24017.524261841289</v>
      </c>
      <c r="AQ73" s="453">
        <f>'ADJ DETAIL-INPUT'!AR74</f>
        <v>53656.676443689525</v>
      </c>
      <c r="AR73" s="453">
        <f>'ADJ DETAIL-INPUT'!AS74</f>
        <v>36641.899668735903</v>
      </c>
      <c r="AS73" s="453">
        <f>'ADJ DETAIL-INPUT'!AT74</f>
        <v>11416.756480909702</v>
      </c>
      <c r="AT73" s="453">
        <f>'ADJ DETAIL-INPUT'!AU74</f>
        <v>53188</v>
      </c>
      <c r="AU73" s="453">
        <f>'ADJ DETAIL-INPUT'!AV74</f>
        <v>13292</v>
      </c>
      <c r="AV73" s="453">
        <f>'ADJ DETAIL-INPUT'!AW74</f>
        <v>9675</v>
      </c>
      <c r="AW73" s="453">
        <f>'ADJ DETAIL-INPUT'!AX74</f>
        <v>-13202</v>
      </c>
      <c r="AX73" s="453">
        <f>'ADJ DETAIL-INPUT'!AY74</f>
        <v>0</v>
      </c>
      <c r="AY73" s="453">
        <f>'ADJ DETAIL-INPUT'!AZ74</f>
        <v>0</v>
      </c>
      <c r="AZ73" s="453">
        <f>'ADJ DETAIL-INPUT'!BC74</f>
        <v>2255381.9528196282</v>
      </c>
      <c r="BA73" s="453">
        <f>'ADJ DETAIL-INPUT'!BD74</f>
        <v>0</v>
      </c>
      <c r="BB73" s="453">
        <f>'ADJ DETAIL-INPUT'!BE74</f>
        <v>2255381.9528196282</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-564</v>
      </c>
      <c r="AP75" s="444">
        <f>'ADJ DETAIL-INPUT'!AQ76</f>
        <v>-710</v>
      </c>
      <c r="AQ75" s="444">
        <f>'ADJ DETAIL-INPUT'!AR76</f>
        <v>-2119</v>
      </c>
      <c r="AR75" s="444">
        <f>'ADJ DETAIL-INPUT'!AS76</f>
        <v>-1058</v>
      </c>
      <c r="AS75" s="444">
        <f>'ADJ DETAIL-INPUT'!AT76</f>
        <v>-531</v>
      </c>
      <c r="AT75" s="444">
        <f>'ADJ DETAIL-INPUT'!AU76</f>
        <v>-14370</v>
      </c>
      <c r="AU75" s="444">
        <f>'ADJ DETAIL-INPUT'!AV76</f>
        <v>-166</v>
      </c>
      <c r="AV75" s="444">
        <f>'ADJ DETAIL-INPUT'!AW76</f>
        <v>-317</v>
      </c>
      <c r="AW75" s="444">
        <f>'ADJ DETAIL-INPUT'!AX76</f>
        <v>1863</v>
      </c>
      <c r="AX75" s="444">
        <f>'ADJ DETAIL-INPUT'!AY76</f>
        <v>0</v>
      </c>
      <c r="AY75" s="444">
        <f>'ADJ DETAIL-INPUT'!AZ76</f>
        <v>-30542</v>
      </c>
      <c r="AZ75" s="444">
        <f>'ADJ DETAIL-INPUT'!BC76</f>
        <v>-464571</v>
      </c>
      <c r="BA75" s="444">
        <f>'ADJ DETAIL-INPUT'!BD76</f>
        <v>17681</v>
      </c>
      <c r="BB75" s="444">
        <f>'ADJ DETAIL-INPUT'!BE76</f>
        <v>-446890</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21049.028985405777</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9316.0669790457214</v>
      </c>
      <c r="AP76" s="442">
        <f>'ADJ DETAIL-INPUT'!AQ77</f>
        <v>23307.524261841289</v>
      </c>
      <c r="AQ76" s="442">
        <f>'ADJ DETAIL-INPUT'!AR77</f>
        <v>51537.676443689525</v>
      </c>
      <c r="AR76" s="442">
        <f>'ADJ DETAIL-INPUT'!AS77</f>
        <v>35583.899668735903</v>
      </c>
      <c r="AS76" s="442">
        <f>'ADJ DETAIL-INPUT'!AT77</f>
        <v>10885.756480909702</v>
      </c>
      <c r="AT76" s="442">
        <f>'ADJ DETAIL-INPUT'!AU77</f>
        <v>38818</v>
      </c>
      <c r="AU76" s="442">
        <f>'ADJ DETAIL-INPUT'!AV77</f>
        <v>13126</v>
      </c>
      <c r="AV76" s="442">
        <f>'ADJ DETAIL-INPUT'!AW77</f>
        <v>9358</v>
      </c>
      <c r="AW76" s="442">
        <f>'ADJ DETAIL-INPUT'!AX77</f>
        <v>-11339</v>
      </c>
      <c r="AX76" s="442">
        <f>'ADJ DETAIL-INPUT'!AY77</f>
        <v>0</v>
      </c>
      <c r="AY76" s="442">
        <f>'ADJ DETAIL-INPUT'!AZ77</f>
        <v>-30542</v>
      </c>
      <c r="AZ76" s="442">
        <f>'ADJ DETAIL-INPUT'!BC77</f>
        <v>1790810.9528196282</v>
      </c>
      <c r="BA76" s="442">
        <f>'ADJ DETAIL-INPUT'!BD77</f>
        <v>17681</v>
      </c>
      <c r="BB76" s="442">
        <f>'ADJ DETAIL-INPUT'!BE77</f>
        <v>1808491.9528196282</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53345</v>
      </c>
      <c r="AU77" s="435">
        <f>'ADJ DETAIL-INPUT'!AV78</f>
        <v>0</v>
      </c>
      <c r="AV77" s="435">
        <f>'ADJ DETAIL-INPUT'!AW78</f>
        <v>0</v>
      </c>
      <c r="AW77" s="435">
        <f>'ADJ DETAIL-INPUT'!AX78</f>
        <v>-4266</v>
      </c>
      <c r="AX77" s="435">
        <f>'ADJ DETAIL-INPUT'!AY78</f>
        <v>0</v>
      </c>
      <c r="AY77" s="435">
        <f>'ADJ DETAIL-INPUT'!AZ78</f>
        <v>0</v>
      </c>
      <c r="AZ77" s="435">
        <f>'ADJ DETAIL-INPUT'!BC78</f>
        <v>46036</v>
      </c>
      <c r="BA77" s="435">
        <f>'ADJ DETAIL-INPUT'!BD78</f>
        <v>0</v>
      </c>
      <c r="BB77" s="435">
        <f>'ADJ DETAIL-INPUT'!BE78</f>
        <v>46036</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DETAIL-INPUT'!BC79</f>
        <v>40710</v>
      </c>
      <c r="BA78" s="444">
        <f>'ADJ DETAIL-INPUT'!BD79</f>
        <v>0</v>
      </c>
      <c r="BB78" s="444">
        <f>'ADJ DETAIL-INPUT'!BE79</f>
        <v>40710</v>
      </c>
    </row>
    <row r="79" spans="1:54" s="424" customFormat="1" ht="6.75" customHeight="1">
      <c r="A79" s="426"/>
      <c r="E79" s="453">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DETAIL-INPUT'!BC80</f>
        <v>0</v>
      </c>
      <c r="BA79" s="435">
        <f>'ADJ DETAIL-INPUT'!BD80</f>
        <v>0</v>
      </c>
      <c r="BB79" s="435">
        <f>'ADJ DETAIL-INPUT'!BE80</f>
        <v>0</v>
      </c>
    </row>
    <row r="80" spans="1:54" s="423" customFormat="1" ht="12.75" thickBot="1">
      <c r="A80" s="422">
        <f>'ADJ DETAIL-INPUT'!A81</f>
        <v>49</v>
      </c>
      <c r="B80" s="423" t="str">
        <f>'ADJ DETAIL-INPUT'!B81</f>
        <v xml:space="preserve">TOTAL RATE BASE  </v>
      </c>
      <c r="E80" s="455">
        <f>'ADJ DETAIL-INPUT'!E81</f>
        <v>1710135</v>
      </c>
      <c r="F80" s="455">
        <f>'ADJ DETAIL-INPUT'!F81</f>
        <v>47</v>
      </c>
      <c r="G80" s="455">
        <f>'ADJ DETAIL-INPUT'!G81</f>
        <v>1</v>
      </c>
      <c r="H80" s="455">
        <f>'ADJ DETAIL-INPUT'!H81</f>
        <v>-3752</v>
      </c>
      <c r="I80" s="455">
        <f>'ADJ DETAIL-INPUT'!I81</f>
        <v>-48288</v>
      </c>
      <c r="J80" s="455">
        <f>'ADJ DETAIL-INPUT'!J81</f>
        <v>0</v>
      </c>
      <c r="K80" s="455">
        <f>'ADJ DETAIL-INPUT'!K81</f>
        <v>0</v>
      </c>
      <c r="L80" s="455">
        <f>'ADJ DETAIL-INPUT'!L81</f>
        <v>0</v>
      </c>
      <c r="M80" s="455">
        <f>'ADJ DETAIL-INPUT'!M81</f>
        <v>0</v>
      </c>
      <c r="N80" s="455">
        <f>'ADJ DETAIL-INPUT'!N81</f>
        <v>0</v>
      </c>
      <c r="O80" s="455">
        <f>'ADJ DETAIL-INPUT'!O81</f>
        <v>0</v>
      </c>
      <c r="P80" s="455">
        <f>'ADJ DETAIL-INPUT'!P81</f>
        <v>0</v>
      </c>
      <c r="Q80" s="455">
        <f>'ADJ DETAIL-INPUT'!Q81</f>
        <v>0</v>
      </c>
      <c r="R80" s="455">
        <f>'ADJ DETAIL-INPUT'!R81</f>
        <v>0</v>
      </c>
      <c r="S80" s="455">
        <f>'ADJ DETAIL-INPUT'!S81</f>
        <v>0</v>
      </c>
      <c r="T80" s="455">
        <f>'ADJ DETAIL-INPUT'!T81</f>
        <v>0</v>
      </c>
      <c r="U80" s="455">
        <f>'ADJ DETAIL-INPUT'!U81</f>
        <v>0</v>
      </c>
      <c r="V80" s="455">
        <f>'ADJ DETAIL-INPUT'!V81</f>
        <v>0</v>
      </c>
      <c r="W80" s="455">
        <f>'ADJ DETAIL-INPUT'!W81</f>
        <v>0</v>
      </c>
      <c r="X80" s="455">
        <f>'ADJ DETAIL-INPUT'!X81</f>
        <v>0</v>
      </c>
      <c r="Y80" s="455">
        <f>'ADJ DETAIL-INPUT'!Y81</f>
        <v>0</v>
      </c>
      <c r="Z80" s="455">
        <f>'ADJ DETAIL-INPUT'!Z81</f>
        <v>0</v>
      </c>
      <c r="AA80" s="455">
        <f>'ADJ DETAIL-INPUT'!AA81</f>
        <v>0</v>
      </c>
      <c r="AB80" s="455">
        <f>'ADJ DETAIL-INPUT'!AB81</f>
        <v>21049.028985405777</v>
      </c>
      <c r="AC80" s="455">
        <f>'ADJ DETAIL-INPUT'!AD81</f>
        <v>0</v>
      </c>
      <c r="AD80" s="455">
        <f>'ADJ DETAIL-INPUT'!AE81</f>
        <v>0</v>
      </c>
      <c r="AE80" s="455">
        <f>'ADJ DETAIL-INPUT'!AF81</f>
        <v>0</v>
      </c>
      <c r="AF80" s="455">
        <f>'ADJ DETAIL-INPUT'!AG81</f>
        <v>-766</v>
      </c>
      <c r="AG80" s="455">
        <f>'ADJ DETAIL-INPUT'!AH81</f>
        <v>0</v>
      </c>
      <c r="AH80" s="455">
        <f>'ADJ DETAIL-INPUT'!AI81</f>
        <v>0</v>
      </c>
      <c r="AI80" s="455">
        <f>'ADJ DETAIL-INPUT'!AJ81</f>
        <v>0</v>
      </c>
      <c r="AJ80" s="455">
        <f>'ADJ DETAIL-INPUT'!AK81</f>
        <v>0</v>
      </c>
      <c r="AK80" s="455">
        <f>'ADJ DETAIL-INPUT'!AL81</f>
        <v>0</v>
      </c>
      <c r="AL80" s="455">
        <f>'ADJ DETAIL-INPUT'!AM81</f>
        <v>0</v>
      </c>
      <c r="AM80" s="455">
        <f>'ADJ DETAIL-INPUT'!AN81</f>
        <v>0</v>
      </c>
      <c r="AN80" s="455">
        <f>'ADJ DETAIL-INPUT'!AO81</f>
        <v>0</v>
      </c>
      <c r="AO80" s="455">
        <f>'ADJ DETAIL-INPUT'!AP81</f>
        <v>9316.0669790457214</v>
      </c>
      <c r="AP80" s="455">
        <f>'ADJ DETAIL-INPUT'!AQ81</f>
        <v>23307.524261841289</v>
      </c>
      <c r="AQ80" s="455">
        <f>'ADJ DETAIL-INPUT'!AR81</f>
        <v>51537.676443689525</v>
      </c>
      <c r="AR80" s="455">
        <f>'ADJ DETAIL-INPUT'!AS81</f>
        <v>35583.899668735903</v>
      </c>
      <c r="AS80" s="455">
        <f>'ADJ DETAIL-INPUT'!AT81</f>
        <v>10885.756480909702</v>
      </c>
      <c r="AT80" s="455">
        <f>'ADJ DETAIL-INPUT'!AU81</f>
        <v>92163</v>
      </c>
      <c r="AU80" s="455">
        <f>'ADJ DETAIL-INPUT'!AV81</f>
        <v>13126</v>
      </c>
      <c r="AV80" s="455">
        <f>'ADJ DETAIL-INPUT'!AW81</f>
        <v>9358</v>
      </c>
      <c r="AW80" s="455">
        <f>'ADJ DETAIL-INPUT'!AX81</f>
        <v>-15605</v>
      </c>
      <c r="AX80" s="455">
        <f>'ADJ DETAIL-INPUT'!AY81</f>
        <v>0</v>
      </c>
      <c r="AY80" s="455">
        <f>'ADJ DETAIL-INPUT'!AZ81</f>
        <v>-30542</v>
      </c>
      <c r="AZ80" s="455">
        <f>'ADJ DETAIL-INPUT'!BC81</f>
        <v>1877556.9528196282</v>
      </c>
      <c r="BA80" s="455">
        <f>'ADJ DETAIL-INPUT'!BD81</f>
        <v>17681</v>
      </c>
      <c r="BB80" s="455">
        <f>'ADJ DETAIL-INPUT'!BE81</f>
        <v>1895237.9528196282</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16" workbookViewId="0">
      <selection activeCell="E41" sqref="E41"/>
    </sheetView>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
        <v>736</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694</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718</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694</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61">
        <f>SUM(G431:G432)</f>
        <v>0</v>
      </c>
      <c r="H68" s="271"/>
      <c r="I68" s="276"/>
      <c r="J68" s="276"/>
      <c r="K68" s="276"/>
    </row>
    <row r="69" spans="1:16">
      <c r="A69" s="265">
        <v>39</v>
      </c>
      <c r="B69" s="267" t="s">
        <v>109</v>
      </c>
      <c r="E69" s="276">
        <f>F69+G69</f>
        <v>-382437</v>
      </c>
      <c r="F69" s="276">
        <f>SUM(F421:F423)</f>
        <v>-382437</v>
      </c>
      <c r="G69" s="561">
        <f>SUM(G422:G424)</f>
        <v>0</v>
      </c>
      <c r="H69" s="271"/>
      <c r="I69" s="276"/>
      <c r="J69" s="276"/>
      <c r="K69" s="276"/>
    </row>
    <row r="70" spans="1:16">
      <c r="A70" s="265">
        <v>40</v>
      </c>
      <c r="B70" s="267" t="s">
        <v>110</v>
      </c>
      <c r="E70" s="276">
        <f>F70+G70</f>
        <v>-147016</v>
      </c>
      <c r="F70" s="276">
        <f>SUM(F424)</f>
        <v>-147016</v>
      </c>
      <c r="G70" s="561">
        <f>SUM(G425)</f>
        <v>0</v>
      </c>
      <c r="H70" s="271"/>
      <c r="I70" s="276"/>
      <c r="J70" s="276"/>
      <c r="K70" s="276"/>
    </row>
    <row r="71" spans="1:16">
      <c r="A71" s="265">
        <v>41</v>
      </c>
      <c r="B71" s="267" t="s">
        <v>111</v>
      </c>
      <c r="E71" s="276">
        <f>F71+G71</f>
        <v>-358989</v>
      </c>
      <c r="F71" s="276">
        <f>SUM(F425)</f>
        <v>-358989</v>
      </c>
      <c r="G71" s="561">
        <f>SUM(G426)</f>
        <v>0</v>
      </c>
      <c r="H71" s="271"/>
      <c r="I71" s="276"/>
      <c r="J71" s="276"/>
      <c r="K71" s="276"/>
    </row>
    <row r="72" spans="1:16">
      <c r="A72" s="265">
        <v>42</v>
      </c>
      <c r="B72" s="267" t="s">
        <v>112</v>
      </c>
      <c r="E72" s="275">
        <f>F72+G72</f>
        <v>-92865</v>
      </c>
      <c r="F72" s="275">
        <f>SUM(F426,F434)</f>
        <v>-92865</v>
      </c>
      <c r="G72" s="562">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632</v>
      </c>
      <c r="C98" s="296"/>
      <c r="F98" s="264">
        <f t="shared" si="4"/>
        <v>0</v>
      </c>
      <c r="G98" s="264">
        <v>0</v>
      </c>
      <c r="H98" s="264">
        <v>0</v>
      </c>
      <c r="M98" s="393"/>
      <c r="N98" s="397"/>
    </row>
    <row r="99" spans="1:14" ht="15.75">
      <c r="A99" s="394">
        <v>449110</v>
      </c>
      <c r="B99" s="393" t="s">
        <v>695</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696</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697</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633</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633</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95">
        <v>21925315</v>
      </c>
      <c r="M187" s="393"/>
    </row>
    <row r="188" spans="1:14" ht="15.75">
      <c r="A188" s="295"/>
      <c r="B188" s="297" t="s">
        <v>342</v>
      </c>
      <c r="C188" s="296"/>
      <c r="F188" s="264">
        <f t="shared" ref="F188:F229" si="6">ROUND(H188/1000,0)</f>
        <v>9925</v>
      </c>
      <c r="G188" s="264">
        <v>0</v>
      </c>
      <c r="H188" s="695">
        <v>9924612</v>
      </c>
      <c r="M188" s="393"/>
    </row>
    <row r="189" spans="1:14" ht="15.75">
      <c r="A189" s="302"/>
      <c r="B189" s="300" t="s">
        <v>343</v>
      </c>
      <c r="C189" s="301"/>
      <c r="F189" s="264">
        <f t="shared" si="6"/>
        <v>749</v>
      </c>
      <c r="G189" s="264">
        <v>0</v>
      </c>
      <c r="H189" s="695">
        <v>749272</v>
      </c>
      <c r="M189" s="396"/>
    </row>
    <row r="190" spans="1:14" ht="15.75">
      <c r="A190" s="302"/>
      <c r="B190" s="297" t="s">
        <v>598</v>
      </c>
      <c r="C190" s="301"/>
      <c r="F190" s="264">
        <f t="shared" si="6"/>
        <v>-152</v>
      </c>
      <c r="G190" s="264">
        <v>0</v>
      </c>
      <c r="H190" s="695">
        <v>-152192</v>
      </c>
      <c r="M190" s="393"/>
    </row>
    <row r="191" spans="1:14" ht="15.75">
      <c r="A191" s="298">
        <v>403027</v>
      </c>
      <c r="B191" s="393" t="s">
        <v>719</v>
      </c>
      <c r="C191" s="301"/>
      <c r="F191" s="264">
        <f t="shared" si="6"/>
        <v>0</v>
      </c>
      <c r="G191" s="264">
        <v>0</v>
      </c>
      <c r="H191" s="695">
        <v>0</v>
      </c>
      <c r="M191" s="393"/>
    </row>
    <row r="192" spans="1:14" ht="15.75">
      <c r="A192" s="298">
        <v>405930</v>
      </c>
      <c r="B192" s="297" t="s">
        <v>344</v>
      </c>
      <c r="C192" s="296"/>
      <c r="F192" s="264">
        <f t="shared" si="6"/>
        <v>1633</v>
      </c>
      <c r="G192" s="264">
        <v>0</v>
      </c>
      <c r="H192" s="695">
        <v>1632961</v>
      </c>
      <c r="M192" s="393"/>
    </row>
    <row r="193" spans="1:13" ht="15.75">
      <c r="A193" s="298">
        <v>406100</v>
      </c>
      <c r="B193" s="297" t="s">
        <v>345</v>
      </c>
      <c r="C193" s="296"/>
      <c r="F193" s="264">
        <f t="shared" si="6"/>
        <v>32</v>
      </c>
      <c r="G193" s="264">
        <v>0</v>
      </c>
      <c r="H193" s="695">
        <v>31743</v>
      </c>
      <c r="M193" s="393"/>
    </row>
    <row r="194" spans="1:13" ht="15.75">
      <c r="A194" s="298">
        <v>407312</v>
      </c>
      <c r="B194" s="297" t="s">
        <v>346</v>
      </c>
      <c r="C194" s="296"/>
      <c r="F194" s="264">
        <f t="shared" si="6"/>
        <v>0</v>
      </c>
      <c r="G194" s="264">
        <v>0</v>
      </c>
      <c r="H194" s="695">
        <v>0</v>
      </c>
      <c r="M194" s="393"/>
    </row>
    <row r="195" spans="1:13" ht="15.75">
      <c r="A195" s="395">
        <v>407320</v>
      </c>
      <c r="B195" s="396" t="s">
        <v>636</v>
      </c>
      <c r="C195" s="296"/>
      <c r="F195" s="264">
        <f t="shared" si="6"/>
        <v>0</v>
      </c>
      <c r="G195" s="264">
        <v>0</v>
      </c>
      <c r="H195" s="695">
        <v>0</v>
      </c>
      <c r="M195" s="396"/>
    </row>
    <row r="196" spans="1:13" ht="15.75">
      <c r="A196" s="299">
        <v>407322</v>
      </c>
      <c r="B196" s="300" t="s">
        <v>347</v>
      </c>
      <c r="C196" s="301"/>
      <c r="F196" s="264">
        <f t="shared" si="6"/>
        <v>73</v>
      </c>
      <c r="G196" s="264">
        <v>0</v>
      </c>
      <c r="H196" s="695">
        <v>72939</v>
      </c>
      <c r="M196" s="396"/>
    </row>
    <row r="197" spans="1:13" ht="15.75">
      <c r="A197" s="299">
        <v>407324</v>
      </c>
      <c r="B197" s="300" t="s">
        <v>348</v>
      </c>
      <c r="C197" s="301"/>
      <c r="F197" s="264">
        <f t="shared" si="6"/>
        <v>142</v>
      </c>
      <c r="G197" s="264">
        <v>0</v>
      </c>
      <c r="H197" s="695">
        <v>142345</v>
      </c>
      <c r="M197" s="396"/>
    </row>
    <row r="198" spans="1:13" ht="15.75">
      <c r="A198" s="299">
        <v>407326</v>
      </c>
      <c r="B198" s="300" t="s">
        <v>640</v>
      </c>
      <c r="C198" s="301"/>
      <c r="F198" s="264">
        <f t="shared" si="6"/>
        <v>0</v>
      </c>
      <c r="G198" s="264">
        <v>0</v>
      </c>
      <c r="H198" s="695">
        <v>0</v>
      </c>
      <c r="M198" s="396"/>
    </row>
    <row r="199" spans="1:13" ht="15.75">
      <c r="A199" s="299">
        <v>407327</v>
      </c>
      <c r="B199" s="396" t="s">
        <v>720</v>
      </c>
      <c r="C199" s="301"/>
      <c r="F199" s="264">
        <f t="shared" si="6"/>
        <v>0</v>
      </c>
      <c r="G199" s="264">
        <v>0</v>
      </c>
      <c r="H199" s="695">
        <v>0</v>
      </c>
      <c r="M199" s="396"/>
    </row>
    <row r="200" spans="1:13" ht="15.75">
      <c r="A200" s="299">
        <v>407331</v>
      </c>
      <c r="B200" s="300" t="s">
        <v>599</v>
      </c>
      <c r="C200" s="301"/>
      <c r="F200" s="264">
        <f t="shared" si="6"/>
        <v>0</v>
      </c>
      <c r="G200" s="264">
        <v>0</v>
      </c>
      <c r="H200" s="695">
        <v>0</v>
      </c>
      <c r="M200" s="396"/>
    </row>
    <row r="201" spans="1:13" ht="15.75">
      <c r="A201" s="299">
        <v>407333</v>
      </c>
      <c r="B201" s="300" t="s">
        <v>600</v>
      </c>
      <c r="C201" s="301"/>
      <c r="F201" s="264">
        <f t="shared" si="6"/>
        <v>21</v>
      </c>
      <c r="G201" s="264">
        <v>0</v>
      </c>
      <c r="H201" s="695">
        <v>21477</v>
      </c>
      <c r="M201" s="396"/>
    </row>
    <row r="202" spans="1:13" ht="15.75">
      <c r="A202" s="299">
        <v>407335</v>
      </c>
      <c r="B202" s="300" t="s">
        <v>349</v>
      </c>
      <c r="C202" s="296"/>
      <c r="F202" s="264">
        <f t="shared" si="6"/>
        <v>0</v>
      </c>
      <c r="G202" s="264">
        <v>0</v>
      </c>
      <c r="H202" s="695">
        <v>0</v>
      </c>
      <c r="M202" s="396"/>
    </row>
    <row r="203" spans="1:13" ht="15.75">
      <c r="A203" s="298">
        <v>407350</v>
      </c>
      <c r="B203" s="297" t="s">
        <v>601</v>
      </c>
      <c r="C203" s="296"/>
      <c r="F203" s="264">
        <f t="shared" si="6"/>
        <v>0</v>
      </c>
      <c r="G203" s="264">
        <v>0</v>
      </c>
      <c r="H203" s="695">
        <v>0</v>
      </c>
      <c r="M203" s="393"/>
    </row>
    <row r="204" spans="1:13" ht="15.75">
      <c r="A204" s="298">
        <v>407351</v>
      </c>
      <c r="B204" s="297" t="s">
        <v>350</v>
      </c>
      <c r="C204" s="301"/>
      <c r="F204" s="264">
        <f t="shared" si="6"/>
        <v>0</v>
      </c>
      <c r="G204" s="264">
        <v>0</v>
      </c>
      <c r="H204" s="695">
        <v>0</v>
      </c>
      <c r="M204" s="393"/>
    </row>
    <row r="205" spans="1:13" ht="15.75">
      <c r="A205" s="298">
        <v>407360</v>
      </c>
      <c r="B205" s="297" t="s">
        <v>602</v>
      </c>
      <c r="C205" s="301"/>
      <c r="F205" s="264">
        <f t="shared" si="6"/>
        <v>0</v>
      </c>
      <c r="G205" s="264">
        <v>0</v>
      </c>
      <c r="H205" s="695">
        <v>0</v>
      </c>
      <c r="M205" s="393"/>
    </row>
    <row r="206" spans="1:13" ht="15.75">
      <c r="A206" s="298">
        <v>407362</v>
      </c>
      <c r="B206" s="297" t="s">
        <v>603</v>
      </c>
      <c r="C206" s="301"/>
      <c r="F206" s="264">
        <f t="shared" si="6"/>
        <v>0</v>
      </c>
      <c r="G206" s="264">
        <v>0</v>
      </c>
      <c r="H206" s="695">
        <v>0</v>
      </c>
      <c r="M206" s="393"/>
    </row>
    <row r="207" spans="1:13" ht="15.75">
      <c r="A207" s="298">
        <v>407365</v>
      </c>
      <c r="B207" s="297" t="s">
        <v>604</v>
      </c>
      <c r="C207" s="301"/>
      <c r="F207" s="264">
        <f t="shared" si="6"/>
        <v>0</v>
      </c>
      <c r="G207" s="264">
        <v>0</v>
      </c>
      <c r="H207" s="695">
        <v>0</v>
      </c>
      <c r="M207" s="393"/>
    </row>
    <row r="208" spans="1:13" ht="15.75">
      <c r="A208" s="298">
        <v>407368</v>
      </c>
      <c r="B208" s="297" t="s">
        <v>660</v>
      </c>
      <c r="C208" s="301"/>
      <c r="F208" s="264">
        <f t="shared" si="6"/>
        <v>0</v>
      </c>
      <c r="H208" s="695">
        <v>0</v>
      </c>
      <c r="M208" s="393"/>
    </row>
    <row r="209" spans="1:13" ht="15.75">
      <c r="A209" s="298">
        <v>407380</v>
      </c>
      <c r="B209" s="297" t="s">
        <v>351</v>
      </c>
      <c r="C209" s="301"/>
      <c r="F209" s="264">
        <f t="shared" si="6"/>
        <v>0</v>
      </c>
      <c r="G209" s="264">
        <v>0</v>
      </c>
      <c r="H209" s="695">
        <v>0</v>
      </c>
      <c r="M209" s="393"/>
    </row>
    <row r="210" spans="1:13" ht="15.75">
      <c r="A210" s="299">
        <v>407382</v>
      </c>
      <c r="B210" s="300" t="s">
        <v>352</v>
      </c>
      <c r="C210" s="301"/>
      <c r="F210" s="264">
        <f t="shared" si="6"/>
        <v>580</v>
      </c>
      <c r="G210" s="264">
        <v>0</v>
      </c>
      <c r="H210" s="695">
        <v>580314</v>
      </c>
      <c r="M210" s="396"/>
    </row>
    <row r="211" spans="1:13" ht="15.75">
      <c r="A211" s="299">
        <v>407382</v>
      </c>
      <c r="B211" s="300" t="s">
        <v>353</v>
      </c>
      <c r="C211" s="301"/>
      <c r="F211" s="264">
        <f t="shared" si="6"/>
        <v>152</v>
      </c>
      <c r="G211" s="264">
        <v>0</v>
      </c>
      <c r="H211" s="695">
        <v>152118</v>
      </c>
      <c r="M211" s="396"/>
    </row>
    <row r="212" spans="1:13" ht="15.75">
      <c r="A212" s="395">
        <v>407391</v>
      </c>
      <c r="B212" s="396" t="s">
        <v>640</v>
      </c>
      <c r="C212" s="301"/>
      <c r="F212" s="264">
        <f t="shared" si="6"/>
        <v>0</v>
      </c>
      <c r="G212" s="264">
        <v>0</v>
      </c>
      <c r="H212" s="695">
        <v>0</v>
      </c>
      <c r="M212" s="396"/>
    </row>
    <row r="213" spans="1:13" ht="15.75">
      <c r="A213" s="299">
        <v>407395</v>
      </c>
      <c r="B213" s="300" t="s">
        <v>354</v>
      </c>
      <c r="C213" s="301"/>
      <c r="F213" s="264">
        <f t="shared" si="6"/>
        <v>156</v>
      </c>
      <c r="G213" s="264">
        <v>0</v>
      </c>
      <c r="H213" s="695">
        <v>156371</v>
      </c>
      <c r="M213" s="396"/>
    </row>
    <row r="214" spans="1:13" ht="15.75">
      <c r="A214" s="298">
        <v>407403</v>
      </c>
      <c r="B214" s="297" t="s">
        <v>355</v>
      </c>
      <c r="C214" s="301"/>
      <c r="F214" s="264">
        <f t="shared" si="6"/>
        <v>-6</v>
      </c>
      <c r="G214" s="264">
        <v>0</v>
      </c>
      <c r="H214" s="695">
        <v>-5609</v>
      </c>
      <c r="M214" s="393"/>
    </row>
    <row r="215" spans="1:13" ht="15.75">
      <c r="A215" s="298">
        <v>407405</v>
      </c>
      <c r="B215" s="297" t="s">
        <v>356</v>
      </c>
      <c r="C215" s="296"/>
      <c r="F215" s="264">
        <f t="shared" si="6"/>
        <v>0</v>
      </c>
      <c r="G215" s="264">
        <v>0</v>
      </c>
      <c r="H215" s="695">
        <v>0</v>
      </c>
      <c r="M215" s="393"/>
    </row>
    <row r="216" spans="1:13" ht="15.75">
      <c r="A216" s="298">
        <v>407420</v>
      </c>
      <c r="B216" s="297" t="s">
        <v>357</v>
      </c>
      <c r="C216" s="296"/>
      <c r="F216" s="264">
        <f t="shared" si="6"/>
        <v>0</v>
      </c>
      <c r="G216" s="264">
        <v>0</v>
      </c>
      <c r="H216" s="695">
        <v>0</v>
      </c>
      <c r="M216" s="393"/>
    </row>
    <row r="217" spans="1:13" ht="15.75">
      <c r="A217" s="298">
        <v>407427</v>
      </c>
      <c r="B217" s="393" t="s">
        <v>721</v>
      </c>
      <c r="C217" s="296"/>
      <c r="F217" s="264">
        <f t="shared" si="6"/>
        <v>0</v>
      </c>
      <c r="G217" s="264">
        <v>0</v>
      </c>
      <c r="H217" s="695">
        <v>0</v>
      </c>
      <c r="M217" s="393"/>
    </row>
    <row r="218" spans="1:13" ht="15.75">
      <c r="A218" s="295" t="s">
        <v>358</v>
      </c>
      <c r="B218" s="297" t="s">
        <v>359</v>
      </c>
      <c r="C218" s="296"/>
      <c r="F218" s="264">
        <f t="shared" si="6"/>
        <v>-3523</v>
      </c>
      <c r="G218" s="264">
        <v>0</v>
      </c>
      <c r="H218" s="695">
        <v>-3522792</v>
      </c>
      <c r="M218" s="393"/>
    </row>
    <row r="219" spans="1:13" ht="15.75">
      <c r="A219" s="395">
        <v>407455</v>
      </c>
      <c r="B219" s="396" t="s">
        <v>661</v>
      </c>
      <c r="C219" s="296"/>
      <c r="F219" s="264">
        <f t="shared" si="6"/>
        <v>0</v>
      </c>
      <c r="G219" s="264">
        <v>0</v>
      </c>
      <c r="H219" s="695">
        <v>0</v>
      </c>
      <c r="M219" s="396"/>
    </row>
    <row r="220" spans="1:13" ht="15.75">
      <c r="A220" s="299">
        <v>407460</v>
      </c>
      <c r="B220" s="300" t="s">
        <v>360</v>
      </c>
      <c r="C220" s="301"/>
      <c r="F220" s="264">
        <f t="shared" si="6"/>
        <v>0</v>
      </c>
      <c r="G220" s="264">
        <v>0</v>
      </c>
      <c r="H220" s="695">
        <v>0</v>
      </c>
      <c r="M220" s="396"/>
    </row>
    <row r="221" spans="1:13" ht="15.75">
      <c r="A221" s="299">
        <v>407462</v>
      </c>
      <c r="B221" s="300" t="s">
        <v>605</v>
      </c>
      <c r="C221" s="296"/>
      <c r="F221" s="264">
        <f t="shared" si="6"/>
        <v>0</v>
      </c>
      <c r="G221" s="264">
        <v>0</v>
      </c>
      <c r="H221" s="695">
        <v>0</v>
      </c>
      <c r="M221" s="396"/>
    </row>
    <row r="222" spans="1:13" ht="15.75">
      <c r="A222" s="395">
        <v>407494</v>
      </c>
      <c r="B222" s="396" t="s">
        <v>641</v>
      </c>
      <c r="C222" s="296"/>
      <c r="F222" s="264">
        <f t="shared" si="6"/>
        <v>34</v>
      </c>
      <c r="G222" s="264">
        <v>0</v>
      </c>
      <c r="H222" s="695">
        <v>34085</v>
      </c>
      <c r="M222" s="396"/>
    </row>
    <row r="223" spans="1:13" ht="15.75">
      <c r="A223" s="299">
        <v>407495</v>
      </c>
      <c r="B223" s="300" t="s">
        <v>606</v>
      </c>
      <c r="C223" s="301"/>
      <c r="F223" s="264">
        <f t="shared" si="6"/>
        <v>-6</v>
      </c>
      <c r="G223" s="264">
        <v>0</v>
      </c>
      <c r="H223" s="695">
        <v>-5524</v>
      </c>
      <c r="M223" s="396"/>
    </row>
    <row r="224" spans="1:13" ht="15.75">
      <c r="A224" s="299">
        <v>407496</v>
      </c>
      <c r="B224" s="300" t="s">
        <v>607</v>
      </c>
      <c r="C224" s="301"/>
      <c r="F224" s="264">
        <f t="shared" si="6"/>
        <v>0</v>
      </c>
      <c r="G224" s="264">
        <v>0</v>
      </c>
      <c r="H224" s="695">
        <v>0</v>
      </c>
      <c r="M224" s="396"/>
    </row>
    <row r="225" spans="1:13" ht="15.75">
      <c r="A225" s="395">
        <v>407497</v>
      </c>
      <c r="B225" s="396" t="s">
        <v>634</v>
      </c>
      <c r="C225" s="301"/>
      <c r="F225" s="264">
        <f t="shared" si="6"/>
        <v>0</v>
      </c>
      <c r="G225" s="264">
        <v>0</v>
      </c>
      <c r="H225" s="695">
        <v>0</v>
      </c>
      <c r="M225" s="396"/>
    </row>
    <row r="226" spans="1:13" ht="15.75">
      <c r="A226" s="295"/>
      <c r="B226" s="297" t="s">
        <v>361</v>
      </c>
      <c r="C226" s="296"/>
      <c r="F226" s="264">
        <f t="shared" si="6"/>
        <v>16489</v>
      </c>
      <c r="G226" s="264">
        <v>0</v>
      </c>
      <c r="H226" s="695">
        <v>16488877</v>
      </c>
      <c r="M226" s="393"/>
    </row>
    <row r="227" spans="1:13" ht="15.75">
      <c r="A227" s="295"/>
      <c r="B227" s="297" t="s">
        <v>362</v>
      </c>
      <c r="C227" s="296"/>
      <c r="F227" s="264">
        <f t="shared" si="6"/>
        <v>48226</v>
      </c>
      <c r="G227" s="264">
        <v>0</v>
      </c>
      <c r="H227" s="695">
        <v>48226312</v>
      </c>
      <c r="M227" s="393"/>
    </row>
    <row r="228" spans="1:13" ht="15.75">
      <c r="A228" s="295"/>
      <c r="B228" s="297"/>
      <c r="C228" s="296"/>
      <c r="F228" s="264">
        <f t="shared" si="6"/>
        <v>0</v>
      </c>
      <c r="G228" s="264">
        <v>0</v>
      </c>
      <c r="H228" s="695"/>
      <c r="M228" s="393"/>
    </row>
    <row r="229" spans="1:13" ht="15.75">
      <c r="A229" s="295"/>
      <c r="B229" s="297" t="s">
        <v>363</v>
      </c>
      <c r="C229" s="296"/>
      <c r="F229" s="264">
        <f t="shared" si="6"/>
        <v>307862</v>
      </c>
      <c r="G229" s="264">
        <v>0</v>
      </c>
      <c r="H229" s="695">
        <v>307862133</v>
      </c>
      <c r="M229" s="397"/>
    </row>
    <row r="230" spans="1:13" ht="15.75">
      <c r="A230" s="295"/>
      <c r="B230" s="297"/>
      <c r="C230" s="296"/>
      <c r="F230" s="264">
        <f t="shared" si="5"/>
        <v>0</v>
      </c>
      <c r="G230" s="264">
        <v>0</v>
      </c>
      <c r="H230" s="695"/>
      <c r="M230" s="393"/>
    </row>
    <row r="231" spans="1:13" ht="15.75">
      <c r="A231" s="295"/>
      <c r="B231" s="297" t="s">
        <v>364</v>
      </c>
      <c r="C231" s="296"/>
      <c r="F231" s="264">
        <f t="shared" si="5"/>
        <v>0</v>
      </c>
      <c r="G231" s="264">
        <v>0</v>
      </c>
      <c r="H231" s="695"/>
      <c r="M231" s="397"/>
    </row>
    <row r="232" spans="1:13" ht="15.75">
      <c r="A232" s="295"/>
      <c r="B232" s="296" t="s">
        <v>365</v>
      </c>
      <c r="C232" s="296"/>
      <c r="F232" s="264">
        <f t="shared" si="5"/>
        <v>0</v>
      </c>
      <c r="G232" s="264">
        <v>0</v>
      </c>
      <c r="H232" s="695"/>
      <c r="M232" s="393"/>
    </row>
    <row r="233" spans="1:13" ht="15.75">
      <c r="A233" s="298">
        <v>580000</v>
      </c>
      <c r="B233" s="297" t="s">
        <v>297</v>
      </c>
      <c r="C233" s="296"/>
      <c r="F233" s="264">
        <f>ROUND(H233/1000,0)</f>
        <v>3144</v>
      </c>
      <c r="G233" s="264">
        <v>0</v>
      </c>
      <c r="H233" s="695">
        <v>3143735</v>
      </c>
      <c r="M233" s="393"/>
    </row>
    <row r="234" spans="1:13" ht="15.75">
      <c r="A234" s="298">
        <v>582000</v>
      </c>
      <c r="B234" s="296" t="s">
        <v>332</v>
      </c>
      <c r="C234" s="296"/>
      <c r="F234" s="264">
        <f t="shared" si="5"/>
        <v>543</v>
      </c>
      <c r="G234" s="264">
        <v>0</v>
      </c>
      <c r="H234" s="695">
        <v>543467</v>
      </c>
      <c r="M234" s="393"/>
    </row>
    <row r="235" spans="1:13" ht="15.75">
      <c r="A235" s="298">
        <v>583000</v>
      </c>
      <c r="B235" s="297" t="s">
        <v>333</v>
      </c>
      <c r="C235" s="296"/>
      <c r="F235" s="264">
        <f t="shared" ref="F235:F300" si="7">ROUND(H235/1000,0)</f>
        <v>1606</v>
      </c>
      <c r="G235" s="264">
        <v>0</v>
      </c>
      <c r="H235" s="695">
        <v>1605630</v>
      </c>
      <c r="M235" s="393"/>
    </row>
    <row r="236" spans="1:13" ht="15.75">
      <c r="A236" s="298">
        <v>584000</v>
      </c>
      <c r="B236" s="297" t="s">
        <v>366</v>
      </c>
      <c r="C236" s="296"/>
      <c r="F236" s="264">
        <f t="shared" si="7"/>
        <v>1036</v>
      </c>
      <c r="G236" s="264">
        <v>0</v>
      </c>
      <c r="H236" s="695">
        <v>1036015</v>
      </c>
      <c r="M236" s="393"/>
    </row>
    <row r="237" spans="1:13" ht="15.75">
      <c r="A237" s="394">
        <v>584100</v>
      </c>
      <c r="B237" s="393" t="s">
        <v>633</v>
      </c>
      <c r="C237" s="296"/>
      <c r="F237" s="264">
        <f t="shared" si="7"/>
        <v>0</v>
      </c>
      <c r="G237" s="264">
        <v>0</v>
      </c>
      <c r="H237" s="695">
        <v>0</v>
      </c>
      <c r="M237" s="393"/>
    </row>
    <row r="238" spans="1:13" ht="15.75">
      <c r="A238" s="298">
        <v>585000</v>
      </c>
      <c r="B238" s="297" t="s">
        <v>367</v>
      </c>
      <c r="C238" s="296"/>
      <c r="F238" s="264">
        <f t="shared" si="7"/>
        <v>7</v>
      </c>
      <c r="G238" s="264">
        <v>0</v>
      </c>
      <c r="H238" s="695">
        <v>6884</v>
      </c>
      <c r="M238" s="393"/>
    </row>
    <row r="239" spans="1:13" ht="15.75">
      <c r="A239" s="298">
        <v>586000</v>
      </c>
      <c r="B239" s="297" t="s">
        <v>368</v>
      </c>
      <c r="C239" s="296"/>
      <c r="F239" s="264">
        <f t="shared" si="7"/>
        <v>1869</v>
      </c>
      <c r="G239" s="264">
        <v>0</v>
      </c>
      <c r="H239" s="695">
        <v>1869273</v>
      </c>
      <c r="M239" s="393"/>
    </row>
    <row r="240" spans="1:13" ht="15.75">
      <c r="A240" s="298">
        <v>587000</v>
      </c>
      <c r="B240" s="297" t="s">
        <v>369</v>
      </c>
      <c r="C240" s="296"/>
      <c r="F240" s="264">
        <f t="shared" si="7"/>
        <v>671</v>
      </c>
      <c r="G240" s="264">
        <v>0</v>
      </c>
      <c r="H240" s="695">
        <v>671049</v>
      </c>
      <c r="M240" s="393"/>
    </row>
    <row r="241" spans="1:13" ht="15.75">
      <c r="A241" s="298">
        <v>588000</v>
      </c>
      <c r="B241" s="297" t="s">
        <v>370</v>
      </c>
      <c r="C241" s="296"/>
      <c r="F241" s="264">
        <f t="shared" si="7"/>
        <v>6025</v>
      </c>
      <c r="G241" s="264">
        <v>0</v>
      </c>
      <c r="H241" s="695">
        <v>6024882</v>
      </c>
      <c r="M241" s="397"/>
    </row>
    <row r="242" spans="1:13" ht="15.75">
      <c r="A242" s="298">
        <v>589000</v>
      </c>
      <c r="B242" s="297" t="s">
        <v>302</v>
      </c>
      <c r="C242" s="296"/>
      <c r="F242" s="264">
        <f t="shared" si="7"/>
        <v>251</v>
      </c>
      <c r="G242" s="264">
        <v>0</v>
      </c>
      <c r="H242" s="695">
        <v>251264</v>
      </c>
      <c r="M242" s="393"/>
    </row>
    <row r="243" spans="1:13" ht="15.75">
      <c r="A243" s="303"/>
      <c r="B243" s="297"/>
      <c r="C243" s="296"/>
      <c r="F243" s="264">
        <f t="shared" si="7"/>
        <v>0</v>
      </c>
      <c r="G243" s="264">
        <v>0</v>
      </c>
      <c r="H243" s="695"/>
      <c r="M243" s="393"/>
    </row>
    <row r="244" spans="1:13" ht="15.75">
      <c r="A244" s="295"/>
      <c r="B244" s="296" t="s">
        <v>371</v>
      </c>
      <c r="C244" s="296"/>
      <c r="F244" s="264">
        <f t="shared" si="7"/>
        <v>0</v>
      </c>
      <c r="G244" s="264">
        <v>0</v>
      </c>
      <c r="H244" s="695"/>
      <c r="M244" s="397"/>
    </row>
    <row r="245" spans="1:13" ht="15.75">
      <c r="A245" s="298">
        <v>590000</v>
      </c>
      <c r="B245" s="297" t="s">
        <v>297</v>
      </c>
      <c r="C245" s="296"/>
      <c r="F245" s="264">
        <f t="shared" si="7"/>
        <v>1063</v>
      </c>
      <c r="G245" s="264">
        <v>0</v>
      </c>
      <c r="H245" s="695">
        <v>1062515</v>
      </c>
      <c r="M245" s="393"/>
    </row>
    <row r="246" spans="1:13" ht="15.75">
      <c r="A246" s="298">
        <v>591000</v>
      </c>
      <c r="B246" s="297" t="s">
        <v>304</v>
      </c>
      <c r="C246" s="296"/>
      <c r="F246" s="264">
        <f t="shared" si="7"/>
        <v>401</v>
      </c>
      <c r="G246" s="264">
        <v>0</v>
      </c>
      <c r="H246" s="695">
        <v>401277</v>
      </c>
      <c r="M246" s="393"/>
    </row>
    <row r="247" spans="1:13" ht="15.75">
      <c r="A247" s="298">
        <v>592000</v>
      </c>
      <c r="B247" s="296" t="s">
        <v>336</v>
      </c>
      <c r="C247" s="296"/>
      <c r="F247" s="264">
        <f t="shared" si="7"/>
        <v>685</v>
      </c>
      <c r="G247" s="264">
        <v>0</v>
      </c>
      <c r="H247" s="695">
        <v>685033</v>
      </c>
      <c r="M247" s="393"/>
    </row>
    <row r="248" spans="1:13" ht="15.75">
      <c r="A248" s="394">
        <v>592200</v>
      </c>
      <c r="B248" s="393" t="s">
        <v>633</v>
      </c>
      <c r="C248" s="296"/>
      <c r="F248" s="264">
        <f t="shared" si="7"/>
        <v>0</v>
      </c>
      <c r="G248" s="264">
        <v>0</v>
      </c>
      <c r="H248" s="695">
        <v>0</v>
      </c>
      <c r="M248" s="393"/>
    </row>
    <row r="249" spans="1:13" ht="15.75">
      <c r="A249" s="298">
        <v>593000</v>
      </c>
      <c r="B249" s="297" t="s">
        <v>337</v>
      </c>
      <c r="C249" s="296"/>
      <c r="F249" s="264">
        <f t="shared" si="7"/>
        <v>7914</v>
      </c>
      <c r="G249" s="264">
        <v>0</v>
      </c>
      <c r="H249" s="695">
        <v>7914136</v>
      </c>
      <c r="M249" s="393"/>
    </row>
    <row r="250" spans="1:13" ht="15.75">
      <c r="A250" s="298">
        <v>594000</v>
      </c>
      <c r="B250" s="297" t="s">
        <v>338</v>
      </c>
      <c r="C250" s="296"/>
      <c r="F250" s="264">
        <f t="shared" si="7"/>
        <v>603</v>
      </c>
      <c r="G250" s="264">
        <v>0</v>
      </c>
      <c r="H250" s="695">
        <v>602770</v>
      </c>
      <c r="M250" s="393"/>
    </row>
    <row r="251" spans="1:13" ht="15.75">
      <c r="A251" s="298">
        <v>595000</v>
      </c>
      <c r="B251" s="297" t="s">
        <v>372</v>
      </c>
      <c r="C251" s="296"/>
      <c r="F251" s="264">
        <f t="shared" si="7"/>
        <v>316</v>
      </c>
      <c r="G251" s="264">
        <v>0</v>
      </c>
      <c r="H251" s="695">
        <v>316235</v>
      </c>
      <c r="M251" s="393"/>
    </row>
    <row r="252" spans="1:13" ht="15.75">
      <c r="A252" s="298">
        <v>596000</v>
      </c>
      <c r="B252" s="297" t="s">
        <v>373</v>
      </c>
      <c r="C252" s="296"/>
      <c r="F252" s="264">
        <f t="shared" si="7"/>
        <v>167</v>
      </c>
      <c r="G252" s="264">
        <v>0</v>
      </c>
      <c r="H252" s="695">
        <v>167362</v>
      </c>
      <c r="M252" s="393"/>
    </row>
    <row r="253" spans="1:13" ht="15.75">
      <c r="A253" s="298">
        <v>597000</v>
      </c>
      <c r="B253" s="297" t="s">
        <v>374</v>
      </c>
      <c r="C253" s="296"/>
      <c r="F253" s="264">
        <f t="shared" si="7"/>
        <v>37</v>
      </c>
      <c r="G253" s="264">
        <v>0</v>
      </c>
      <c r="H253" s="695">
        <v>37495</v>
      </c>
      <c r="M253" s="393"/>
    </row>
    <row r="254" spans="1:13" ht="15.75">
      <c r="A254" s="298">
        <v>598000</v>
      </c>
      <c r="B254" s="297" t="s">
        <v>370</v>
      </c>
      <c r="C254" s="296"/>
      <c r="F254" s="264">
        <f t="shared" si="7"/>
        <v>408</v>
      </c>
      <c r="G254" s="264">
        <v>0</v>
      </c>
      <c r="H254" s="695">
        <v>407521</v>
      </c>
      <c r="M254" s="393"/>
    </row>
    <row r="255" spans="1:13" ht="15.75">
      <c r="A255" s="303"/>
      <c r="B255" s="297" t="s">
        <v>375</v>
      </c>
      <c r="C255" s="296"/>
      <c r="F255" s="264">
        <f t="shared" si="7"/>
        <v>26747</v>
      </c>
      <c r="G255" s="264">
        <v>0</v>
      </c>
      <c r="H255" s="695">
        <v>26746543</v>
      </c>
      <c r="M255" s="396"/>
    </row>
    <row r="256" spans="1:13" ht="15.75">
      <c r="A256" s="303"/>
      <c r="B256" s="297"/>
      <c r="C256" s="296"/>
      <c r="F256" s="264">
        <f t="shared" si="7"/>
        <v>0</v>
      </c>
      <c r="G256" s="264">
        <v>0</v>
      </c>
      <c r="H256" s="695"/>
      <c r="M256" s="393"/>
    </row>
    <row r="257" spans="1:13" ht="15.75">
      <c r="A257" s="295"/>
      <c r="B257" s="297" t="s">
        <v>376</v>
      </c>
      <c r="C257" s="296"/>
      <c r="F257" s="264">
        <f t="shared" si="7"/>
        <v>31102</v>
      </c>
      <c r="G257" s="264">
        <v>0</v>
      </c>
      <c r="H257" s="695">
        <v>31102442</v>
      </c>
      <c r="M257" s="393"/>
    </row>
    <row r="258" spans="1:13" ht="15.75">
      <c r="A258" s="302"/>
      <c r="B258" s="300" t="s">
        <v>343</v>
      </c>
      <c r="C258" s="301"/>
      <c r="F258" s="264">
        <f t="shared" si="7"/>
        <v>30</v>
      </c>
      <c r="G258" s="264">
        <v>0</v>
      </c>
      <c r="H258" s="695">
        <v>30019</v>
      </c>
      <c r="M258" s="393"/>
    </row>
    <row r="259" spans="1:13" ht="15.75">
      <c r="A259" s="295"/>
      <c r="B259" s="297" t="s">
        <v>377</v>
      </c>
      <c r="C259" s="296"/>
      <c r="F259" s="264">
        <f t="shared" si="7"/>
        <v>47422</v>
      </c>
      <c r="G259" s="264">
        <v>0</v>
      </c>
      <c r="H259" s="695">
        <v>47422214</v>
      </c>
      <c r="M259" s="393"/>
    </row>
    <row r="260" spans="1:13" ht="15.75">
      <c r="A260" s="295"/>
      <c r="B260" s="297" t="s">
        <v>378</v>
      </c>
      <c r="C260" s="296"/>
      <c r="F260" s="264">
        <f t="shared" si="7"/>
        <v>78555</v>
      </c>
      <c r="G260" s="264">
        <v>0</v>
      </c>
      <c r="H260" s="695">
        <v>78554675</v>
      </c>
      <c r="M260" s="397"/>
    </row>
    <row r="261" spans="1:13" ht="15.75">
      <c r="A261" s="295"/>
      <c r="B261" s="297"/>
      <c r="C261" s="296"/>
      <c r="F261" s="264">
        <f t="shared" si="7"/>
        <v>0</v>
      </c>
      <c r="G261" s="264">
        <v>0</v>
      </c>
      <c r="H261" s="695"/>
      <c r="M261" s="393"/>
    </row>
    <row r="262" spans="1:13" ht="15.75">
      <c r="A262" s="295"/>
      <c r="B262" s="297" t="s">
        <v>379</v>
      </c>
      <c r="C262" s="296"/>
      <c r="F262" s="264">
        <f t="shared" si="7"/>
        <v>105301</v>
      </c>
      <c r="G262" s="264">
        <v>0</v>
      </c>
      <c r="H262" s="695">
        <v>105301218</v>
      </c>
      <c r="M262" s="393"/>
    </row>
    <row r="263" spans="1:13" ht="15.75">
      <c r="A263" s="295"/>
      <c r="B263" s="296"/>
      <c r="C263" s="296"/>
      <c r="F263" s="264">
        <f t="shared" si="7"/>
        <v>0</v>
      </c>
      <c r="G263" s="264">
        <v>0</v>
      </c>
      <c r="H263" s="695"/>
      <c r="M263" s="393"/>
    </row>
    <row r="264" spans="1:13" ht="15.75">
      <c r="A264" s="295"/>
      <c r="B264" s="297" t="s">
        <v>380</v>
      </c>
      <c r="C264" s="296"/>
      <c r="F264" s="264">
        <f t="shared" si="7"/>
        <v>0</v>
      </c>
      <c r="G264" s="264">
        <v>0</v>
      </c>
      <c r="H264" s="695"/>
      <c r="M264" s="393"/>
    </row>
    <row r="265" spans="1:13" ht="15.75">
      <c r="A265" s="298">
        <v>901000</v>
      </c>
      <c r="B265" s="297" t="s">
        <v>381</v>
      </c>
      <c r="C265" s="296"/>
      <c r="F265" s="264">
        <f t="shared" si="7"/>
        <v>118</v>
      </c>
      <c r="G265" s="264">
        <v>0</v>
      </c>
      <c r="H265" s="695">
        <v>118193</v>
      </c>
      <c r="M265" s="393"/>
    </row>
    <row r="266" spans="1:13" ht="15.75">
      <c r="A266" s="298">
        <v>902000</v>
      </c>
      <c r="B266" s="297" t="s">
        <v>382</v>
      </c>
      <c r="C266" s="296"/>
      <c r="F266" s="264">
        <f t="shared" si="7"/>
        <v>2558</v>
      </c>
      <c r="G266" s="264">
        <v>0</v>
      </c>
      <c r="H266" s="695">
        <v>2557608</v>
      </c>
      <c r="M266" s="393"/>
    </row>
    <row r="267" spans="1:13" ht="15.75">
      <c r="A267" s="298" t="s">
        <v>383</v>
      </c>
      <c r="B267" s="297" t="s">
        <v>384</v>
      </c>
      <c r="C267" s="296"/>
      <c r="F267" s="264">
        <f t="shared" si="7"/>
        <v>6962</v>
      </c>
      <c r="G267" s="264">
        <v>0</v>
      </c>
      <c r="H267" s="695">
        <v>6961785</v>
      </c>
      <c r="M267" s="393"/>
    </row>
    <row r="268" spans="1:13" ht="15.75">
      <c r="A268" s="298">
        <v>904000</v>
      </c>
      <c r="B268" s="297" t="s">
        <v>385</v>
      </c>
      <c r="C268" s="296"/>
      <c r="F268" s="264">
        <f t="shared" si="7"/>
        <v>137</v>
      </c>
      <c r="G268" s="264">
        <v>0</v>
      </c>
      <c r="H268" s="695">
        <v>136838</v>
      </c>
      <c r="M268" s="393"/>
    </row>
    <row r="269" spans="1:13" ht="15.75">
      <c r="A269" s="298">
        <v>905000</v>
      </c>
      <c r="B269" s="297" t="s">
        <v>386</v>
      </c>
      <c r="C269" s="296"/>
      <c r="F269" s="264">
        <f t="shared" si="7"/>
        <v>141</v>
      </c>
      <c r="G269" s="264">
        <v>0</v>
      </c>
      <c r="H269" s="695">
        <v>141196</v>
      </c>
      <c r="M269" s="393"/>
    </row>
    <row r="270" spans="1:13" ht="15.75">
      <c r="A270" s="295"/>
      <c r="B270" s="297" t="s">
        <v>387</v>
      </c>
      <c r="C270" s="296"/>
      <c r="F270" s="264">
        <f t="shared" si="7"/>
        <v>9916</v>
      </c>
      <c r="G270" s="264">
        <v>0</v>
      </c>
      <c r="H270" s="695">
        <v>9915620</v>
      </c>
      <c r="M270" s="393"/>
    </row>
    <row r="271" spans="1:13" ht="15.75">
      <c r="A271" s="295"/>
      <c r="B271" s="297"/>
      <c r="C271" s="296"/>
      <c r="F271" s="264">
        <f t="shared" si="7"/>
        <v>0</v>
      </c>
      <c r="G271" s="264">
        <v>0</v>
      </c>
      <c r="H271" s="695"/>
      <c r="M271" s="393"/>
    </row>
    <row r="272" spans="1:13" ht="15.75">
      <c r="A272" s="295"/>
      <c r="B272" s="297" t="s">
        <v>388</v>
      </c>
      <c r="C272" s="296"/>
      <c r="F272" s="264">
        <f t="shared" si="7"/>
        <v>0</v>
      </c>
      <c r="G272" s="264">
        <v>0</v>
      </c>
      <c r="H272" s="695"/>
      <c r="M272" s="393"/>
    </row>
    <row r="273" spans="1:13" ht="15.75">
      <c r="A273" s="295" t="s">
        <v>389</v>
      </c>
      <c r="B273" s="297" t="s">
        <v>390</v>
      </c>
      <c r="C273" s="296"/>
      <c r="F273" s="264">
        <f t="shared" si="7"/>
        <v>0</v>
      </c>
      <c r="G273" s="264">
        <v>0</v>
      </c>
      <c r="H273" s="695">
        <v>0</v>
      </c>
      <c r="M273" s="393"/>
    </row>
    <row r="274" spans="1:13" ht="15.75">
      <c r="A274" s="298">
        <v>909000</v>
      </c>
      <c r="B274" s="297" t="s">
        <v>391</v>
      </c>
      <c r="C274" s="296"/>
      <c r="F274" s="264">
        <f t="shared" si="7"/>
        <v>847</v>
      </c>
      <c r="G274" s="264">
        <v>0</v>
      </c>
      <c r="H274" s="695">
        <v>846610</v>
      </c>
      <c r="M274" s="393"/>
    </row>
    <row r="275" spans="1:13" ht="15.75">
      <c r="A275" s="298">
        <v>910000</v>
      </c>
      <c r="B275" s="297" t="s">
        <v>392</v>
      </c>
      <c r="C275" s="296"/>
      <c r="F275" s="264">
        <f t="shared" si="7"/>
        <v>180</v>
      </c>
      <c r="G275" s="264">
        <v>0</v>
      </c>
      <c r="H275" s="695">
        <v>179962</v>
      </c>
      <c r="M275" s="393"/>
    </row>
    <row r="276" spans="1:13" ht="15.75">
      <c r="A276" s="298"/>
      <c r="B276" s="297" t="s">
        <v>393</v>
      </c>
      <c r="C276" s="296"/>
      <c r="F276" s="264">
        <f t="shared" si="7"/>
        <v>28425</v>
      </c>
      <c r="G276" s="264">
        <v>0</v>
      </c>
      <c r="H276" s="695">
        <v>28424538</v>
      </c>
      <c r="M276" s="393"/>
    </row>
    <row r="277" spans="1:13" ht="15.75">
      <c r="A277" s="298"/>
      <c r="B277" s="297"/>
      <c r="C277" s="296"/>
      <c r="F277" s="264">
        <f t="shared" si="7"/>
        <v>0</v>
      </c>
      <c r="G277" s="264">
        <v>0</v>
      </c>
      <c r="H277" s="695"/>
      <c r="M277" s="393"/>
    </row>
    <row r="278" spans="1:13" ht="15.75">
      <c r="A278" s="298"/>
      <c r="B278" s="297" t="s">
        <v>394</v>
      </c>
      <c r="C278" s="296"/>
      <c r="F278" s="264">
        <f t="shared" si="7"/>
        <v>0</v>
      </c>
      <c r="G278" s="264">
        <v>0</v>
      </c>
      <c r="H278" s="695"/>
      <c r="M278" s="393"/>
    </row>
    <row r="279" spans="1:13" ht="15.75">
      <c r="A279" s="298">
        <v>912000</v>
      </c>
      <c r="B279" s="297" t="s">
        <v>395</v>
      </c>
      <c r="C279" s="296"/>
      <c r="F279" s="264">
        <f t="shared" si="7"/>
        <v>0</v>
      </c>
      <c r="G279" s="264">
        <v>0</v>
      </c>
      <c r="H279" s="695">
        <v>0</v>
      </c>
      <c r="M279" s="393"/>
    </row>
    <row r="280" spans="1:13" ht="15.75">
      <c r="A280" s="298">
        <v>913000</v>
      </c>
      <c r="B280" s="297" t="s">
        <v>391</v>
      </c>
      <c r="C280" s="296"/>
      <c r="F280" s="264">
        <f t="shared" si="7"/>
        <v>0</v>
      </c>
      <c r="G280" s="264">
        <v>0</v>
      </c>
      <c r="H280" s="695">
        <v>0</v>
      </c>
      <c r="M280" s="393"/>
    </row>
    <row r="281" spans="1:13" ht="15.75">
      <c r="A281" s="298">
        <v>916000</v>
      </c>
      <c r="B281" s="297" t="s">
        <v>396</v>
      </c>
      <c r="C281" s="296"/>
      <c r="F281" s="264">
        <f t="shared" si="7"/>
        <v>0</v>
      </c>
      <c r="G281" s="264">
        <v>0</v>
      </c>
      <c r="H281" s="695">
        <v>0</v>
      </c>
      <c r="M281" s="393"/>
    </row>
    <row r="282" spans="1:13" ht="15.75">
      <c r="A282" s="298"/>
      <c r="B282" s="297" t="s">
        <v>397</v>
      </c>
      <c r="C282" s="296"/>
      <c r="F282" s="264">
        <f t="shared" si="7"/>
        <v>0</v>
      </c>
      <c r="G282" s="264">
        <v>0</v>
      </c>
      <c r="H282" s="695">
        <v>0</v>
      </c>
      <c r="M282" s="393"/>
    </row>
    <row r="283" spans="1:13" ht="15.75">
      <c r="A283" s="298"/>
      <c r="B283" s="297"/>
      <c r="C283" s="296"/>
      <c r="F283" s="264">
        <f t="shared" si="7"/>
        <v>0</v>
      </c>
      <c r="G283" s="264">
        <v>0</v>
      </c>
      <c r="H283" s="695"/>
      <c r="M283" s="393"/>
    </row>
    <row r="284" spans="1:13" ht="15.75">
      <c r="A284" s="298"/>
      <c r="B284" s="297" t="s">
        <v>398</v>
      </c>
      <c r="C284" s="296"/>
      <c r="F284" s="264">
        <f t="shared" si="7"/>
        <v>0</v>
      </c>
      <c r="G284" s="264">
        <v>0</v>
      </c>
      <c r="H284" s="695"/>
      <c r="M284" s="393"/>
    </row>
    <row r="285" spans="1:13" ht="15.75">
      <c r="A285" s="298">
        <v>920000</v>
      </c>
      <c r="B285" s="297" t="s">
        <v>399</v>
      </c>
      <c r="C285" s="296"/>
      <c r="F285" s="264">
        <f t="shared" si="7"/>
        <v>23838</v>
      </c>
      <c r="G285" s="264">
        <v>0</v>
      </c>
      <c r="H285" s="695">
        <v>23838413</v>
      </c>
      <c r="M285" s="393"/>
    </row>
    <row r="286" spans="1:13" ht="15.75">
      <c r="A286" s="298">
        <v>921000</v>
      </c>
      <c r="B286" s="297" t="s">
        <v>400</v>
      </c>
      <c r="C286" s="296"/>
      <c r="F286" s="264">
        <f t="shared" si="7"/>
        <v>3389</v>
      </c>
      <c r="G286" s="264">
        <v>0</v>
      </c>
      <c r="H286" s="695">
        <v>3388581</v>
      </c>
      <c r="M286" s="393"/>
    </row>
    <row r="287" spans="1:13" ht="15.75">
      <c r="A287" s="298">
        <v>922000</v>
      </c>
      <c r="B287" s="297" t="s">
        <v>401</v>
      </c>
      <c r="C287" s="296"/>
      <c r="F287" s="264">
        <f t="shared" si="7"/>
        <v>-71</v>
      </c>
      <c r="G287" s="264">
        <v>0</v>
      </c>
      <c r="H287" s="695">
        <v>-70811</v>
      </c>
      <c r="M287" s="393"/>
    </row>
    <row r="288" spans="1:13" ht="15.75">
      <c r="A288" s="298">
        <v>923000</v>
      </c>
      <c r="B288" s="297" t="s">
        <v>402</v>
      </c>
      <c r="C288" s="296"/>
      <c r="F288" s="264">
        <f t="shared" si="7"/>
        <v>7107</v>
      </c>
      <c r="G288" s="264">
        <v>0</v>
      </c>
      <c r="H288" s="695">
        <v>7106610</v>
      </c>
      <c r="M288" s="393"/>
    </row>
    <row r="289" spans="1:18" ht="15.75">
      <c r="A289" s="298">
        <v>924000</v>
      </c>
      <c r="B289" s="297" t="s">
        <v>403</v>
      </c>
      <c r="C289" s="296"/>
      <c r="F289" s="264">
        <f t="shared" si="7"/>
        <v>1005</v>
      </c>
      <c r="G289" s="264">
        <v>0</v>
      </c>
      <c r="H289" s="695">
        <v>1004544</v>
      </c>
      <c r="M289" s="393"/>
    </row>
    <row r="290" spans="1:18" ht="15.75">
      <c r="A290" s="295" t="s">
        <v>404</v>
      </c>
      <c r="B290" s="297" t="s">
        <v>405</v>
      </c>
      <c r="C290" s="296"/>
      <c r="F290" s="264">
        <f t="shared" si="7"/>
        <v>2206</v>
      </c>
      <c r="G290" s="264">
        <v>0</v>
      </c>
      <c r="H290" s="695">
        <v>2206305</v>
      </c>
      <c r="M290" s="393"/>
    </row>
    <row r="291" spans="1:18" ht="15.75">
      <c r="A291" s="295" t="s">
        <v>406</v>
      </c>
      <c r="B291" s="297" t="s">
        <v>407</v>
      </c>
      <c r="C291" s="296"/>
      <c r="F291" s="264">
        <f t="shared" si="7"/>
        <v>1189</v>
      </c>
      <c r="G291" s="264">
        <v>0</v>
      </c>
      <c r="H291" s="695">
        <v>1188548</v>
      </c>
      <c r="M291" s="393"/>
    </row>
    <row r="292" spans="1:18" ht="15.75">
      <c r="A292" s="298">
        <v>927000</v>
      </c>
      <c r="B292" s="297" t="s">
        <v>408</v>
      </c>
      <c r="C292" s="296"/>
      <c r="F292" s="264">
        <f t="shared" si="7"/>
        <v>0</v>
      </c>
      <c r="G292" s="264">
        <v>0</v>
      </c>
      <c r="H292" s="695">
        <v>0</v>
      </c>
      <c r="M292" s="393"/>
      <c r="Q292" s="264">
        <v>10137303</v>
      </c>
    </row>
    <row r="293" spans="1:18" ht="15.75">
      <c r="A293" s="298">
        <v>928000</v>
      </c>
      <c r="B293" s="297" t="s">
        <v>409</v>
      </c>
      <c r="C293" s="296"/>
      <c r="F293" s="264">
        <f t="shared" si="7"/>
        <v>4566</v>
      </c>
      <c r="G293" s="264">
        <v>0</v>
      </c>
      <c r="H293" s="695">
        <v>4566182</v>
      </c>
      <c r="M293" s="393"/>
      <c r="Q293" s="264">
        <v>192090</v>
      </c>
    </row>
    <row r="294" spans="1:18" ht="15.75">
      <c r="A294" s="298">
        <v>930000</v>
      </c>
      <c r="B294" s="297" t="s">
        <v>410</v>
      </c>
      <c r="C294" s="296"/>
      <c r="F294" s="264">
        <f t="shared" si="7"/>
        <v>3567</v>
      </c>
      <c r="G294" s="264">
        <v>0</v>
      </c>
      <c r="H294" s="695">
        <v>3567363</v>
      </c>
      <c r="M294" s="393"/>
      <c r="Q294" s="264">
        <v>5865595</v>
      </c>
      <c r="R294" s="264" t="s">
        <v>650</v>
      </c>
    </row>
    <row r="295" spans="1:18" ht="15.75">
      <c r="A295" s="298">
        <v>931000</v>
      </c>
      <c r="B295" s="297" t="s">
        <v>411</v>
      </c>
      <c r="C295" s="296"/>
      <c r="F295" s="264">
        <f t="shared" si="7"/>
        <v>213</v>
      </c>
      <c r="G295" s="264">
        <v>0</v>
      </c>
      <c r="H295" s="695">
        <v>213159</v>
      </c>
      <c r="M295" s="393"/>
      <c r="Q295" s="264">
        <v>20485</v>
      </c>
    </row>
    <row r="296" spans="1:18" ht="15.75">
      <c r="A296" s="298">
        <v>935000</v>
      </c>
      <c r="B296" s="297" t="s">
        <v>412</v>
      </c>
      <c r="C296" s="296"/>
      <c r="F296" s="264">
        <f t="shared" si="7"/>
        <v>8871</v>
      </c>
      <c r="G296" s="264">
        <v>0</v>
      </c>
      <c r="H296" s="695">
        <v>8871294</v>
      </c>
      <c r="M296" s="393"/>
    </row>
    <row r="297" spans="1:18" ht="15.75">
      <c r="A297" s="295"/>
      <c r="B297" s="297" t="s">
        <v>413</v>
      </c>
      <c r="C297" s="296"/>
      <c r="F297" s="264">
        <f t="shared" si="7"/>
        <v>55880</v>
      </c>
      <c r="G297" s="264">
        <v>0</v>
      </c>
      <c r="H297" s="695">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635</v>
      </c>
      <c r="C303" s="296"/>
      <c r="F303" s="264">
        <f t="shared" si="8"/>
        <v>0</v>
      </c>
      <c r="G303" s="264">
        <v>0</v>
      </c>
      <c r="H303" s="264">
        <v>0</v>
      </c>
      <c r="M303" s="393"/>
    </row>
    <row r="304" spans="1:18" ht="15.75">
      <c r="A304" s="394">
        <v>407230</v>
      </c>
      <c r="B304" s="393" t="s">
        <v>698</v>
      </c>
      <c r="C304" s="296"/>
      <c r="F304" s="264">
        <f t="shared" si="8"/>
        <v>-3914</v>
      </c>
      <c r="G304" s="264">
        <v>0</v>
      </c>
      <c r="H304" s="264">
        <v>-3914140</v>
      </c>
      <c r="M304" s="393"/>
    </row>
    <row r="305" spans="1:13" ht="15.75">
      <c r="A305" s="394">
        <v>407311</v>
      </c>
      <c r="B305" s="393" t="s">
        <v>699</v>
      </c>
      <c r="C305" s="296"/>
      <c r="F305" s="264">
        <f t="shared" si="8"/>
        <v>774</v>
      </c>
      <c r="G305" s="264">
        <v>0</v>
      </c>
      <c r="H305" s="264">
        <v>774191</v>
      </c>
      <c r="M305" s="393"/>
    </row>
    <row r="306" spans="1:13" ht="15.75">
      <c r="A306" s="394">
        <v>407319</v>
      </c>
      <c r="B306" s="393" t="s">
        <v>700</v>
      </c>
      <c r="C306" s="296"/>
      <c r="F306" s="264">
        <f t="shared" si="8"/>
        <v>779</v>
      </c>
      <c r="G306" s="264">
        <v>0</v>
      </c>
      <c r="H306" s="264">
        <v>778866</v>
      </c>
      <c r="M306" s="393"/>
    </row>
    <row r="307" spans="1:13" ht="15.75">
      <c r="A307" s="394">
        <v>407332</v>
      </c>
      <c r="B307" s="393" t="s">
        <v>701</v>
      </c>
      <c r="C307" s="296"/>
      <c r="F307" s="264">
        <f t="shared" si="8"/>
        <v>753</v>
      </c>
      <c r="G307" s="264">
        <v>0</v>
      </c>
      <c r="H307" s="264">
        <v>752825</v>
      </c>
      <c r="M307" s="393"/>
    </row>
    <row r="308" spans="1:13" ht="15.75">
      <c r="A308" s="394">
        <v>407414</v>
      </c>
      <c r="B308" s="393" t="s">
        <v>702</v>
      </c>
      <c r="C308" s="296"/>
      <c r="F308" s="264">
        <f t="shared" si="8"/>
        <v>-712</v>
      </c>
      <c r="G308" s="264">
        <v>0</v>
      </c>
      <c r="H308" s="264">
        <v>-711613</v>
      </c>
      <c r="M308" s="393"/>
    </row>
    <row r="309" spans="1:13" ht="15.75">
      <c r="A309" s="394">
        <v>407436</v>
      </c>
      <c r="B309" s="393" t="s">
        <v>722</v>
      </c>
      <c r="C309" s="296"/>
      <c r="F309" s="264">
        <f t="shared" si="8"/>
        <v>-6698</v>
      </c>
      <c r="G309" s="264">
        <v>0</v>
      </c>
      <c r="H309" s="264">
        <v>-6697703</v>
      </c>
      <c r="M309" s="393"/>
    </row>
    <row r="310" spans="1:13" ht="15.75">
      <c r="A310" s="394">
        <v>407468</v>
      </c>
      <c r="B310" s="393" t="s">
        <v>642</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608</v>
      </c>
      <c r="F326" s="264">
        <f t="shared" si="8"/>
        <v>5284</v>
      </c>
      <c r="G326" s="264">
        <v>0</v>
      </c>
      <c r="H326" s="264">
        <v>5284020</v>
      </c>
      <c r="M326" s="396"/>
    </row>
    <row r="327" spans="1:13" ht="15.75">
      <c r="A327" s="305">
        <v>182325</v>
      </c>
      <c r="B327" s="300" t="s">
        <v>609</v>
      </c>
      <c r="F327" s="264">
        <f t="shared" si="8"/>
        <v>1313</v>
      </c>
      <c r="G327" s="264">
        <v>0</v>
      </c>
      <c r="H327" s="264">
        <v>1312800</v>
      </c>
      <c r="M327" s="393"/>
    </row>
    <row r="328" spans="1:13" ht="15.75">
      <c r="A328" s="305">
        <v>182333</v>
      </c>
      <c r="B328" s="300" t="s">
        <v>610</v>
      </c>
      <c r="F328" s="264">
        <f t="shared" si="8"/>
        <v>742</v>
      </c>
      <c r="G328" s="264">
        <v>0</v>
      </c>
      <c r="H328" s="264">
        <v>741853</v>
      </c>
      <c r="M328" s="396"/>
    </row>
    <row r="329" spans="1:13" ht="15.75">
      <c r="A329" s="305">
        <v>182381</v>
      </c>
      <c r="B329" s="300" t="s">
        <v>611</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643</v>
      </c>
      <c r="F334" s="264">
        <f t="shared" si="8"/>
        <v>49238</v>
      </c>
      <c r="G334" s="264">
        <v>0</v>
      </c>
      <c r="H334" s="264">
        <v>49238107</v>
      </c>
      <c r="M334" s="393"/>
    </row>
    <row r="335" spans="1:13" ht="15.75">
      <c r="A335" s="398">
        <v>303120</v>
      </c>
      <c r="B335" s="393" t="s">
        <v>703</v>
      </c>
      <c r="F335" s="264">
        <f t="shared" si="8"/>
        <v>14785</v>
      </c>
      <c r="G335" s="264">
        <v>0</v>
      </c>
      <c r="H335" s="264">
        <v>14784796</v>
      </c>
      <c r="M335" s="393"/>
    </row>
    <row r="336" spans="1:13" ht="15.75">
      <c r="A336" s="398">
        <v>303121</v>
      </c>
      <c r="B336" s="393" t="s">
        <v>704</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612</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613</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6">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637</v>
      </c>
      <c r="B374" s="393" t="s">
        <v>638</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13">
        <v>360500</v>
      </c>
      <c r="B388" s="396" t="s">
        <v>662</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633</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13" t="s">
        <v>663</v>
      </c>
      <c r="B398" s="396" t="s">
        <v>664</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665</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705</v>
      </c>
      <c r="F446" s="264">
        <f t="shared" si="11"/>
        <v>-716</v>
      </c>
      <c r="G446" s="264">
        <v>0</v>
      </c>
      <c r="H446" s="264">
        <v>-716236</v>
      </c>
      <c r="M446" s="400"/>
    </row>
    <row r="447" spans="1:13" ht="15.75">
      <c r="A447" s="313"/>
      <c r="B447" s="312" t="s">
        <v>614</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615</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706</v>
      </c>
      <c r="C458" s="297"/>
      <c r="F458" s="264">
        <f t="shared" si="12"/>
        <v>2498</v>
      </c>
      <c r="G458" s="264">
        <v>0</v>
      </c>
      <c r="H458" s="264">
        <v>2498264</v>
      </c>
      <c r="M458" s="393" t="s">
        <v>735</v>
      </c>
    </row>
    <row r="459" spans="1:13" ht="15.75">
      <c r="A459" s="314"/>
      <c r="B459" s="393" t="s">
        <v>707</v>
      </c>
      <c r="C459" s="297"/>
      <c r="F459" s="264">
        <f t="shared" si="12"/>
        <v>-192</v>
      </c>
      <c r="G459" s="264">
        <v>0</v>
      </c>
      <c r="H459" s="264">
        <v>-191882</v>
      </c>
      <c r="M459" s="393" t="s">
        <v>707</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616</v>
      </c>
      <c r="C463" s="297"/>
      <c r="F463" s="264">
        <f t="shared" si="12"/>
        <v>-1968</v>
      </c>
      <c r="G463" s="264">
        <v>0</v>
      </c>
      <c r="H463" s="264">
        <v>-1967897</v>
      </c>
      <c r="M463" s="402" t="s">
        <v>616</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723</v>
      </c>
      <c r="C472" s="300"/>
      <c r="F472" s="264">
        <f t="shared" si="12"/>
        <v>-2243</v>
      </c>
      <c r="G472" s="264">
        <v>0</v>
      </c>
      <c r="H472" s="264">
        <v>-2243369</v>
      </c>
      <c r="M472" s="396" t="s">
        <v>723</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617</v>
      </c>
      <c r="C475" s="300"/>
      <c r="F475" s="264">
        <f t="shared" si="12"/>
        <v>16</v>
      </c>
      <c r="G475" s="264">
        <v>0</v>
      </c>
      <c r="H475" s="264">
        <v>15676</v>
      </c>
      <c r="M475" s="396" t="s">
        <v>617</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708</v>
      </c>
      <c r="C487" s="300"/>
      <c r="F487" s="264">
        <f t="shared" si="12"/>
        <v>0</v>
      </c>
      <c r="G487" s="264">
        <v>0</v>
      </c>
      <c r="H487" s="264">
        <v>0</v>
      </c>
      <c r="M487" s="402" t="s">
        <v>708</v>
      </c>
    </row>
    <row r="488" spans="1:13" ht="15.75">
      <c r="A488" s="315"/>
      <c r="B488" s="403" t="s">
        <v>724</v>
      </c>
      <c r="C488" s="300"/>
      <c r="F488" s="264">
        <f t="shared" si="12"/>
        <v>0</v>
      </c>
      <c r="G488" s="264">
        <v>0</v>
      </c>
      <c r="H488" s="264">
        <v>0</v>
      </c>
      <c r="M488" s="403" t="s">
        <v>724</v>
      </c>
    </row>
    <row r="489" spans="1:13" ht="15.75">
      <c r="A489" s="315"/>
      <c r="B489" s="396" t="s">
        <v>725</v>
      </c>
      <c r="C489" s="300"/>
      <c r="F489" s="264">
        <f t="shared" si="12"/>
        <v>0</v>
      </c>
      <c r="G489" s="264">
        <v>0</v>
      </c>
      <c r="H489" s="264">
        <v>0</v>
      </c>
      <c r="M489" s="396" t="s">
        <v>725</v>
      </c>
    </row>
    <row r="490" spans="1:13" ht="15.75">
      <c r="A490" s="314"/>
      <c r="B490" s="402" t="s">
        <v>726</v>
      </c>
      <c r="C490" s="300"/>
      <c r="F490" s="264">
        <f t="shared" si="12"/>
        <v>0</v>
      </c>
      <c r="G490" s="264">
        <v>0</v>
      </c>
      <c r="H490" s="264">
        <v>0</v>
      </c>
      <c r="M490" s="402" t="s">
        <v>726</v>
      </c>
    </row>
    <row r="491" spans="1:13" ht="15.75">
      <c r="A491" s="314"/>
      <c r="B491" s="396" t="s">
        <v>727</v>
      </c>
      <c r="C491" s="300"/>
      <c r="F491" s="264">
        <f t="shared" si="12"/>
        <v>0</v>
      </c>
      <c r="G491" s="264">
        <v>0</v>
      </c>
      <c r="H491" s="264">
        <v>0</v>
      </c>
      <c r="M491" s="396" t="s">
        <v>727</v>
      </c>
    </row>
    <row r="492" spans="1:13" ht="15.75">
      <c r="A492" s="314"/>
      <c r="B492" s="402" t="s">
        <v>728</v>
      </c>
      <c r="C492" s="300"/>
      <c r="F492" s="264">
        <f t="shared" si="12"/>
        <v>0</v>
      </c>
      <c r="G492" s="264">
        <v>0</v>
      </c>
      <c r="H492" s="264">
        <v>0</v>
      </c>
      <c r="M492" s="402" t="s">
        <v>728</v>
      </c>
    </row>
    <row r="493" spans="1:13" ht="15.75">
      <c r="B493" s="402" t="s">
        <v>729</v>
      </c>
      <c r="C493" s="300"/>
      <c r="F493" s="264">
        <f t="shared" si="12"/>
        <v>0</v>
      </c>
      <c r="G493" s="264">
        <v>0</v>
      </c>
      <c r="H493" s="264">
        <v>0</v>
      </c>
      <c r="M493" s="402" t="s">
        <v>729</v>
      </c>
    </row>
    <row r="494" spans="1:13" ht="15.75">
      <c r="B494" s="402" t="s">
        <v>730</v>
      </c>
      <c r="C494" s="300"/>
      <c r="F494" s="264">
        <f t="shared" si="12"/>
        <v>0</v>
      </c>
      <c r="G494" s="264">
        <v>0</v>
      </c>
      <c r="H494" s="264">
        <v>0</v>
      </c>
      <c r="M494" s="402" t="s">
        <v>730</v>
      </c>
    </row>
    <row r="495" spans="1:13" ht="15.75">
      <c r="B495" s="402" t="s">
        <v>731</v>
      </c>
      <c r="C495" s="300"/>
      <c r="F495" s="264">
        <f t="shared" si="12"/>
        <v>0</v>
      </c>
      <c r="G495" s="264">
        <v>0</v>
      </c>
      <c r="H495" s="264">
        <v>0</v>
      </c>
      <c r="M495" s="402" t="s">
        <v>731</v>
      </c>
    </row>
    <row r="496" spans="1:13" ht="15.75">
      <c r="B496" s="402" t="s">
        <v>732</v>
      </c>
      <c r="C496" s="300"/>
      <c r="F496" s="264">
        <f t="shared" si="12"/>
        <v>0</v>
      </c>
      <c r="G496" s="264">
        <v>0</v>
      </c>
      <c r="H496" s="264">
        <v>0</v>
      </c>
      <c r="M496" s="402" t="s">
        <v>732</v>
      </c>
    </row>
    <row r="497" spans="2:13" ht="15.75">
      <c r="B497" s="402" t="s">
        <v>733</v>
      </c>
      <c r="C497" s="300"/>
      <c r="F497" s="264">
        <f t="shared" si="12"/>
        <v>0</v>
      </c>
      <c r="G497" s="264">
        <v>0</v>
      </c>
      <c r="H497" s="264">
        <v>0</v>
      </c>
      <c r="M497" s="402" t="s">
        <v>733</v>
      </c>
    </row>
    <row r="498" spans="2:13" ht="15.75">
      <c r="B498" s="402" t="s">
        <v>734</v>
      </c>
      <c r="C498" s="300"/>
      <c r="F498" s="264">
        <f t="shared" si="12"/>
        <v>0</v>
      </c>
      <c r="G498" s="264">
        <v>0</v>
      </c>
      <c r="H498" s="264">
        <v>0</v>
      </c>
      <c r="M498" s="402" t="s">
        <v>734</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activeCell="E178" sqref="E178"/>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869" t="s">
        <v>116</v>
      </c>
      <c r="B1" s="869"/>
      <c r="C1" s="869"/>
      <c r="D1" s="869"/>
      <c r="E1" s="869"/>
      <c r="F1" s="869"/>
      <c r="G1" s="869"/>
      <c r="H1" s="869"/>
    </row>
    <row r="2" spans="1:9">
      <c r="A2" s="869" t="s">
        <v>558</v>
      </c>
      <c r="B2" s="869"/>
      <c r="C2" s="869"/>
      <c r="D2" s="869"/>
      <c r="E2" s="869"/>
      <c r="F2" s="869"/>
      <c r="G2" s="869"/>
      <c r="H2" s="869"/>
    </row>
    <row r="3" spans="1:9">
      <c r="A3" s="869" t="s">
        <v>164</v>
      </c>
      <c r="B3" s="869"/>
      <c r="C3" s="869"/>
      <c r="D3" s="869"/>
      <c r="E3" s="869"/>
      <c r="F3" s="869"/>
      <c r="G3" s="869"/>
      <c r="H3" s="869"/>
    </row>
    <row r="4" spans="1:9">
      <c r="A4" s="870" t="str">
        <f>'ADJ DETAIL-INPUT'!A4</f>
        <v>TWELVE MONTHS ENDED DECEMBER 31, 2019</v>
      </c>
      <c r="B4" s="870"/>
      <c r="C4" s="870"/>
      <c r="D4" s="870"/>
      <c r="E4" s="870"/>
      <c r="F4" s="870"/>
      <c r="G4" s="870"/>
      <c r="H4" s="870"/>
    </row>
    <row r="5" spans="1:9">
      <c r="A5" s="871" t="s">
        <v>143</v>
      </c>
      <c r="B5" s="871"/>
      <c r="C5" s="871"/>
      <c r="D5" s="871"/>
      <c r="E5" s="871"/>
      <c r="F5" s="871"/>
      <c r="G5" s="871"/>
      <c r="H5" s="871"/>
    </row>
    <row r="6" spans="1:9" ht="13.5" thickBot="1">
      <c r="A6" s="340"/>
      <c r="B6" s="347"/>
      <c r="C6" s="64"/>
      <c r="D6" s="65"/>
      <c r="E6" s="65"/>
      <c r="F6" s="65"/>
      <c r="I6" s="67" t="s">
        <v>559</v>
      </c>
    </row>
    <row r="7" spans="1:9" ht="13.5" thickBot="1">
      <c r="C7" s="66"/>
      <c r="D7" s="66"/>
      <c r="E7" s="866" t="s">
        <v>558</v>
      </c>
      <c r="F7" s="867"/>
      <c r="G7" s="868"/>
      <c r="I7" s="67" t="s">
        <v>560</v>
      </c>
    </row>
    <row r="8" spans="1:9">
      <c r="C8" s="66"/>
      <c r="D8" s="66"/>
      <c r="E8" s="341">
        <f>'ADJ DETAIL-INPUT'!W10</f>
        <v>2.139999999999997</v>
      </c>
      <c r="F8" s="369"/>
      <c r="G8" s="369"/>
      <c r="I8" s="67"/>
    </row>
    <row r="9" spans="1:9">
      <c r="C9" s="66"/>
      <c r="D9" s="66"/>
      <c r="E9" s="68" t="s">
        <v>25</v>
      </c>
      <c r="F9" s="67" t="s">
        <v>589</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934.18000000000029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251</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21049.028985405777</v>
      </c>
      <c r="G34" s="63">
        <f t="shared" si="1"/>
        <v>21049.028985405777</v>
      </c>
      <c r="I34" s="351">
        <f t="shared" si="0"/>
        <v>-110</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9316.0669790457214</v>
      </c>
      <c r="G47" s="63">
        <f t="shared" si="3"/>
        <v>9316.0669790457214</v>
      </c>
      <c r="I47" s="351">
        <f t="shared" si="0"/>
        <v>-49</v>
      </c>
    </row>
    <row r="48" spans="1:9">
      <c r="A48" s="341">
        <f>'ADJ SUMMARY'!A50</f>
        <v>3.1199999999999974</v>
      </c>
      <c r="B48" s="349" t="str">
        <f>'ADJ SUMMARY'!C50</f>
        <v>Pro Forma 2020 Large &amp; Distinct</v>
      </c>
      <c r="C48" s="66"/>
      <c r="D48" s="66"/>
      <c r="E48" s="70"/>
      <c r="F48" s="351">
        <f>'ADJ SUMMARY'!E50</f>
        <v>23307.524261841289</v>
      </c>
      <c r="G48" s="63">
        <f t="shared" si="3"/>
        <v>23307.524261841289</v>
      </c>
      <c r="I48" s="351">
        <f t="shared" si="0"/>
        <v>-121</v>
      </c>
    </row>
    <row r="49" spans="1:16">
      <c r="A49" s="341">
        <f>'ADJ SUMMARY'!A51</f>
        <v>3.1299999999999972</v>
      </c>
      <c r="B49" s="349" t="str">
        <f>'ADJ SUMMARY'!C51</f>
        <v>Pro Forma 2020 Programmatic</v>
      </c>
      <c r="C49" s="66"/>
      <c r="D49" s="66"/>
      <c r="E49" s="70"/>
      <c r="F49" s="351">
        <f>'ADJ SUMMARY'!E51</f>
        <v>51537.676443689525</v>
      </c>
      <c r="G49" s="63">
        <f t="shared" si="3"/>
        <v>51537.676443689525</v>
      </c>
      <c r="I49" s="351">
        <f t="shared" si="0"/>
        <v>-268</v>
      </c>
    </row>
    <row r="50" spans="1:16">
      <c r="A50" s="341">
        <f>'ADJ SUMMARY'!A52</f>
        <v>3.139999999999997</v>
      </c>
      <c r="B50" s="349" t="str">
        <f>'ADJ SUMMARY'!C52</f>
        <v>Pro Forma 2020 Mandatory &amp; Compliance</v>
      </c>
      <c r="C50" s="66"/>
      <c r="D50" s="66"/>
      <c r="E50" s="70"/>
      <c r="F50" s="351">
        <f>'ADJ SUMMARY'!E52</f>
        <v>35583.899668735903</v>
      </c>
      <c r="G50" s="63">
        <f t="shared" ref="G50:G51" si="5">SUM(E50:F50)</f>
        <v>35583.899668735903</v>
      </c>
      <c r="I50" s="351">
        <f t="shared" si="0"/>
        <v>-185</v>
      </c>
    </row>
    <row r="51" spans="1:16">
      <c r="A51" s="341">
        <f>'ADJ SUMMARY'!A53</f>
        <v>3.1499999999999968</v>
      </c>
      <c r="B51" s="349" t="str">
        <f>'ADJ SUMMARY'!C53</f>
        <v>Pro Forma 2020 Short Lived</v>
      </c>
      <c r="C51" s="66"/>
      <c r="D51" s="66"/>
      <c r="E51" s="70"/>
      <c r="F51" s="351">
        <f>'ADJ SUMMARY'!E53</f>
        <v>10885.756480909702</v>
      </c>
      <c r="G51" s="63">
        <f t="shared" si="5"/>
        <v>10885.756480909702</v>
      </c>
      <c r="I51" s="351">
        <f t="shared" si="0"/>
        <v>-57</v>
      </c>
    </row>
    <row r="52" spans="1:16">
      <c r="A52" s="341">
        <f>'ADJ SUMMARY'!A54</f>
        <v>3.1599999999999966</v>
      </c>
      <c r="B52" s="349" t="str">
        <f>'ADJ SUMMARY'!C54</f>
        <v>Pro Forma AMI Capital</v>
      </c>
      <c r="C52" s="66"/>
      <c r="D52" s="66"/>
      <c r="E52" s="70"/>
      <c r="F52" s="351">
        <f>'ADJ SUMMARY'!E54</f>
        <v>92163</v>
      </c>
      <c r="G52" s="63">
        <f t="shared" si="3"/>
        <v>92163</v>
      </c>
      <c r="I52" s="351">
        <f t="shared" si="0"/>
        <v>-480</v>
      </c>
    </row>
    <row r="53" spans="1:16">
      <c r="A53" s="341">
        <f>'ADJ SUMMARY'!A55</f>
        <v>3.1699999999999964</v>
      </c>
      <c r="B53" s="349" t="str">
        <f>'ADJ SUMMARY'!C55</f>
        <v>Pro Forma WildFire Plan</v>
      </c>
      <c r="C53" s="66"/>
      <c r="D53" s="66"/>
      <c r="E53" s="70"/>
      <c r="F53" s="351">
        <f>'ADJ SUMMARY'!E55</f>
        <v>13126</v>
      </c>
      <c r="G53" s="63">
        <f t="shared" si="3"/>
        <v>13126</v>
      </c>
      <c r="I53" s="351">
        <f t="shared" si="0"/>
        <v>-68</v>
      </c>
    </row>
    <row r="54" spans="1:16">
      <c r="A54" s="341">
        <f>'ADJ SUMMARY'!A56</f>
        <v>3.1799999999999962</v>
      </c>
      <c r="B54" s="349" t="str">
        <f>'ADJ SUMMARY'!C56</f>
        <v>Pro Forma EIM Expenditures</v>
      </c>
      <c r="C54" s="66"/>
      <c r="D54" s="66"/>
      <c r="E54" s="70"/>
      <c r="F54" s="351">
        <f>'ADJ SUMMARY'!E56</f>
        <v>9358</v>
      </c>
      <c r="G54" s="63">
        <f t="shared" ref="G54:G55" si="6">SUM(E54:F54)</f>
        <v>9358</v>
      </c>
      <c r="I54" s="351">
        <f t="shared" si="0"/>
        <v>-49</v>
      </c>
    </row>
    <row r="55" spans="1:16">
      <c r="A55" s="341">
        <f>'ADJ SUMMARY'!A57</f>
        <v>3.1899999999999959</v>
      </c>
      <c r="B55" s="349" t="str">
        <f>'ADJ SUMMARY'!C57</f>
        <v>Pro Forma Colstrip Cap &amp; Amortization</v>
      </c>
      <c r="C55" s="66"/>
      <c r="D55" s="66"/>
      <c r="E55" s="70"/>
      <c r="F55" s="351">
        <f>'ADJ SUMMARY'!E57</f>
        <v>-15605</v>
      </c>
      <c r="G55" s="63">
        <f t="shared" si="6"/>
        <v>-15605</v>
      </c>
      <c r="I55" s="351">
        <f t="shared" si="0"/>
        <v>81</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8"/>
      <c r="F57" s="703">
        <f>'ADJ SUMMARY'!E59</f>
        <v>-30542</v>
      </c>
      <c r="G57" s="479">
        <f>SUM(E57:F57)</f>
        <v>-30542</v>
      </c>
      <c r="H57" s="479"/>
      <c r="I57" s="703">
        <f t="shared" si="0"/>
        <v>159</v>
      </c>
    </row>
    <row r="58" spans="1:16" hidden="1">
      <c r="A58" s="341">
        <f>'ADJ SUMMARY'!A60</f>
        <v>3.2199999999999953</v>
      </c>
      <c r="B58" s="349" t="str">
        <f>'ADJ SUMMARY'!C60</f>
        <v>Pro Forma Open</v>
      </c>
      <c r="C58" s="66"/>
      <c r="D58" s="66"/>
      <c r="E58" s="478"/>
      <c r="F58" s="703">
        <f>'ADJ SUMMARY'!E60</f>
        <v>0</v>
      </c>
      <c r="G58" s="479">
        <f t="shared" ref="G58" si="7">SUM(E58:F58)</f>
        <v>0</v>
      </c>
      <c r="H58" s="479"/>
      <c r="I58" s="703">
        <f t="shared" ref="I58" si="8">ROUND(F58*$E$61*-$F$68,0)</f>
        <v>0</v>
      </c>
    </row>
    <row r="59" spans="1:16">
      <c r="B59" s="349" t="s">
        <v>594</v>
      </c>
      <c r="C59" s="66"/>
      <c r="D59" s="66"/>
      <c r="E59" s="99">
        <f>SUM(E11:E58)</f>
        <v>1710135</v>
      </c>
      <c r="F59" s="99">
        <f>SUM(F11:F58)</f>
        <v>167421.95281962791</v>
      </c>
      <c r="G59" s="99">
        <f>SUM(G11:G58)</f>
        <v>1877556.9528196279</v>
      </c>
      <c r="H59" s="70"/>
      <c r="I59" s="99"/>
      <c r="K59" s="480">
        <f>G59-'ADJ SUMMARY'!E62</f>
        <v>0</v>
      </c>
      <c r="L59" s="367" t="s">
        <v>586</v>
      </c>
      <c r="P59" s="147"/>
    </row>
    <row r="60" spans="1:16" ht="5.25" customHeight="1">
      <c r="C60" s="66"/>
      <c r="D60" s="66"/>
      <c r="E60" s="99"/>
      <c r="F60" s="99"/>
      <c r="G60" s="99"/>
    </row>
    <row r="61" spans="1:16">
      <c r="B61" s="85" t="s">
        <v>165</v>
      </c>
      <c r="C61" s="66"/>
      <c r="D61" s="66"/>
      <c r="E61" s="260">
        <f>'RR SUMMARY'!O12</f>
        <v>2.4799999999999999E-2</v>
      </c>
      <c r="F61" s="260">
        <f>E61-I61</f>
        <v>2.4799999999999999E-2</v>
      </c>
      <c r="G61" s="106"/>
      <c r="I61" s="260"/>
    </row>
    <row r="62" spans="1:16" ht="6" customHeight="1">
      <c r="C62" s="66"/>
      <c r="D62" s="66"/>
      <c r="E62" s="99"/>
      <c r="F62" s="99"/>
      <c r="G62" s="99"/>
    </row>
    <row r="63" spans="1:16">
      <c r="B63" s="85" t="s">
        <v>146</v>
      </c>
      <c r="C63" s="66"/>
      <c r="D63" s="66"/>
      <c r="E63" s="99">
        <f>E59*E61</f>
        <v>42411.347999999998</v>
      </c>
      <c r="F63" s="99">
        <f>F59*F61</f>
        <v>4152.0644299267724</v>
      </c>
      <c r="G63" s="99">
        <f>SUM(E63:F63)</f>
        <v>46563.412429926771</v>
      </c>
      <c r="I63" s="99">
        <f>SUM(I11:I58)</f>
        <v>62.180000000000291</v>
      </c>
    </row>
    <row r="64" spans="1:16">
      <c r="C64" s="66"/>
      <c r="D64" s="66"/>
      <c r="E64" s="99"/>
      <c r="F64" s="99"/>
      <c r="G64" s="99"/>
      <c r="I64" s="99"/>
    </row>
    <row r="65" spans="1:11">
      <c r="B65" s="85" t="s">
        <v>557</v>
      </c>
      <c r="C65" s="66"/>
      <c r="D65" s="66"/>
      <c r="E65" s="558">
        <v>46858</v>
      </c>
      <c r="F65" s="353"/>
      <c r="G65" s="106">
        <f>SUM(E65:F65)</f>
        <v>46858</v>
      </c>
      <c r="I65" s="353"/>
    </row>
    <row r="66" spans="1:11" ht="5.25" customHeight="1">
      <c r="C66" s="66"/>
      <c r="D66" s="66"/>
      <c r="E66" s="99"/>
      <c r="F66" s="99"/>
      <c r="G66" s="99"/>
      <c r="I66" s="99"/>
    </row>
    <row r="67" spans="1:11">
      <c r="B67" s="85" t="s">
        <v>148</v>
      </c>
      <c r="C67" s="66"/>
      <c r="D67" s="66"/>
      <c r="E67" s="99">
        <f>E63-E65</f>
        <v>-4446.6520000000019</v>
      </c>
      <c r="F67" s="99">
        <f>F63-F65</f>
        <v>4152.0644299267724</v>
      </c>
      <c r="G67" s="99">
        <f>SUM(E67:F67)</f>
        <v>-294.58757007322947</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934</v>
      </c>
      <c r="F70" s="132">
        <f>ROUND(F67*-F68,0)</f>
        <v>-872</v>
      </c>
      <c r="G70" s="132">
        <f>SUM(E70:F70)</f>
        <v>62</v>
      </c>
      <c r="I70" s="132">
        <f>I63</f>
        <v>62.180000000000291</v>
      </c>
      <c r="J70" s="370" t="s">
        <v>590</v>
      </c>
      <c r="K70" s="63">
        <f>'ADJ DETAIL-INPUT'!BC53+'ADJ DETAIL-INPUT'!W52-I70</f>
        <v>-0.11353028462247039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E2454F31-78A5-4076-AA54-485C0119A6FC}"/>
</file>

<file path=customXml/itemProps2.xml><?xml version="1.0" encoding="utf-8"?>
<ds:datastoreItem xmlns:ds="http://schemas.openxmlformats.org/officeDocument/2006/customXml" ds:itemID="{A8A999E8-7877-49CF-B76F-FDEF37CCA9CB}"/>
</file>

<file path=customXml/itemProps3.xml><?xml version="1.0" encoding="utf-8"?>
<ds:datastoreItem xmlns:ds="http://schemas.openxmlformats.org/officeDocument/2006/customXml" ds:itemID="{F0C1E550-1689-473C-BBB3-5C4D24E9BD9F}"/>
</file>

<file path=customXml/itemProps4.xml><?xml version="1.0" encoding="utf-8"?>
<ds:datastoreItem xmlns:ds="http://schemas.openxmlformats.org/officeDocument/2006/customXml" ds:itemID="{060CAB0F-8A96-4CAE-8B1C-D7BA94022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ADJ SUMMARY</vt:lpstr>
      <vt:lpstr>LEAD SHEETS-DO NOT ENTER</vt:lpstr>
      <vt:lpstr>ROO INPUT</vt:lpstr>
      <vt:lpstr>DEBT CALC</vt:lpstr>
      <vt:lpstr>COMPARISON</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Andrews, Liz</cp:lastModifiedBy>
  <cp:lastPrinted>2020-10-23T19:16:52Z</cp:lastPrinted>
  <dcterms:created xsi:type="dcterms:W3CDTF">1997-05-15T21:41:44Z</dcterms:created>
  <dcterms:modified xsi:type="dcterms:W3CDTF">2020-10-23T19:17:12Z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