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U:\Supply Resource Planning\2023 CNG IRP WA\Narrative\Appendices\Appendix H\"/>
    </mc:Choice>
  </mc:AlternateContent>
  <xr:revisionPtr revIDLastSave="0" documentId="13_ncr:1_{6987E118-FFBF-4612-9D80-DB3256DF8A31}" xr6:coauthVersionLast="47" xr6:coauthVersionMax="47" xr10:uidLastSave="{00000000-0000-0000-0000-000000000000}"/>
  <bookViews>
    <workbookView xWindow="28680" yWindow="-120" windowWidth="29040" windowHeight="15840" tabRatio="890" firstSheet="3" activeTab="12" xr2:uid="{78B4EB8C-1C98-4BA4-8952-D0A42100AD17}"/>
  </bookViews>
  <sheets>
    <sheet name="SUMMARY" sheetId="1" r:id="rId1"/>
    <sheet name="NEW FINAL CALCULATION " sheetId="20" r:id="rId2"/>
    <sheet name="INCRM FIXED TRANSPORT" sheetId="2" r:id="rId3"/>
    <sheet name="VARIABLE TRANSPORT" sheetId="3" r:id="rId4"/>
    <sheet name="FUEL" sheetId="13" r:id="rId5"/>
    <sheet name="FIXED STORAGE" sheetId="4" r:id="rId6"/>
    <sheet name="VARIABLE STORAGE" sheetId="5" r:id="rId7"/>
    <sheet name="COMMODITY COST" sheetId="6" r:id="rId8"/>
    <sheet name="CARBON TAX" sheetId="7" r:id="rId9"/>
    <sheet name="Upstream Emissions" sheetId="22" r:id="rId10"/>
    <sheet name="ENVIRONMENTAL ADDER" sheetId="8" r:id="rId11"/>
    <sheet name="DISTRIBUTION SYSTEM" sheetId="9" r:id="rId12"/>
    <sheet name="RISK PREMIUM" sheetId="10" r:id="rId13"/>
    <sheet name="INFLATION" sheetId="11" r:id="rId14"/>
    <sheet name="CARBON SENSITIVITIES ---&gt;" sheetId="14" r:id="rId15"/>
    <sheet name="Cap and Trade" sheetId="16" r:id="rId16"/>
    <sheet name="Market Choice" sheetId="17" r:id="rId17"/>
    <sheet name="Raise Wages" sheetId="18" r:id="rId18"/>
  </sheets>
  <externalReferences>
    <externalReference r:id="rId19"/>
    <externalReference r:id="rId20"/>
  </externalReferences>
  <definedNames>
    <definedName name="_xlnm.Print_Area" localSheetId="8">'CARBON TAX'!$A$1:$O$40</definedName>
    <definedName name="_xlnm.Print_Area" localSheetId="7">'COMMODITY COST'!$A$1:$W$25</definedName>
    <definedName name="_xlnm.Print_Area" localSheetId="11">'DISTRIBUTION SYSTEM'!$A$1:$H$25</definedName>
    <definedName name="_xlnm.Print_Area" localSheetId="10">'ENVIRONMENTAL ADDER'!$A$1:$F$25</definedName>
    <definedName name="_xlnm.Print_Area" localSheetId="5">'FIXED STORAGE'!$A$1:$F$25</definedName>
    <definedName name="_xlnm.Print_Area" localSheetId="4">FUEL!$A$1:$H$47</definedName>
    <definedName name="_xlnm.Print_Area" localSheetId="2">'INCRM FIXED TRANSPORT'!$A$1:$F$26</definedName>
    <definedName name="_xlnm.Print_Area" localSheetId="13">INFLATION!$A$1:$B$51</definedName>
    <definedName name="_xlnm.Print_Area" localSheetId="1">'NEW FINAL CALCULATION '!$B$1:$W$48</definedName>
    <definedName name="_xlnm.Print_Area" localSheetId="12">'RISK PREMIUM'!$A$1:$B$26</definedName>
    <definedName name="_xlnm.Print_Area" localSheetId="0">SUMMARY!$A$1:$K$15</definedName>
    <definedName name="_xlnm.Print_Area" localSheetId="9">'Upstream Emissions'!$A$1:$T$106</definedName>
    <definedName name="_xlnm.Print_Area" localSheetId="6">'VARIABLE STORAGE'!$A$1:$F$26</definedName>
    <definedName name="_xlnm.Print_Area" localSheetId="3">'VARIABLE TRANSPORT'!$A$1:$I$35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4" l="1"/>
  <c r="B24" i="4"/>
  <c r="B22" i="4"/>
  <c r="E5" i="4"/>
  <c r="B5" i="4"/>
  <c r="B6" i="4"/>
  <c r="B7" i="4"/>
  <c r="B8" i="4"/>
  <c r="B9" i="4"/>
  <c r="B10" i="4"/>
  <c r="B11" i="4"/>
  <c r="B12" i="4"/>
  <c r="B13" i="4"/>
  <c r="B14" i="4"/>
  <c r="B15" i="4"/>
  <c r="B16" i="4"/>
  <c r="B17" i="4"/>
  <c r="B18" i="4"/>
  <c r="B19" i="4"/>
  <c r="B20" i="4"/>
  <c r="B21" i="4"/>
  <c r="Q4" i="22"/>
  <c r="Q7" i="22" s="1"/>
  <c r="Q10" i="22" s="1"/>
  <c r="G3" i="22"/>
  <c r="C2" i="22"/>
  <c r="S10" i="22" l="1"/>
  <c r="E3" i="22"/>
  <c r="F3" i="22" s="1"/>
  <c r="P10" i="22"/>
  <c r="R10" i="22" s="1"/>
  <c r="H4" i="22" l="1"/>
  <c r="H3" i="22"/>
  <c r="H39" i="7" s="1"/>
  <c r="B18" i="9" l="1"/>
  <c r="C23" i="9"/>
  <c r="B23" i="9"/>
  <c r="B12" i="9"/>
  <c r="B6" i="9"/>
  <c r="B35" i="11"/>
  <c r="B36" i="11" s="1"/>
  <c r="B37" i="11" s="1"/>
  <c r="B38" i="11" s="1"/>
  <c r="B39" i="11" s="1"/>
  <c r="B40" i="11" s="1"/>
  <c r="B41" i="11" s="1"/>
  <c r="B42" i="11" s="1"/>
  <c r="B43" i="11" s="1"/>
  <c r="B44" i="11" s="1"/>
  <c r="B45" i="11" s="1"/>
  <c r="B46" i="11" s="1"/>
  <c r="B47" i="11" s="1"/>
  <c r="B48" i="11" s="1"/>
  <c r="B49" i="11" s="1"/>
  <c r="B50" i="11" s="1"/>
  <c r="B51" i="11" s="1"/>
  <c r="B34" i="11"/>
  <c r="B5" i="6"/>
  <c r="B6" i="6"/>
  <c r="B7" i="6"/>
  <c r="B8" i="6"/>
  <c r="B9" i="6"/>
  <c r="B10" i="6"/>
  <c r="B11" i="6"/>
  <c r="B12" i="6"/>
  <c r="B13" i="6"/>
  <c r="B14" i="6"/>
  <c r="B15" i="6"/>
  <c r="B16" i="6"/>
  <c r="B17" i="6"/>
  <c r="B18" i="6"/>
  <c r="B19" i="6"/>
  <c r="B20" i="6"/>
  <c r="B21" i="6"/>
  <c r="B22" i="6"/>
  <c r="B23" i="6"/>
  <c r="B4" i="6"/>
  <c r="A6" i="7" l="1"/>
  <c r="C4" i="6"/>
  <c r="D4" i="6"/>
  <c r="E4" i="6"/>
  <c r="F4" i="6"/>
  <c r="G4" i="6"/>
  <c r="H4" i="6"/>
  <c r="C5" i="6"/>
  <c r="D5" i="6"/>
  <c r="E5" i="6"/>
  <c r="F5" i="6"/>
  <c r="G5" i="6"/>
  <c r="H5" i="6"/>
  <c r="C6" i="6"/>
  <c r="D6" i="6"/>
  <c r="E6" i="6"/>
  <c r="F6" i="6"/>
  <c r="G6" i="6"/>
  <c r="H6" i="6"/>
  <c r="C7" i="6"/>
  <c r="D7" i="6"/>
  <c r="E7" i="6"/>
  <c r="F7" i="6"/>
  <c r="G7" i="6"/>
  <c r="H7" i="6"/>
  <c r="C8" i="6"/>
  <c r="D8" i="6"/>
  <c r="E8" i="6"/>
  <c r="F8" i="6"/>
  <c r="G8" i="6"/>
  <c r="H8" i="6"/>
  <c r="C9" i="6"/>
  <c r="D9" i="6"/>
  <c r="E9" i="6"/>
  <c r="F9" i="6"/>
  <c r="G9" i="6"/>
  <c r="H9" i="6"/>
  <c r="C10" i="6"/>
  <c r="D10" i="6"/>
  <c r="E10" i="6"/>
  <c r="F10" i="6"/>
  <c r="G10" i="6"/>
  <c r="H10" i="6"/>
  <c r="C11" i="6"/>
  <c r="D11" i="6"/>
  <c r="E11" i="6"/>
  <c r="F11" i="6"/>
  <c r="G11" i="6"/>
  <c r="H11" i="6"/>
  <c r="C12" i="6"/>
  <c r="D12" i="6"/>
  <c r="E12" i="6"/>
  <c r="F12" i="6"/>
  <c r="G12" i="6"/>
  <c r="H12" i="6"/>
  <c r="C13" i="6"/>
  <c r="D13" i="6"/>
  <c r="E13" i="6"/>
  <c r="F13" i="6"/>
  <c r="G13" i="6"/>
  <c r="H13" i="6"/>
  <c r="C14" i="6"/>
  <c r="D14" i="6"/>
  <c r="E14" i="6"/>
  <c r="F14" i="6"/>
  <c r="G14" i="6"/>
  <c r="H14" i="6"/>
  <c r="C15" i="6"/>
  <c r="D15" i="6"/>
  <c r="E15" i="6"/>
  <c r="F15" i="6"/>
  <c r="G15" i="6"/>
  <c r="H15" i="6"/>
  <c r="C16" i="6"/>
  <c r="D16" i="6"/>
  <c r="E16" i="6"/>
  <c r="F16" i="6"/>
  <c r="G16" i="6"/>
  <c r="H16" i="6"/>
  <c r="C17" i="6"/>
  <c r="D17" i="6"/>
  <c r="E17" i="6"/>
  <c r="F17" i="6"/>
  <c r="G17" i="6"/>
  <c r="H17" i="6"/>
  <c r="C18" i="6"/>
  <c r="D18" i="6"/>
  <c r="E18" i="6"/>
  <c r="F18" i="6"/>
  <c r="G18" i="6"/>
  <c r="H18" i="6"/>
  <c r="C19" i="6"/>
  <c r="D19" i="6"/>
  <c r="E19" i="6"/>
  <c r="F19" i="6"/>
  <c r="G19" i="6"/>
  <c r="H19" i="6"/>
  <c r="C20" i="6"/>
  <c r="D20" i="6"/>
  <c r="E20" i="6"/>
  <c r="F20" i="6"/>
  <c r="G20" i="6"/>
  <c r="H20" i="6"/>
  <c r="C21" i="6"/>
  <c r="D21" i="6"/>
  <c r="E21" i="6"/>
  <c r="F21" i="6"/>
  <c r="G21" i="6"/>
  <c r="H21" i="6"/>
  <c r="C22" i="6"/>
  <c r="D22" i="6"/>
  <c r="E22" i="6"/>
  <c r="F22" i="6"/>
  <c r="G22" i="6"/>
  <c r="H22" i="6"/>
  <c r="C23" i="6"/>
  <c r="D23" i="6"/>
  <c r="E23" i="6"/>
  <c r="F23" i="6"/>
  <c r="G23" i="6"/>
  <c r="H23" i="6"/>
  <c r="A4" i="6"/>
  <c r="A5" i="6" s="1"/>
  <c r="A5" i="3"/>
  <c r="M84" i="13"/>
  <c r="B19" i="13" s="1"/>
  <c r="A5" i="13"/>
  <c r="A6" i="13" s="1"/>
  <c r="A7" i="13" s="1"/>
  <c r="A8" i="13" s="1"/>
  <c r="A9" i="13" s="1"/>
  <c r="A10" i="13" s="1"/>
  <c r="A11" i="13" s="1"/>
  <c r="A12" i="13" s="1"/>
  <c r="A13" i="13" s="1"/>
  <c r="A14" i="13" s="1"/>
  <c r="A15" i="13" s="1"/>
  <c r="A16" i="13" s="1"/>
  <c r="A17" i="13" s="1"/>
  <c r="A18" i="13" s="1"/>
  <c r="A19" i="13" s="1"/>
  <c r="A20" i="13" s="1"/>
  <c r="A21" i="13" s="1"/>
  <c r="A22" i="13" s="1"/>
  <c r="A23" i="13" s="1"/>
  <c r="A24" i="13" s="1"/>
  <c r="D6" i="3"/>
  <c r="D7" i="3" s="1"/>
  <c r="D8" i="3" s="1"/>
  <c r="D9" i="3" s="1"/>
  <c r="D10" i="3" s="1"/>
  <c r="D11" i="3" s="1"/>
  <c r="D12" i="3" s="1"/>
  <c r="D13" i="3" s="1"/>
  <c r="D14" i="3" s="1"/>
  <c r="D15" i="3" s="1"/>
  <c r="D16" i="3" s="1"/>
  <c r="D17" i="3" s="1"/>
  <c r="D18" i="3" s="1"/>
  <c r="D19" i="3" s="1"/>
  <c r="D20" i="3" s="1"/>
  <c r="D21" i="3" s="1"/>
  <c r="D22" i="3" s="1"/>
  <c r="D23" i="3" s="1"/>
  <c r="D24" i="3" s="1"/>
  <c r="D25" i="3" s="1"/>
  <c r="L104" i="3"/>
  <c r="A5" i="2"/>
  <c r="A6" i="2" s="1"/>
  <c r="A7" i="2" s="1"/>
  <c r="A8" i="2" s="1"/>
  <c r="A9" i="2" s="1"/>
  <c r="A10" i="2" s="1"/>
  <c r="A11" i="2" s="1"/>
  <c r="A12" i="2" s="1"/>
  <c r="A13" i="2" s="1"/>
  <c r="A14" i="2" s="1"/>
  <c r="A15" i="2" s="1"/>
  <c r="A16" i="2" s="1"/>
  <c r="A17" i="2" s="1"/>
  <c r="A18" i="2" s="1"/>
  <c r="A19" i="2" s="1"/>
  <c r="A20" i="2" s="1"/>
  <c r="A21" i="2" s="1"/>
  <c r="A22" i="2" s="1"/>
  <c r="A23" i="2" s="1"/>
  <c r="A24" i="2" s="1"/>
  <c r="B3" i="20"/>
  <c r="B4" i="20" s="1"/>
  <c r="B18" i="13" l="1"/>
  <c r="B12" i="13"/>
  <c r="B13" i="13"/>
  <c r="B6" i="13"/>
  <c r="B14" i="13"/>
  <c r="B22" i="13"/>
  <c r="B10" i="13"/>
  <c r="B20" i="13"/>
  <c r="B21" i="13"/>
  <c r="B7" i="13"/>
  <c r="B8" i="13"/>
  <c r="B16" i="13"/>
  <c r="B24" i="13"/>
  <c r="B5" i="13"/>
  <c r="B15" i="13"/>
  <c r="B23" i="13"/>
  <c r="B9" i="13"/>
  <c r="B17" i="13"/>
  <c r="B11" i="13"/>
  <c r="B5" i="20"/>
  <c r="K4" i="20"/>
  <c r="Q6" i="6"/>
  <c r="Y6" i="6" s="1"/>
  <c r="A6" i="6"/>
  <c r="Q5" i="6"/>
  <c r="Y5" i="6" s="1"/>
  <c r="A5" i="8"/>
  <c r="H6" i="7"/>
  <c r="A6" i="1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6" i="10"/>
  <c r="K3" i="20"/>
  <c r="A7" i="7"/>
  <c r="A6" i="3"/>
  <c r="A7" i="3" s="1"/>
  <c r="A6" i="8" l="1"/>
  <c r="H7" i="7"/>
  <c r="A8" i="7"/>
  <c r="A7" i="6"/>
  <c r="Q7" i="6"/>
  <c r="Y7" i="6" s="1"/>
  <c r="A5" i="9"/>
  <c r="A7" i="10"/>
  <c r="B6" i="20"/>
  <c r="K5" i="20"/>
  <c r="A8" i="3"/>
  <c r="B7" i="20" l="1"/>
  <c r="K6" i="20"/>
  <c r="A8" i="6"/>
  <c r="Q8" i="6"/>
  <c r="Y8" i="6" s="1"/>
  <c r="A8" i="10"/>
  <c r="A6" i="9"/>
  <c r="A9" i="7"/>
  <c r="A7" i="8"/>
  <c r="H8" i="7"/>
  <c r="A9" i="3"/>
  <c r="J7" i="7"/>
  <c r="B7" i="7" s="1"/>
  <c r="J8" i="7"/>
  <c r="B8" i="7" s="1"/>
  <c r="J9" i="7"/>
  <c r="C9" i="7" s="1"/>
  <c r="J10" i="7"/>
  <c r="B10" i="7" s="1"/>
  <c r="J11" i="7"/>
  <c r="B11" i="7" s="1"/>
  <c r="J12" i="7"/>
  <c r="B12" i="7" s="1"/>
  <c r="J13" i="7"/>
  <c r="B13" i="7" s="1"/>
  <c r="J14" i="7"/>
  <c r="B14" i="7" s="1"/>
  <c r="J15" i="7"/>
  <c r="B15" i="7" s="1"/>
  <c r="J16" i="7"/>
  <c r="B16" i="7" s="1"/>
  <c r="J17" i="7"/>
  <c r="B17" i="7" s="1"/>
  <c r="J18" i="7"/>
  <c r="B18" i="7" s="1"/>
  <c r="J19" i="7"/>
  <c r="B19" i="7" s="1"/>
  <c r="J20" i="7"/>
  <c r="B20" i="7" s="1"/>
  <c r="J21" i="7"/>
  <c r="B21" i="7" s="1"/>
  <c r="J22" i="7"/>
  <c r="B22" i="7" s="1"/>
  <c r="J23" i="7"/>
  <c r="B23" i="7" s="1"/>
  <c r="J24" i="7"/>
  <c r="B24" i="7" s="1"/>
  <c r="J25" i="7"/>
  <c r="B25" i="7" s="1"/>
  <c r="J6" i="7"/>
  <c r="B6" i="7" s="1"/>
  <c r="B9" i="7" l="1"/>
  <c r="A10" i="7"/>
  <c r="H9" i="7"/>
  <c r="A8" i="8"/>
  <c r="A9" i="10"/>
  <c r="A7" i="9"/>
  <c r="A9" i="6"/>
  <c r="Q9" i="6"/>
  <c r="Y9" i="6" s="1"/>
  <c r="B8" i="20"/>
  <c r="K7" i="20"/>
  <c r="C25" i="7"/>
  <c r="A10" i="3"/>
  <c r="C21" i="7"/>
  <c r="C17" i="7"/>
  <c r="C13" i="7"/>
  <c r="C24" i="7"/>
  <c r="C20" i="7"/>
  <c r="C16" i="7"/>
  <c r="C12" i="7"/>
  <c r="C8" i="7"/>
  <c r="C23" i="7"/>
  <c r="C19" i="7"/>
  <c r="C15" i="7"/>
  <c r="C11" i="7"/>
  <c r="C7" i="7"/>
  <c r="C22" i="7"/>
  <c r="C18" i="7"/>
  <c r="C14" i="7"/>
  <c r="C10" i="7"/>
  <c r="C6" i="7"/>
  <c r="D6" i="7" s="1"/>
  <c r="A10" i="6" l="1"/>
  <c r="Q10" i="6"/>
  <c r="Y10" i="6" s="1"/>
  <c r="B9" i="20"/>
  <c r="K8" i="20"/>
  <c r="A10" i="10"/>
  <c r="A8" i="9"/>
  <c r="A11" i="7"/>
  <c r="A9" i="8"/>
  <c r="H10" i="7"/>
  <c r="A11" i="3"/>
  <c r="H38" i="7"/>
  <c r="B38" i="7"/>
  <c r="A12" i="7" l="1"/>
  <c r="A10" i="8"/>
  <c r="H11" i="7"/>
  <c r="A11" i="10"/>
  <c r="A9" i="9"/>
  <c r="B10" i="20"/>
  <c r="K9" i="20"/>
  <c r="A11" i="6"/>
  <c r="Q11" i="6"/>
  <c r="Y11" i="6" s="1"/>
  <c r="A12" i="3"/>
  <c r="H9" i="5"/>
  <c r="E5" i="5" s="1"/>
  <c r="I9" i="5"/>
  <c r="J9" i="5"/>
  <c r="K9" i="5"/>
  <c r="L9" i="5"/>
  <c r="M9" i="5"/>
  <c r="N9" i="5"/>
  <c r="O9" i="5"/>
  <c r="H11" i="5"/>
  <c r="I11" i="5"/>
  <c r="J11" i="5"/>
  <c r="K11" i="5"/>
  <c r="L11" i="5"/>
  <c r="M11" i="5"/>
  <c r="N11" i="5"/>
  <c r="O11" i="5"/>
  <c r="J80" i="5"/>
  <c r="E46" i="13"/>
  <c r="G34" i="3"/>
  <c r="C42" i="3"/>
  <c r="B42" i="3"/>
  <c r="G32" i="3"/>
  <c r="C40" i="3"/>
  <c r="B40" i="3"/>
  <c r="A12" i="6" l="1"/>
  <c r="Q12" i="6"/>
  <c r="Y12" i="6" s="1"/>
  <c r="B11" i="20"/>
  <c r="K10" i="20"/>
  <c r="A12" i="10"/>
  <c r="A10" i="9"/>
  <c r="A13" i="7"/>
  <c r="A11" i="8"/>
  <c r="H12" i="7"/>
  <c r="A13" i="3"/>
  <c r="H1" i="5"/>
  <c r="B9" i="5" l="1"/>
  <c r="A14" i="7"/>
  <c r="A12" i="8"/>
  <c r="H13" i="7"/>
  <c r="B12" i="20"/>
  <c r="K11" i="20"/>
  <c r="A13" i="10"/>
  <c r="A11" i="9"/>
  <c r="A13" i="6"/>
  <c r="Q13" i="6"/>
  <c r="Y13" i="6" s="1"/>
  <c r="A14" i="3"/>
  <c r="B15" i="5"/>
  <c r="B11" i="5"/>
  <c r="B7" i="5"/>
  <c r="B6" i="5"/>
  <c r="B24" i="5"/>
  <c r="B22" i="5"/>
  <c r="B8" i="5"/>
  <c r="B18" i="5"/>
  <c r="B23" i="5"/>
  <c r="B14" i="5"/>
  <c r="B19" i="5"/>
  <c r="B10" i="5"/>
  <c r="B5" i="5"/>
  <c r="B20" i="5"/>
  <c r="B21" i="5"/>
  <c r="B17" i="5"/>
  <c r="B16" i="5"/>
  <c r="B13" i="5"/>
  <c r="B12" i="5"/>
  <c r="A14" i="6" l="1"/>
  <c r="Q14" i="6"/>
  <c r="Y14" i="6" s="1"/>
  <c r="A14" i="10"/>
  <c r="A12" i="9"/>
  <c r="B13" i="20"/>
  <c r="K12" i="20"/>
  <c r="A15" i="7"/>
  <c r="A13" i="8"/>
  <c r="H14" i="7"/>
  <c r="A15" i="3"/>
  <c r="A16" i="7" l="1"/>
  <c r="H15" i="7"/>
  <c r="A14" i="8"/>
  <c r="A15" i="10"/>
  <c r="A13" i="9"/>
  <c r="B14" i="20"/>
  <c r="K13" i="20"/>
  <c r="A15" i="6"/>
  <c r="Q15" i="6"/>
  <c r="Y15" i="6" s="1"/>
  <c r="A16" i="3"/>
  <c r="B6" i="8"/>
  <c r="B7" i="8"/>
  <c r="B8" i="8"/>
  <c r="B9" i="8"/>
  <c r="B10" i="8"/>
  <c r="B11" i="8"/>
  <c r="B12" i="8"/>
  <c r="B13" i="8"/>
  <c r="B14" i="8"/>
  <c r="B15" i="8"/>
  <c r="B16" i="8"/>
  <c r="B17" i="8"/>
  <c r="B18" i="8"/>
  <c r="B19" i="8"/>
  <c r="B20" i="8"/>
  <c r="B21" i="8"/>
  <c r="B22" i="8"/>
  <c r="B23" i="8"/>
  <c r="B24" i="8"/>
  <c r="B5" i="8"/>
  <c r="A16" i="10" l="1"/>
  <c r="A14" i="9"/>
  <c r="B15" i="20"/>
  <c r="K14" i="20"/>
  <c r="A16" i="6"/>
  <c r="Q16" i="6"/>
  <c r="Y16" i="6" s="1"/>
  <c r="A17" i="7"/>
  <c r="A15" i="8"/>
  <c r="H16" i="7"/>
  <c r="A17" i="3"/>
  <c r="D23" i="7"/>
  <c r="D21" i="7"/>
  <c r="D19" i="7"/>
  <c r="D17" i="7"/>
  <c r="D15" i="7"/>
  <c r="D13" i="7"/>
  <c r="D11" i="7"/>
  <c r="D9" i="7"/>
  <c r="D7" i="7"/>
  <c r="D25" i="7"/>
  <c r="D22" i="7"/>
  <c r="D20" i="7"/>
  <c r="D18" i="7"/>
  <c r="D16" i="7"/>
  <c r="D14" i="7"/>
  <c r="D12" i="7"/>
  <c r="D10" i="7"/>
  <c r="D8" i="7"/>
  <c r="D24" i="7"/>
  <c r="A18" i="7" l="1"/>
  <c r="H17" i="7"/>
  <c r="A16" i="8"/>
  <c r="B16" i="20"/>
  <c r="K15" i="20"/>
  <c r="A17" i="6"/>
  <c r="Q17" i="6"/>
  <c r="Y17" i="6" s="1"/>
  <c r="A17" i="10"/>
  <c r="A15" i="9"/>
  <c r="A18" i="3"/>
  <c r="A18" i="10" l="1"/>
  <c r="A16" i="9"/>
  <c r="A18" i="6"/>
  <c r="Q18" i="6"/>
  <c r="Y18" i="6" s="1"/>
  <c r="B17" i="20"/>
  <c r="K16" i="20"/>
  <c r="A19" i="7"/>
  <c r="A17" i="8"/>
  <c r="H18" i="7"/>
  <c r="A19" i="3"/>
  <c r="N12" i="3"/>
  <c r="O12" i="3"/>
  <c r="P12" i="3"/>
  <c r="Q12" i="3"/>
  <c r="R12" i="3"/>
  <c r="S12" i="3"/>
  <c r="T12" i="3"/>
  <c r="M12" i="3"/>
  <c r="E7" i="2"/>
  <c r="F7" i="2"/>
  <c r="E8" i="2"/>
  <c r="F8" i="2"/>
  <c r="E9" i="2"/>
  <c r="F9" i="2"/>
  <c r="E10" i="2"/>
  <c r="F10" i="2"/>
  <c r="E11" i="2"/>
  <c r="F11" i="2"/>
  <c r="E12" i="2"/>
  <c r="F12" i="2"/>
  <c r="E13" i="2"/>
  <c r="F13" i="2"/>
  <c r="E14" i="2"/>
  <c r="F14" i="2"/>
  <c r="E15" i="2"/>
  <c r="F15" i="2"/>
  <c r="E16" i="2"/>
  <c r="F16" i="2"/>
  <c r="E17" i="2"/>
  <c r="F17" i="2"/>
  <c r="E18" i="2"/>
  <c r="F18" i="2"/>
  <c r="E19" i="2"/>
  <c r="F19" i="2"/>
  <c r="E20" i="2"/>
  <c r="F20" i="2"/>
  <c r="E21" i="2"/>
  <c r="F21" i="2"/>
  <c r="E22" i="2"/>
  <c r="F22" i="2"/>
  <c r="E23" i="2"/>
  <c r="F23" i="2"/>
  <c r="E24" i="2"/>
  <c r="F24" i="2"/>
  <c r="E25" i="2"/>
  <c r="F25" i="2"/>
  <c r="F6" i="2"/>
  <c r="E6" i="2"/>
  <c r="N10" i="3"/>
  <c r="F5" i="3" s="1"/>
  <c r="O10" i="3"/>
  <c r="P10" i="3"/>
  <c r="Q10" i="3"/>
  <c r="R10" i="3"/>
  <c r="S10" i="3"/>
  <c r="T10" i="3"/>
  <c r="M10" i="3"/>
  <c r="E5" i="3" s="1"/>
  <c r="F5" i="2"/>
  <c r="E5" i="2"/>
  <c r="A19" i="6" l="1"/>
  <c r="Q19" i="6"/>
  <c r="Y19" i="6" s="1"/>
  <c r="A19" i="10"/>
  <c r="A17" i="9"/>
  <c r="A20" i="7"/>
  <c r="A18" i="8"/>
  <c r="H19" i="7"/>
  <c r="B18" i="20"/>
  <c r="K17" i="20"/>
  <c r="A20" i="3"/>
  <c r="E6" i="3"/>
  <c r="F20" i="3"/>
  <c r="F1" i="3"/>
  <c r="M4" i="3"/>
  <c r="B19" i="3" s="1"/>
  <c r="B24" i="2"/>
  <c r="B22" i="2"/>
  <c r="B20" i="2"/>
  <c r="B18" i="2"/>
  <c r="B16" i="2"/>
  <c r="B14" i="2"/>
  <c r="B12" i="2"/>
  <c r="B10" i="2"/>
  <c r="B8" i="2"/>
  <c r="F16" i="3"/>
  <c r="B23" i="2"/>
  <c r="B21" i="2"/>
  <c r="B19" i="2"/>
  <c r="B17" i="2"/>
  <c r="B15" i="2"/>
  <c r="B13" i="2"/>
  <c r="B11" i="2"/>
  <c r="B9" i="2"/>
  <c r="B7" i="2"/>
  <c r="F12" i="3"/>
  <c r="F24" i="3"/>
  <c r="B6" i="2"/>
  <c r="F11" i="3"/>
  <c r="B5" i="2"/>
  <c r="F25" i="3"/>
  <c r="F21" i="3"/>
  <c r="F17" i="3"/>
  <c r="F13" i="3"/>
  <c r="F10" i="3"/>
  <c r="F22" i="3"/>
  <c r="F18" i="3"/>
  <c r="F14" i="3"/>
  <c r="F23" i="3"/>
  <c r="F19" i="3"/>
  <c r="F15" i="3"/>
  <c r="F6" i="3"/>
  <c r="E25" i="3"/>
  <c r="E24" i="3"/>
  <c r="E23" i="3"/>
  <c r="E22" i="3"/>
  <c r="E21" i="3"/>
  <c r="E20" i="3"/>
  <c r="E19" i="3"/>
  <c r="E18" i="3"/>
  <c r="E17" i="3"/>
  <c r="E16" i="3"/>
  <c r="E15" i="3"/>
  <c r="E14" i="3"/>
  <c r="E13" i="3"/>
  <c r="E12" i="3"/>
  <c r="E11" i="3"/>
  <c r="E10" i="3"/>
  <c r="E9" i="3"/>
  <c r="E8" i="3"/>
  <c r="E7" i="3"/>
  <c r="F9" i="3"/>
  <c r="F8" i="3"/>
  <c r="F7" i="3"/>
  <c r="F17" i="20" l="1"/>
  <c r="F14" i="20"/>
  <c r="G17" i="20"/>
  <c r="F11" i="20"/>
  <c r="B5" i="3"/>
  <c r="F3" i="20" s="1"/>
  <c r="O3" i="20" s="1"/>
  <c r="B10" i="3"/>
  <c r="G8" i="20" s="1"/>
  <c r="B12" i="3"/>
  <c r="F10" i="20" s="1"/>
  <c r="B13" i="3"/>
  <c r="G11" i="20" s="1"/>
  <c r="B7" i="3"/>
  <c r="F5" i="20" s="1"/>
  <c r="B9" i="3"/>
  <c r="G7" i="20" s="1"/>
  <c r="B11" i="3"/>
  <c r="F9" i="20" s="1"/>
  <c r="B6" i="3"/>
  <c r="G4" i="20" s="1"/>
  <c r="B8" i="3"/>
  <c r="F6" i="20" s="1"/>
  <c r="B14" i="3"/>
  <c r="F12" i="20" s="1"/>
  <c r="B15" i="3"/>
  <c r="G13" i="20" s="1"/>
  <c r="B16" i="3"/>
  <c r="G14" i="20" s="1"/>
  <c r="B17" i="3"/>
  <c r="G15" i="20" s="1"/>
  <c r="B18" i="3"/>
  <c r="G16" i="20" s="1"/>
  <c r="B19" i="20"/>
  <c r="K18" i="20"/>
  <c r="A21" i="7"/>
  <c r="A19" i="8"/>
  <c r="H20" i="7"/>
  <c r="A20" i="10"/>
  <c r="A18" i="9"/>
  <c r="A20" i="6"/>
  <c r="Q20" i="6"/>
  <c r="Y20" i="6" s="1"/>
  <c r="A21" i="3"/>
  <c r="B20" i="3"/>
  <c r="F18" i="20" s="1"/>
  <c r="F8" i="20" l="1"/>
  <c r="O8" i="20" s="1"/>
  <c r="F16" i="20"/>
  <c r="G6" i="20"/>
  <c r="P6" i="20" s="1"/>
  <c r="G18" i="20"/>
  <c r="G12" i="20"/>
  <c r="P12" i="20" s="1"/>
  <c r="G3" i="20"/>
  <c r="P3" i="20" s="1"/>
  <c r="F4" i="20"/>
  <c r="O4" i="20" s="1"/>
  <c r="C10" i="20"/>
  <c r="L10" i="20" s="1"/>
  <c r="C4" i="20"/>
  <c r="L4" i="20" s="1"/>
  <c r="G10" i="20"/>
  <c r="P10" i="20" s="1"/>
  <c r="G9" i="20"/>
  <c r="P9" i="20" s="1"/>
  <c r="G5" i="20"/>
  <c r="P5" i="20" s="1"/>
  <c r="F15" i="20"/>
  <c r="O15" i="20" s="1"/>
  <c r="F13" i="20"/>
  <c r="O13" i="20" s="1"/>
  <c r="F7" i="20"/>
  <c r="O7" i="20" s="1"/>
  <c r="C16" i="20"/>
  <c r="L16" i="20" s="1"/>
  <c r="A22" i="7"/>
  <c r="A20" i="8"/>
  <c r="H21" i="7"/>
  <c r="B20" i="20"/>
  <c r="K19" i="20"/>
  <c r="A21" i="6"/>
  <c r="Q21" i="6"/>
  <c r="Y21" i="6" s="1"/>
  <c r="P18" i="20"/>
  <c r="A21" i="10"/>
  <c r="A19" i="9"/>
  <c r="B21" i="3"/>
  <c r="F19" i="20" s="1"/>
  <c r="A22" i="3"/>
  <c r="O5" i="20"/>
  <c r="O18" i="20"/>
  <c r="P4" i="20"/>
  <c r="O10" i="20"/>
  <c r="O6" i="20"/>
  <c r="O14" i="20"/>
  <c r="P14" i="20"/>
  <c r="P16" i="20"/>
  <c r="O16" i="20"/>
  <c r="P15" i="20"/>
  <c r="P7" i="20"/>
  <c r="P17" i="20"/>
  <c r="O17" i="20"/>
  <c r="O9" i="20"/>
  <c r="P13" i="20"/>
  <c r="P11" i="20"/>
  <c r="O11" i="20"/>
  <c r="P8" i="20"/>
  <c r="O12" i="20"/>
  <c r="G19" i="20" l="1"/>
  <c r="P19" i="20" s="1"/>
  <c r="A22" i="6"/>
  <c r="Q22" i="6"/>
  <c r="Y22" i="6" s="1"/>
  <c r="A22" i="10"/>
  <c r="A20" i="9"/>
  <c r="B21" i="20"/>
  <c r="K20" i="20"/>
  <c r="A23" i="7"/>
  <c r="A21" i="8"/>
  <c r="H22" i="7"/>
  <c r="O19" i="20"/>
  <c r="A23" i="3"/>
  <c r="B22" i="3"/>
  <c r="G20" i="20" s="1"/>
  <c r="F20" i="20" l="1"/>
  <c r="O20" i="20" s="1"/>
  <c r="A24" i="7"/>
  <c r="A22" i="8"/>
  <c r="H23" i="7"/>
  <c r="A23" i="6"/>
  <c r="Q24" i="6" s="1"/>
  <c r="Y24" i="6" s="1"/>
  <c r="Q23" i="6"/>
  <c r="Y23" i="6" s="1"/>
  <c r="P20" i="20"/>
  <c r="B22" i="20"/>
  <c r="K21" i="20"/>
  <c r="A23" i="10"/>
  <c r="A21" i="9"/>
  <c r="B23" i="3"/>
  <c r="C21" i="20" s="1"/>
  <c r="A24" i="3"/>
  <c r="B24" i="3" s="1"/>
  <c r="D21" i="20" l="1"/>
  <c r="M21" i="20" s="1"/>
  <c r="F21" i="20"/>
  <c r="O21" i="20" s="1"/>
  <c r="G21" i="20"/>
  <c r="P21" i="20" s="1"/>
  <c r="F22" i="20"/>
  <c r="F23" i="20" s="1"/>
  <c r="F24" i="20" s="1"/>
  <c r="F25" i="20" s="1"/>
  <c r="F26" i="20" s="1"/>
  <c r="F27" i="20" s="1"/>
  <c r="F28" i="20" s="1"/>
  <c r="F29" i="20" s="1"/>
  <c r="F30" i="20" s="1"/>
  <c r="F31" i="20" s="1"/>
  <c r="F32" i="20" s="1"/>
  <c r="F33" i="20" s="1"/>
  <c r="F34" i="20" s="1"/>
  <c r="F35" i="20" s="1"/>
  <c r="F36" i="20" s="1"/>
  <c r="F37" i="20" s="1"/>
  <c r="F38" i="20" s="1"/>
  <c r="F39" i="20" s="1"/>
  <c r="F40" i="20" s="1"/>
  <c r="F41" i="20" s="1"/>
  <c r="F42" i="20" s="1"/>
  <c r="F43" i="20" s="1"/>
  <c r="F44" i="20" s="1"/>
  <c r="F45" i="20" s="1"/>
  <c r="F46" i="20" s="1"/>
  <c r="F47" i="20" s="1"/>
  <c r="F48" i="20" s="1"/>
  <c r="G22" i="20"/>
  <c r="G23" i="20" s="1"/>
  <c r="G24" i="20" s="1"/>
  <c r="G25" i="20" s="1"/>
  <c r="G26" i="20" s="1"/>
  <c r="G27" i="20" s="1"/>
  <c r="G28" i="20" s="1"/>
  <c r="G29" i="20" s="1"/>
  <c r="G30" i="20" s="1"/>
  <c r="G31" i="20" s="1"/>
  <c r="G32" i="20" s="1"/>
  <c r="G33" i="20" s="1"/>
  <c r="G34" i="20" s="1"/>
  <c r="G35" i="20" s="1"/>
  <c r="G36" i="20" s="1"/>
  <c r="G37" i="20" s="1"/>
  <c r="G38" i="20" s="1"/>
  <c r="G39" i="20" s="1"/>
  <c r="G40" i="20" s="1"/>
  <c r="G41" i="20" s="1"/>
  <c r="G42" i="20" s="1"/>
  <c r="G43" i="20" s="1"/>
  <c r="G44" i="20" s="1"/>
  <c r="G45" i="20" s="1"/>
  <c r="G46" i="20" s="1"/>
  <c r="G47" i="20" s="1"/>
  <c r="G48" i="20" s="1"/>
  <c r="A24" i="10"/>
  <c r="A22" i="9"/>
  <c r="B23" i="20"/>
  <c r="K22" i="20"/>
  <c r="L21" i="20"/>
  <c r="A25" i="7"/>
  <c r="A23" i="8"/>
  <c r="H24" i="7"/>
  <c r="B24" i="20" l="1"/>
  <c r="K23" i="20"/>
  <c r="H25" i="7"/>
  <c r="A24" i="8"/>
  <c r="A25" i="10"/>
  <c r="A24" i="9" s="1"/>
  <c r="A23" i="9"/>
  <c r="O22" i="20"/>
  <c r="P22" i="20"/>
  <c r="B25" i="20" l="1"/>
  <c r="K24" i="20"/>
  <c r="O23" i="20"/>
  <c r="P23" i="20"/>
  <c r="B26" i="20" l="1"/>
  <c r="K25" i="20"/>
  <c r="P24" i="20"/>
  <c r="O24" i="20"/>
  <c r="B27" i="20" l="1"/>
  <c r="K26" i="20"/>
  <c r="P25" i="20"/>
  <c r="O25" i="20"/>
  <c r="B28" i="20" l="1"/>
  <c r="K27" i="20"/>
  <c r="P26" i="20"/>
  <c r="O26" i="20"/>
  <c r="B29" i="20" l="1"/>
  <c r="K28" i="20"/>
  <c r="P27" i="20"/>
  <c r="O27" i="20"/>
  <c r="B30" i="20" l="1"/>
  <c r="K29" i="20"/>
  <c r="O28" i="20"/>
  <c r="P28" i="20"/>
  <c r="B31" i="20" l="1"/>
  <c r="K30" i="20"/>
  <c r="O29" i="20"/>
  <c r="P29" i="20"/>
  <c r="B32" i="20" l="1"/>
  <c r="K31" i="20"/>
  <c r="P30" i="20"/>
  <c r="O30" i="20"/>
  <c r="B33" i="20" l="1"/>
  <c r="K32" i="20"/>
  <c r="O31" i="20"/>
  <c r="P31" i="20"/>
  <c r="B34" i="20" l="1"/>
  <c r="K33" i="20"/>
  <c r="P32" i="20"/>
  <c r="O32" i="20"/>
  <c r="B35" i="20" l="1"/>
  <c r="K34" i="20"/>
  <c r="O33" i="20"/>
  <c r="P33" i="20"/>
  <c r="B36" i="20" l="1"/>
  <c r="K35" i="20"/>
  <c r="O34" i="20"/>
  <c r="P34" i="20"/>
  <c r="B37" i="20" l="1"/>
  <c r="K36" i="20"/>
  <c r="O35" i="20"/>
  <c r="P35" i="20"/>
  <c r="B38" i="20" l="1"/>
  <c r="K37" i="20"/>
  <c r="P36" i="20"/>
  <c r="O36" i="20"/>
  <c r="B39" i="20" l="1"/>
  <c r="K38" i="20"/>
  <c r="O37" i="20"/>
  <c r="P37" i="20"/>
  <c r="B40" i="20" l="1"/>
  <c r="K39" i="20"/>
  <c r="P38" i="20"/>
  <c r="O38" i="20"/>
  <c r="B41" i="20" l="1"/>
  <c r="K40" i="20"/>
  <c r="P39" i="20"/>
  <c r="O39" i="20"/>
  <c r="B42" i="20" l="1"/>
  <c r="K41" i="20"/>
  <c r="O40" i="20"/>
  <c r="P40" i="20"/>
  <c r="B43" i="20" l="1"/>
  <c r="K42" i="20"/>
  <c r="P41" i="20"/>
  <c r="O41" i="20"/>
  <c r="B44" i="20" l="1"/>
  <c r="K43" i="20"/>
  <c r="O42" i="20"/>
  <c r="P42" i="20"/>
  <c r="B45" i="20" l="1"/>
  <c r="K44" i="20"/>
  <c r="P43" i="20"/>
  <c r="O43" i="20"/>
  <c r="B46" i="20" l="1"/>
  <c r="K45" i="20"/>
  <c r="P44" i="20"/>
  <c r="O44" i="20"/>
  <c r="B47" i="20" l="1"/>
  <c r="K46" i="20"/>
  <c r="P45" i="20"/>
  <c r="O45" i="20"/>
  <c r="B48" i="20" l="1"/>
  <c r="K48" i="20" s="1"/>
  <c r="K47" i="20"/>
  <c r="P46" i="20"/>
  <c r="O46" i="20"/>
  <c r="O47" i="20" l="1"/>
  <c r="O48" i="20"/>
  <c r="P47" i="20"/>
  <c r="P48" i="20"/>
  <c r="D5" i="9" l="1"/>
  <c r="E3" i="20" s="1"/>
  <c r="N3" i="20" l="1"/>
  <c r="C5" i="9"/>
  <c r="D3" i="20" s="1"/>
  <c r="M3" i="20" l="1"/>
  <c r="D17" i="9" l="1"/>
  <c r="E15" i="20" s="1"/>
  <c r="N15" i="20" l="1"/>
  <c r="C17" i="9"/>
  <c r="D15" i="20" s="1"/>
  <c r="D24" i="9"/>
  <c r="E22" i="20" s="1"/>
  <c r="E23" i="20" s="1"/>
  <c r="E24" i="20" s="1"/>
  <c r="E25" i="20" s="1"/>
  <c r="E26" i="20" s="1"/>
  <c r="E27" i="20" s="1"/>
  <c r="E28" i="20" s="1"/>
  <c r="E29" i="20" s="1"/>
  <c r="E30" i="20" s="1"/>
  <c r="E31" i="20" s="1"/>
  <c r="E32" i="20" s="1"/>
  <c r="E33" i="20" s="1"/>
  <c r="E34" i="20" s="1"/>
  <c r="E35" i="20" s="1"/>
  <c r="E36" i="20" s="1"/>
  <c r="E37" i="20" s="1"/>
  <c r="E38" i="20" s="1"/>
  <c r="E39" i="20" s="1"/>
  <c r="E40" i="20" s="1"/>
  <c r="E41" i="20" s="1"/>
  <c r="E42" i="20" s="1"/>
  <c r="E43" i="20" s="1"/>
  <c r="E44" i="20" s="1"/>
  <c r="E45" i="20" s="1"/>
  <c r="E46" i="20" s="1"/>
  <c r="E47" i="20" s="1"/>
  <c r="E48" i="20" s="1"/>
  <c r="C24" i="9"/>
  <c r="D22" i="20" s="1"/>
  <c r="D23" i="20" s="1"/>
  <c r="D24" i="20" s="1"/>
  <c r="D25" i="20" s="1"/>
  <c r="D26" i="20" s="1"/>
  <c r="D27" i="20" s="1"/>
  <c r="D28" i="20" s="1"/>
  <c r="D29" i="20" s="1"/>
  <c r="D30" i="20" s="1"/>
  <c r="D31" i="20" s="1"/>
  <c r="D32" i="20" s="1"/>
  <c r="D33" i="20" s="1"/>
  <c r="D34" i="20" s="1"/>
  <c r="D35" i="20" s="1"/>
  <c r="D36" i="20" s="1"/>
  <c r="D37" i="20" s="1"/>
  <c r="D38" i="20" s="1"/>
  <c r="D39" i="20" s="1"/>
  <c r="D40" i="20" s="1"/>
  <c r="D41" i="20" s="1"/>
  <c r="D42" i="20" s="1"/>
  <c r="D43" i="20" s="1"/>
  <c r="D44" i="20" s="1"/>
  <c r="D45" i="20" s="1"/>
  <c r="D46" i="20" s="1"/>
  <c r="D47" i="20" s="1"/>
  <c r="D48" i="20" s="1"/>
  <c r="D15" i="9"/>
  <c r="E13" i="20" s="1"/>
  <c r="C15" i="9"/>
  <c r="D13" i="20" s="1"/>
  <c r="D10" i="9"/>
  <c r="E8" i="20" s="1"/>
  <c r="M13" i="20" l="1"/>
  <c r="M15" i="20"/>
  <c r="N13" i="20"/>
  <c r="N8" i="20"/>
  <c r="B17" i="9"/>
  <c r="C15" i="20" s="1"/>
  <c r="B24" i="9"/>
  <c r="C22" i="20" s="1"/>
  <c r="C23" i="20" s="1"/>
  <c r="C24" i="20" s="1"/>
  <c r="C25" i="20" s="1"/>
  <c r="C26" i="20" s="1"/>
  <c r="C27" i="20" s="1"/>
  <c r="C28" i="20" s="1"/>
  <c r="C29" i="20" s="1"/>
  <c r="C30" i="20" s="1"/>
  <c r="C31" i="20" s="1"/>
  <c r="C32" i="20" s="1"/>
  <c r="C33" i="20" s="1"/>
  <c r="C34" i="20" s="1"/>
  <c r="C35" i="20" s="1"/>
  <c r="C36" i="20" s="1"/>
  <c r="C37" i="20" s="1"/>
  <c r="C38" i="20" s="1"/>
  <c r="C39" i="20" s="1"/>
  <c r="C40" i="20" s="1"/>
  <c r="C41" i="20" s="1"/>
  <c r="C42" i="20" s="1"/>
  <c r="C43" i="20" s="1"/>
  <c r="C44" i="20" s="1"/>
  <c r="C45" i="20" s="1"/>
  <c r="C46" i="20" s="1"/>
  <c r="C47" i="20" s="1"/>
  <c r="C48" i="20" s="1"/>
  <c r="B5" i="9"/>
  <c r="C3" i="20" s="1"/>
  <c r="D23" i="9"/>
  <c r="E21" i="20" s="1"/>
  <c r="D22" i="9"/>
  <c r="E20" i="20" s="1"/>
  <c r="G5" i="9"/>
  <c r="H3" i="20" s="1"/>
  <c r="D19" i="9"/>
  <c r="E17" i="20" s="1"/>
  <c r="G17" i="9"/>
  <c r="H15" i="20" s="1"/>
  <c r="C12" i="9"/>
  <c r="D10" i="20" s="1"/>
  <c r="C9" i="9"/>
  <c r="D7" i="20" s="1"/>
  <c r="D20" i="9"/>
  <c r="E18" i="20" s="1"/>
  <c r="C13" i="9"/>
  <c r="D11" i="20" s="1"/>
  <c r="D16" i="9"/>
  <c r="E14" i="20" s="1"/>
  <c r="D13" i="9"/>
  <c r="E11" i="20" s="1"/>
  <c r="C22" i="9"/>
  <c r="D20" i="20" s="1"/>
  <c r="D14" i="9"/>
  <c r="E12" i="20" s="1"/>
  <c r="C18" i="9"/>
  <c r="D16" i="20" s="1"/>
  <c r="C10" i="9"/>
  <c r="D8" i="20" s="1"/>
  <c r="D9" i="9"/>
  <c r="E7" i="20" s="1"/>
  <c r="D6" i="9"/>
  <c r="E4" i="20" s="1"/>
  <c r="C14" i="9"/>
  <c r="D12" i="20" s="1"/>
  <c r="C19" i="9"/>
  <c r="D17" i="20" s="1"/>
  <c r="D21" i="9"/>
  <c r="E19" i="20" s="1"/>
  <c r="C7" i="9"/>
  <c r="D5" i="20" s="1"/>
  <c r="D11" i="9"/>
  <c r="E9" i="20" s="1"/>
  <c r="C6" i="9"/>
  <c r="D4" i="20" s="1"/>
  <c r="C21" i="9"/>
  <c r="D19" i="20" s="1"/>
  <c r="C20" i="9"/>
  <c r="D18" i="20" s="1"/>
  <c r="C16" i="9"/>
  <c r="D14" i="20" s="1"/>
  <c r="G24" i="9"/>
  <c r="H22" i="20" s="1"/>
  <c r="H23" i="20" s="1"/>
  <c r="H24" i="20" s="1"/>
  <c r="H25" i="20" s="1"/>
  <c r="H26" i="20" s="1"/>
  <c r="H27" i="20" s="1"/>
  <c r="H28" i="20" s="1"/>
  <c r="H29" i="20" s="1"/>
  <c r="H30" i="20" s="1"/>
  <c r="H31" i="20" s="1"/>
  <c r="H32" i="20" s="1"/>
  <c r="H33" i="20" s="1"/>
  <c r="H34" i="20" s="1"/>
  <c r="H35" i="20" s="1"/>
  <c r="H36" i="20" s="1"/>
  <c r="H37" i="20" s="1"/>
  <c r="H38" i="20" s="1"/>
  <c r="H39" i="20" s="1"/>
  <c r="H40" i="20" s="1"/>
  <c r="H41" i="20" s="1"/>
  <c r="H42" i="20" s="1"/>
  <c r="H43" i="20" s="1"/>
  <c r="H44" i="20" s="1"/>
  <c r="H45" i="20" s="1"/>
  <c r="H46" i="20" s="1"/>
  <c r="H47" i="20" s="1"/>
  <c r="H48" i="20" s="1"/>
  <c r="D7" i="9"/>
  <c r="E5" i="20" s="1"/>
  <c r="D18" i="9"/>
  <c r="E16" i="20" s="1"/>
  <c r="G15" i="9"/>
  <c r="H13" i="20" s="1"/>
  <c r="C11" i="9"/>
  <c r="D9" i="20" s="1"/>
  <c r="D12" i="9"/>
  <c r="E10" i="20" s="1"/>
  <c r="D8" i="9" l="1"/>
  <c r="E6" i="20" s="1"/>
  <c r="C8" i="9"/>
  <c r="D6" i="20" s="1"/>
  <c r="H15" i="9"/>
  <c r="I13" i="20" s="1"/>
  <c r="N7" i="20"/>
  <c r="N11" i="20"/>
  <c r="M14" i="20"/>
  <c r="H5" i="9"/>
  <c r="I3" i="20" s="1"/>
  <c r="Q3" i="20"/>
  <c r="H24" i="9"/>
  <c r="I22" i="20" s="1"/>
  <c r="I23" i="20" s="1"/>
  <c r="I24" i="20" s="1"/>
  <c r="I25" i="20" s="1"/>
  <c r="I26" i="20" s="1"/>
  <c r="I27" i="20" s="1"/>
  <c r="I28" i="20" s="1"/>
  <c r="I29" i="20" s="1"/>
  <c r="I30" i="20" s="1"/>
  <c r="I31" i="20" s="1"/>
  <c r="I32" i="20" s="1"/>
  <c r="I33" i="20" s="1"/>
  <c r="I34" i="20" s="1"/>
  <c r="I35" i="20" s="1"/>
  <c r="I36" i="20" s="1"/>
  <c r="I37" i="20" s="1"/>
  <c r="I38" i="20" s="1"/>
  <c r="I39" i="20" s="1"/>
  <c r="I40" i="20" s="1"/>
  <c r="I41" i="20" s="1"/>
  <c r="I42" i="20" s="1"/>
  <c r="I43" i="20" s="1"/>
  <c r="I44" i="20" s="1"/>
  <c r="I45" i="20" s="1"/>
  <c r="I46" i="20" s="1"/>
  <c r="I47" i="20" s="1"/>
  <c r="I48" i="20" s="1"/>
  <c r="N20" i="20"/>
  <c r="H17" i="9"/>
  <c r="I15" i="20" s="1"/>
  <c r="N16" i="20"/>
  <c r="M9" i="20"/>
  <c r="M7" i="20"/>
  <c r="M5" i="20"/>
  <c r="N21" i="20"/>
  <c r="N4" i="20"/>
  <c r="M19" i="20"/>
  <c r="N9" i="20"/>
  <c r="B10" i="9"/>
  <c r="C8" i="20" s="1"/>
  <c r="M18" i="20"/>
  <c r="M4" i="20"/>
  <c r="M8" i="20"/>
  <c r="N14" i="20"/>
  <c r="N18" i="20"/>
  <c r="M10" i="20"/>
  <c r="M16" i="20"/>
  <c r="B22" i="9"/>
  <c r="C20" i="20" s="1"/>
  <c r="M22" i="20"/>
  <c r="Q13" i="20"/>
  <c r="N19" i="20"/>
  <c r="B13" i="9"/>
  <c r="C11" i="20" s="1"/>
  <c r="M11" i="20"/>
  <c r="Q15" i="20"/>
  <c r="N10" i="20"/>
  <c r="M17" i="20"/>
  <c r="M20" i="20"/>
  <c r="B15" i="9"/>
  <c r="C13" i="20" s="1"/>
  <c r="N5" i="20"/>
  <c r="B16" i="9"/>
  <c r="C14" i="20" s="1"/>
  <c r="N17" i="20"/>
  <c r="L15" i="20"/>
  <c r="N22" i="20"/>
  <c r="N12" i="20"/>
  <c r="M12" i="20"/>
  <c r="B8" i="9"/>
  <c r="C6" i="20" s="1"/>
  <c r="G6" i="9"/>
  <c r="H4" i="20" s="1"/>
  <c r="G8" i="9"/>
  <c r="H6" i="20" s="1"/>
  <c r="G22" i="9"/>
  <c r="H20" i="20" s="1"/>
  <c r="G12" i="9"/>
  <c r="H10" i="20" s="1"/>
  <c r="G10" i="9"/>
  <c r="H8" i="20" s="1"/>
  <c r="G23" i="9"/>
  <c r="H21" i="20" s="1"/>
  <c r="G13" i="9"/>
  <c r="H11" i="20" s="1"/>
  <c r="G18" i="9"/>
  <c r="H16" i="20" s="1"/>
  <c r="G16" i="9"/>
  <c r="H14" i="20" s="1"/>
  <c r="G7" i="9"/>
  <c r="H5" i="20" s="1"/>
  <c r="G11" i="9"/>
  <c r="H9" i="20" s="1"/>
  <c r="G21" i="9"/>
  <c r="H19" i="20" s="1"/>
  <c r="G9" i="9"/>
  <c r="H7" i="20" s="1"/>
  <c r="G19" i="9"/>
  <c r="H17" i="20" s="1"/>
  <c r="G20" i="9"/>
  <c r="H18" i="20" s="1"/>
  <c r="G14" i="9"/>
  <c r="H12" i="20" s="1"/>
  <c r="M6" i="20" l="1"/>
  <c r="N6" i="20"/>
  <c r="H16" i="9"/>
  <c r="I14" i="20" s="1"/>
  <c r="R15" i="20"/>
  <c r="H7" i="9"/>
  <c r="I5" i="20" s="1"/>
  <c r="H23" i="9"/>
  <c r="I21" i="20" s="1"/>
  <c r="H6" i="9"/>
  <c r="I4" i="20" s="1"/>
  <c r="Q4" i="20"/>
  <c r="H14" i="9"/>
  <c r="I12" i="20" s="1"/>
  <c r="H10" i="9"/>
  <c r="I8" i="20" s="1"/>
  <c r="Q8" i="20"/>
  <c r="H11" i="9"/>
  <c r="I9" i="20" s="1"/>
  <c r="H8" i="9"/>
  <c r="I6" i="20" s="1"/>
  <c r="Q6" i="20"/>
  <c r="H13" i="9"/>
  <c r="I11" i="20" s="1"/>
  <c r="L6" i="20"/>
  <c r="H21" i="9"/>
  <c r="I19" i="20" s="1"/>
  <c r="Q19" i="20"/>
  <c r="R3" i="20"/>
  <c r="H9" i="9"/>
  <c r="I7" i="20" s="1"/>
  <c r="H18" i="9"/>
  <c r="I16" i="20" s="1"/>
  <c r="H20" i="9"/>
  <c r="I18" i="20" s="1"/>
  <c r="Q18" i="20"/>
  <c r="H12" i="9"/>
  <c r="I10" i="20" s="1"/>
  <c r="Q10" i="20"/>
  <c r="H19" i="9"/>
  <c r="I17" i="20" s="1"/>
  <c r="H22" i="9"/>
  <c r="I20" i="20" s="1"/>
  <c r="Q20" i="20"/>
  <c r="R13" i="20"/>
  <c r="L11" i="20"/>
  <c r="M23" i="20"/>
  <c r="B7" i="9"/>
  <c r="C5" i="20" s="1"/>
  <c r="Q5" i="20"/>
  <c r="B21" i="9"/>
  <c r="C19" i="20" s="1"/>
  <c r="L14" i="20"/>
  <c r="L13" i="20"/>
  <c r="L20" i="20"/>
  <c r="B20" i="9"/>
  <c r="C18" i="20" s="1"/>
  <c r="L22" i="20"/>
  <c r="Q14" i="20"/>
  <c r="N23" i="20"/>
  <c r="Q22" i="20"/>
  <c r="Q17" i="20"/>
  <c r="Q9" i="20"/>
  <c r="Q16" i="20"/>
  <c r="L8" i="20"/>
  <c r="B19" i="9"/>
  <c r="C17" i="20" s="1"/>
  <c r="Q7" i="20"/>
  <c r="B9" i="9"/>
  <c r="C7" i="20" s="1"/>
  <c r="B11" i="9"/>
  <c r="C9" i="20" s="1"/>
  <c r="Q11" i="20"/>
  <c r="L3" i="20"/>
  <c r="B14" i="9"/>
  <c r="C12" i="20" s="1"/>
  <c r="Q12" i="20"/>
  <c r="Q21" i="20"/>
  <c r="R6" i="20" l="1"/>
  <c r="R7" i="20"/>
  <c r="R5" i="20"/>
  <c r="R8" i="20"/>
  <c r="R4" i="20"/>
  <c r="R10" i="20"/>
  <c r="R18" i="20"/>
  <c r="R9" i="20"/>
  <c r="L5" i="20"/>
  <c r="L7" i="20"/>
  <c r="R17" i="20"/>
  <c r="R11" i="20"/>
  <c r="R12" i="20"/>
  <c r="R21" i="20"/>
  <c r="L17" i="20"/>
  <c r="L19" i="20"/>
  <c r="R16" i="20"/>
  <c r="R19" i="20"/>
  <c r="L18" i="20"/>
  <c r="R20" i="20"/>
  <c r="L12" i="20"/>
  <c r="R22" i="20"/>
  <c r="R14" i="20"/>
  <c r="M24" i="20"/>
  <c r="L9" i="20"/>
  <c r="Q23" i="20"/>
  <c r="N24" i="20"/>
  <c r="L23" i="20"/>
  <c r="R23" i="20" l="1"/>
  <c r="N25" i="20"/>
  <c r="M25" i="20"/>
  <c r="L24" i="20"/>
  <c r="Q24" i="20"/>
  <c r="R24" i="20" l="1"/>
  <c r="L25" i="20"/>
  <c r="Q25" i="20"/>
  <c r="M26" i="20"/>
  <c r="N26" i="20"/>
  <c r="R25" i="20" l="1"/>
  <c r="Q26" i="20"/>
  <c r="L26" i="20"/>
  <c r="N27" i="20"/>
  <c r="M27" i="20"/>
  <c r="R26" i="20" l="1"/>
  <c r="L27" i="20"/>
  <c r="N28" i="20"/>
  <c r="M28" i="20"/>
  <c r="Q27" i="20"/>
  <c r="R27" i="20" l="1"/>
  <c r="Q28" i="20"/>
  <c r="L28" i="20"/>
  <c r="M29" i="20"/>
  <c r="N29" i="20"/>
  <c r="R28" i="20" l="1"/>
  <c r="L29" i="20"/>
  <c r="N30" i="20"/>
  <c r="Q29" i="20"/>
  <c r="M30" i="20"/>
  <c r="R29" i="20" l="1"/>
  <c r="M31" i="20"/>
  <c r="N31" i="20"/>
  <c r="L30" i="20"/>
  <c r="Q30" i="20"/>
  <c r="R30" i="20" l="1"/>
  <c r="N32" i="20"/>
  <c r="Q31" i="20"/>
  <c r="M32" i="20"/>
  <c r="L31" i="20"/>
  <c r="R31" i="20" l="1"/>
  <c r="Q32" i="20"/>
  <c r="L32" i="20"/>
  <c r="M33" i="20"/>
  <c r="N33" i="20"/>
  <c r="R32" i="20" l="1"/>
  <c r="M34" i="20"/>
  <c r="L33" i="20"/>
  <c r="N34" i="20"/>
  <c r="Q33" i="20"/>
  <c r="R33" i="20" l="1"/>
  <c r="N35" i="20"/>
  <c r="Q34" i="20"/>
  <c r="L34" i="20"/>
  <c r="M35" i="20"/>
  <c r="R34" i="20" l="1"/>
  <c r="Q35" i="20"/>
  <c r="M36" i="20"/>
  <c r="L35" i="20"/>
  <c r="N36" i="20"/>
  <c r="R35" i="20" l="1"/>
  <c r="M37" i="20"/>
  <c r="Q36" i="20"/>
  <c r="N37" i="20"/>
  <c r="L36" i="20"/>
  <c r="R36" i="20" l="1"/>
  <c r="N38" i="20"/>
  <c r="L37" i="20"/>
  <c r="Q37" i="20"/>
  <c r="M38" i="20"/>
  <c r="R37" i="20" l="1"/>
  <c r="N39" i="20"/>
  <c r="M39" i="20"/>
  <c r="Q38" i="20"/>
  <c r="L38" i="20"/>
  <c r="R38" i="20" l="1"/>
  <c r="L39" i="20"/>
  <c r="N40" i="20"/>
  <c r="Q39" i="20"/>
  <c r="M40" i="20"/>
  <c r="R39" i="20" l="1"/>
  <c r="M41" i="20"/>
  <c r="Q40" i="20"/>
  <c r="L40" i="20"/>
  <c r="N41" i="20"/>
  <c r="R40" i="20" l="1"/>
  <c r="N42" i="20"/>
  <c r="Q41" i="20"/>
  <c r="M42" i="20"/>
  <c r="L41" i="20"/>
  <c r="R41" i="20" l="1"/>
  <c r="L42" i="20"/>
  <c r="N43" i="20"/>
  <c r="Q42" i="20"/>
  <c r="M43" i="20"/>
  <c r="R42" i="20" l="1"/>
  <c r="N44" i="20"/>
  <c r="M44" i="20"/>
  <c r="Q43" i="20"/>
  <c r="L43" i="20"/>
  <c r="R43" i="20" l="1"/>
  <c r="M45" i="20"/>
  <c r="L44" i="20"/>
  <c r="Q44" i="20"/>
  <c r="N45" i="20"/>
  <c r="R44" i="20" l="1"/>
  <c r="L45" i="20"/>
  <c r="M46" i="20"/>
  <c r="N46" i="20"/>
  <c r="Q45" i="20"/>
  <c r="R45" i="20" l="1"/>
  <c r="Q46" i="20"/>
  <c r="N47" i="20"/>
  <c r="N48" i="20"/>
  <c r="L46" i="20"/>
  <c r="M47" i="20"/>
  <c r="M48" i="20"/>
  <c r="R46" i="20" l="1"/>
  <c r="L48" i="20"/>
  <c r="L47" i="20"/>
  <c r="Q47" i="20"/>
  <c r="Q48" i="20"/>
  <c r="R47" i="20" l="1"/>
  <c r="R48" i="20"/>
</calcChain>
</file>

<file path=xl/sharedStrings.xml><?xml version="1.0" encoding="utf-8"?>
<sst xmlns="http://schemas.openxmlformats.org/spreadsheetml/2006/main" count="567" uniqueCount="268">
  <si>
    <t>Avoided Cost Workbook</t>
  </si>
  <si>
    <t>Summary of tabs</t>
  </si>
  <si>
    <t>INCRM FIXED TRANSPORT</t>
  </si>
  <si>
    <t>Name</t>
  </si>
  <si>
    <t>Description</t>
  </si>
  <si>
    <t>Fixed cost of contracts that will be used to solve pre-DSM identified shortfalls</t>
  </si>
  <si>
    <t>Cost</t>
  </si>
  <si>
    <t>Year in Service</t>
  </si>
  <si>
    <t>Allocated Cost</t>
  </si>
  <si>
    <t>VARIABLE TRANSPORT</t>
  </si>
  <si>
    <t>Variable cost of Contracts. Once a shortfall is identified this should only use new contract costs</t>
  </si>
  <si>
    <t>Existing Contracts</t>
  </si>
  <si>
    <t>Contracts</t>
  </si>
  <si>
    <t>New Contracts</t>
  </si>
  <si>
    <t>Shortfalls Begin:</t>
  </si>
  <si>
    <t>New Allocated Cost</t>
  </si>
  <si>
    <t>Contract</t>
  </si>
  <si>
    <t>Average</t>
  </si>
  <si>
    <t>Color Code</t>
  </si>
  <si>
    <t>You should change this box</t>
  </si>
  <si>
    <t>You probably don't need to change this box</t>
  </si>
  <si>
    <t>Don't change this box</t>
  </si>
  <si>
    <t>Result that will go into the final calculation</t>
  </si>
  <si>
    <t>INCRM FIXED STORAGE</t>
  </si>
  <si>
    <t>Fixed cost of storage contracts that are selected as cost effective pre-DSM</t>
  </si>
  <si>
    <t>Variable cost of storage contracts. Once a shortfall is identified this should only use new contract costs</t>
  </si>
  <si>
    <t>I-5 Exp</t>
  </si>
  <si>
    <t>Zone 1</t>
  </si>
  <si>
    <t>Zone 2</t>
  </si>
  <si>
    <t>Zone 3</t>
  </si>
  <si>
    <t>Zone 4</t>
  </si>
  <si>
    <t>Oregon</t>
  </si>
  <si>
    <t>Washington</t>
  </si>
  <si>
    <t>System</t>
  </si>
  <si>
    <t>Basin Weights (From SENDOUT)</t>
  </si>
  <si>
    <t>Aeco</t>
  </si>
  <si>
    <t>Sumas</t>
  </si>
  <si>
    <t>Rockies</t>
  </si>
  <si>
    <t>Price Forecast (Annual)</t>
  </si>
  <si>
    <t>Price Forecast (Peak)</t>
  </si>
  <si>
    <t>Forecast Type?</t>
  </si>
  <si>
    <t>Annual</t>
  </si>
  <si>
    <t>Peak</t>
  </si>
  <si>
    <t>COMMODITY COST</t>
  </si>
  <si>
    <t>Price of gas based on CNGC price forecast. Can be modified for either Peak AC or annual. Need to input weights for each zone, which should be calculated by SENDOUT supply take by zone</t>
  </si>
  <si>
    <t>Year</t>
  </si>
  <si>
    <t>$/ton</t>
  </si>
  <si>
    <t>$/dth</t>
  </si>
  <si>
    <t>PSU Study</t>
  </si>
  <si>
    <t>Scenario?</t>
  </si>
  <si>
    <t>Scenarios</t>
  </si>
  <si>
    <t>CARBON TAX</t>
  </si>
  <si>
    <t>Adder to the commodity cost based on the desried carbon scenario</t>
  </si>
  <si>
    <t>Adder</t>
  </si>
  <si>
    <t>ENVIRONMENTAL ADDER</t>
  </si>
  <si>
    <t>Should stay 10% as per NWPCC recommendation unless scenario analysis</t>
  </si>
  <si>
    <t>DISTRIBUTION SYSTEM</t>
  </si>
  <si>
    <t>RISK PREMIUM</t>
  </si>
  <si>
    <t>Average Annual Portfolio Cost</t>
  </si>
  <si>
    <t>Cost To Fully Hedge</t>
  </si>
  <si>
    <t>Risk Premium</t>
  </si>
  <si>
    <t>Theoretical Cost to fully hedge natural gas portfolio</t>
  </si>
  <si>
    <t>INFLATION</t>
  </si>
  <si>
    <t>Estimated rate of inflation, modeled off the CPI.</t>
  </si>
  <si>
    <t>FINAL CALCULATION</t>
  </si>
  <si>
    <t>Current Avoided Cost Formula</t>
  </si>
  <si>
    <t>Inflation Factor</t>
  </si>
  <si>
    <t>System Therm Weight</t>
  </si>
  <si>
    <t>Aggregator of data from all other tabs. Currently costs past 20 years = 20th year cost</t>
  </si>
  <si>
    <t>Discount Rate</t>
  </si>
  <si>
    <t>GTN</t>
  </si>
  <si>
    <t>Source: https://www.zillow.com/mortgage-rates/30-year-fixed/</t>
  </si>
  <si>
    <t>As of -</t>
  </si>
  <si>
    <t xml:space="preserve">GTN13687 </t>
  </si>
  <si>
    <t xml:space="preserve">GTN13688 </t>
  </si>
  <si>
    <t xml:space="preserve">GTN17019W </t>
  </si>
  <si>
    <t xml:space="preserve">GTN17021 </t>
  </si>
  <si>
    <t xml:space="preserve">GTN17022 </t>
  </si>
  <si>
    <t xml:space="preserve">GTN17023 </t>
  </si>
  <si>
    <t xml:space="preserve">GTN17025 </t>
  </si>
  <si>
    <t xml:space="preserve">GTN17026 </t>
  </si>
  <si>
    <t xml:space="preserve">GTN17028 </t>
  </si>
  <si>
    <t xml:space="preserve">GTN17031 </t>
  </si>
  <si>
    <t xml:space="preserve">GTN17033 </t>
  </si>
  <si>
    <t xml:space="preserve">GTN17034 </t>
  </si>
  <si>
    <t xml:space="preserve">GTN17036 </t>
  </si>
  <si>
    <t xml:space="preserve">GTN17037 </t>
  </si>
  <si>
    <t xml:space="preserve">NWP100002N </t>
  </si>
  <si>
    <t xml:space="preserve">NWP100064Z20 </t>
  </si>
  <si>
    <t xml:space="preserve">NWP100134N11 </t>
  </si>
  <si>
    <t xml:space="preserve">NWP100149S </t>
  </si>
  <si>
    <t xml:space="preserve">NWP100150N </t>
  </si>
  <si>
    <t xml:space="preserve">NWP132329Z3W </t>
  </si>
  <si>
    <t xml:space="preserve">NWP135558SS </t>
  </si>
  <si>
    <t xml:space="preserve">NWP139090Z26 </t>
  </si>
  <si>
    <t xml:space="preserve">NWP139382 </t>
  </si>
  <si>
    <t xml:space="preserve">NWP139383 </t>
  </si>
  <si>
    <t xml:space="preserve">NWP139384 </t>
  </si>
  <si>
    <t xml:space="preserve">NWP139630MEO </t>
  </si>
  <si>
    <t xml:space="preserve">NWP139637Z3W </t>
  </si>
  <si>
    <t xml:space="preserve">NWP140047DC </t>
  </si>
  <si>
    <t xml:space="preserve">NWP140748Z26 </t>
  </si>
  <si>
    <t xml:space="preserve">RUBY6103600B </t>
  </si>
  <si>
    <t>GTN18507</t>
  </si>
  <si>
    <t xml:space="preserve">JPWD-100302 </t>
  </si>
  <si>
    <t xml:space="preserve">JPWD-100401 </t>
  </si>
  <si>
    <t xml:space="preserve">JPWD-135365 </t>
  </si>
  <si>
    <t xml:space="preserve">JPWD-139622 </t>
  </si>
  <si>
    <t xml:space="preserve">JPWD-139624 </t>
  </si>
  <si>
    <t xml:space="preserve">JPWD-139626 </t>
  </si>
  <si>
    <t xml:space="preserve">JPWD-139627 </t>
  </si>
  <si>
    <t xml:space="preserve">NWP100002S </t>
  </si>
  <si>
    <t xml:space="preserve">NWP100064MEO </t>
  </si>
  <si>
    <t xml:space="preserve">NWP100134S3S </t>
  </si>
  <si>
    <t xml:space="preserve">NWP100149N </t>
  </si>
  <si>
    <t xml:space="preserve">NWP100150S </t>
  </si>
  <si>
    <t xml:space="preserve">NWP132329MEO </t>
  </si>
  <si>
    <t xml:space="preserve">NWP135558P3W </t>
  </si>
  <si>
    <t xml:space="preserve">PLWD-100304 </t>
  </si>
  <si>
    <t xml:space="preserve">PLWD-100601 </t>
  </si>
  <si>
    <t xml:space="preserve">PLWD-140857 </t>
  </si>
  <si>
    <t xml:space="preserve">PLWD-141193 </t>
  </si>
  <si>
    <t xml:space="preserve">GTN18057 </t>
  </si>
  <si>
    <t>CEC Mid</t>
  </si>
  <si>
    <t>Probability</t>
  </si>
  <si>
    <t>EV</t>
  </si>
  <si>
    <t>Weighted average authorized margin, currently for Washington core cust.</t>
  </si>
  <si>
    <t>Nominal Avoided Cost (By Zone) - $/Therm</t>
  </si>
  <si>
    <t>Source</t>
  </si>
  <si>
    <t>NWP Presentation April 8th, 2014</t>
  </si>
  <si>
    <t>Blend of cost for milage based incrm. GTN capacity</t>
  </si>
  <si>
    <t>Total Cost - $/dth</t>
  </si>
  <si>
    <t>Total Cost $/dth</t>
  </si>
  <si>
    <t>Total Cost - dth</t>
  </si>
  <si>
    <t>EPA 40 CFR Part 98 Subpart NN default higher heating value is 1.026 mmbtu/Mscf</t>
  </si>
  <si>
    <t>EPA 40 CFR Part 98 Subpart NN Methodology 2 default CO2 emissions factor - 0.0544 metric tons CO2/Mscf</t>
  </si>
  <si>
    <t>average</t>
  </si>
  <si>
    <t>mmbtu/Mscf</t>
  </si>
  <si>
    <t>CNGC WA heating values - from EPA Subpart NN reporting</t>
  </si>
  <si>
    <t>Market Choice</t>
  </si>
  <si>
    <t>FUEL</t>
  </si>
  <si>
    <t>Average fuel loss across all of Cascade's Contracts</t>
  </si>
  <si>
    <t>VARIABLE STORAGE</t>
  </si>
  <si>
    <t>Incremental Fixed Transportation</t>
  </si>
  <si>
    <t>Variable Transportation</t>
  </si>
  <si>
    <t>Fuel</t>
  </si>
  <si>
    <t>Fixed Storage</t>
  </si>
  <si>
    <t>Variable Storage</t>
  </si>
  <si>
    <t>Commodity Cost</t>
  </si>
  <si>
    <t>Environmental Adder</t>
  </si>
  <si>
    <t>Inflation</t>
  </si>
  <si>
    <t>House of Representatives Market Choice Bill</t>
  </si>
  <si>
    <t>CO2 to Therm Conversion</t>
  </si>
  <si>
    <t>SCC 2.5%</t>
  </si>
  <si>
    <t>Cap Trade</t>
  </si>
  <si>
    <t>N/A</t>
  </si>
  <si>
    <t xml:space="preserve">GTN18507 </t>
  </si>
  <si>
    <t xml:space="preserve">GTN2023 </t>
  </si>
  <si>
    <t xml:space="preserve">NWP100002STN </t>
  </si>
  <si>
    <t xml:space="preserve">NWP100134N20 </t>
  </si>
  <si>
    <t xml:space="preserve">NWP100134N3S </t>
  </si>
  <si>
    <t xml:space="preserve">NWP100134S11 </t>
  </si>
  <si>
    <t xml:space="preserve">NWP100134S20 </t>
  </si>
  <si>
    <t xml:space="preserve">NWP10030226B </t>
  </si>
  <si>
    <t xml:space="preserve">NWP100302SMS </t>
  </si>
  <si>
    <t xml:space="preserve">NWP100302STN </t>
  </si>
  <si>
    <t xml:space="preserve">NWP100302Z10 </t>
  </si>
  <si>
    <t xml:space="preserve">NWP100302Z11 </t>
  </si>
  <si>
    <t xml:space="preserve">NWP100302Z20 </t>
  </si>
  <si>
    <t xml:space="preserve">NWP100302Z24 </t>
  </si>
  <si>
    <t xml:space="preserve">NWP100302Z26 </t>
  </si>
  <si>
    <t xml:space="preserve">NWP100302Z3S </t>
  </si>
  <si>
    <t xml:space="preserve">NWP100302Z3W </t>
  </si>
  <si>
    <t xml:space="preserve">NWP139090B3S </t>
  </si>
  <si>
    <t xml:space="preserve">NWP139090B3W </t>
  </si>
  <si>
    <t xml:space="preserve">NWP139090DC </t>
  </si>
  <si>
    <t xml:space="preserve">NWP139090ME </t>
  </si>
  <si>
    <t xml:space="preserve">NWP139090Z10 </t>
  </si>
  <si>
    <t xml:space="preserve">NWP139090Z11 </t>
  </si>
  <si>
    <t xml:space="preserve">NWP139382SMS </t>
  </si>
  <si>
    <t xml:space="preserve">NWP139382W </t>
  </si>
  <si>
    <t xml:space="preserve">NWP139383SMS </t>
  </si>
  <si>
    <t xml:space="preserve">NWP139383W </t>
  </si>
  <si>
    <t xml:space="preserve">NWP139384SMS </t>
  </si>
  <si>
    <t xml:space="preserve">NWP139384W </t>
  </si>
  <si>
    <t xml:space="preserve">NWP139624SMS </t>
  </si>
  <si>
    <t xml:space="preserve">NWP139624Z3W </t>
  </si>
  <si>
    <t xml:space="preserve">NWP139627SMS </t>
  </si>
  <si>
    <t xml:space="preserve">NWP139627Z3W </t>
  </si>
  <si>
    <t xml:space="preserve">NWP139630ME </t>
  </si>
  <si>
    <t xml:space="preserve">NWP139630Z24 </t>
  </si>
  <si>
    <t xml:space="preserve">NWP139637DC </t>
  </si>
  <si>
    <t xml:space="preserve">NWP139637ME </t>
  </si>
  <si>
    <t xml:space="preserve">NWP139637Z11 </t>
  </si>
  <si>
    <t xml:space="preserve">NWP140047Z3W </t>
  </si>
  <si>
    <t xml:space="preserve">NWP140748ME </t>
  </si>
  <si>
    <t xml:space="preserve">NWP140748Z24 </t>
  </si>
  <si>
    <t>Cap and Trade</t>
  </si>
  <si>
    <t>Real 2020$ Avoided Cost (By Zone)</t>
  </si>
  <si>
    <t>Raise Wages</t>
  </si>
  <si>
    <t>Raise Wages, Cut Carbon Act</t>
  </si>
  <si>
    <t>Real 2021$ Avoided Cost (By Zone)</t>
  </si>
  <si>
    <t>Start Year</t>
  </si>
  <si>
    <t>NWP100302MEOR</t>
  </si>
  <si>
    <t>NWP100302MEORB</t>
  </si>
  <si>
    <t>NWP100302MEWA</t>
  </si>
  <si>
    <t>NWP100302MEWAB</t>
  </si>
  <si>
    <t xml:space="preserve">NWP140047Z20 </t>
  </si>
  <si>
    <t xml:space="preserve">NWP140047Z24 </t>
  </si>
  <si>
    <t xml:space="preserve">NWP140047Z26 </t>
  </si>
  <si>
    <t xml:space="preserve">NWP140047ZME </t>
  </si>
  <si>
    <t xml:space="preserve">NWP143078 </t>
  </si>
  <si>
    <t xml:space="preserve">NWPJPIN </t>
  </si>
  <si>
    <t xml:space="preserve">NWPPLIN </t>
  </si>
  <si>
    <t xml:space="preserve">STAR_TO_NWPN </t>
  </si>
  <si>
    <t>NWP142548Z26</t>
  </si>
  <si>
    <t>NWP142548ZMEOR</t>
  </si>
  <si>
    <t>NWP142967Z20</t>
  </si>
  <si>
    <t>NWP143550Z26</t>
  </si>
  <si>
    <t>NWP143550Z11</t>
  </si>
  <si>
    <t>NWP143821ZMEW</t>
  </si>
  <si>
    <t>Commodity Cost - Calculated From Price Forecast</t>
  </si>
  <si>
    <t>Distribution System Costs in Real $2021/dth</t>
  </si>
  <si>
    <t>CNGC Emission Factor for Upstream Natural Gas System  (assumed % of GHG emitted upstream of natural  gas delivered)</t>
  </si>
  <si>
    <t>Upstream Emission Rate, CH4 g/mmbtu</t>
  </si>
  <si>
    <t>Upstream Emission Rate, CO2e g/mmbtu</t>
  </si>
  <si>
    <t xml:space="preserve">End Use Emission Rate, CO2e g/mmbtu (based on  on Table NN-2 of 40 CFR Part 98 Subpart NN and company heating value) </t>
  </si>
  <si>
    <t>Total Emission Rate CO2e Metric Tons/therm</t>
  </si>
  <si>
    <t>Upstream Natural Gas System GHG Emission Rates (assumed % of GHG lost upstream of naturual gas delivered)</t>
  </si>
  <si>
    <t>GHGenius - from Puget Sound Clean Air Agency LCA Worksheet for PSE Tacoma LNG Facility (Canada supply)</t>
  </si>
  <si>
    <t>2020 EPA Annual GHG Inventory of US GHG Emissions and Sinks (1990-2018) (US Rockies supply)</t>
  </si>
  <si>
    <t>GWP of Methane - 100 yr</t>
  </si>
  <si>
    <t>Source: 2007 IPCC Report</t>
  </si>
  <si>
    <t>therms per mmbtu - conversion</t>
  </si>
  <si>
    <t>CNGC Gas Supply</t>
  </si>
  <si>
    <t>%</t>
  </si>
  <si>
    <t>Sumas (BC Canada)</t>
  </si>
  <si>
    <t>AECO (AB Canada)</t>
  </si>
  <si>
    <t>US Rockies</t>
  </si>
  <si>
    <t>mmbtu</t>
  </si>
  <si>
    <t>mcf</t>
  </si>
  <si>
    <t>EIA</t>
  </si>
  <si>
    <t>Mcf NatGas</t>
  </si>
  <si>
    <t>Metric Ton CH4 in 1 Mcf of CH4</t>
  </si>
  <si>
    <t>&lt;----------</t>
  </si>
  <si>
    <t>From 40 CFR Part 98 Subpart W Equation W-36</t>
  </si>
  <si>
    <t>ρi = Density of GHGi. Use 0.0526 kg/ft3 for CO2 and N2O, and 0.0192 kg/ft3 for CH4 at 60 °F and 14.7 psia.</t>
  </si>
  <si>
    <t>1)</t>
  </si>
  <si>
    <t>unit of delivered natural gas - 1 mmbtu &amp; mcf equivalent</t>
  </si>
  <si>
    <t>https://www.eia.gov/tools/faqs/faq.php?id=45&amp;t=8</t>
  </si>
  <si>
    <t>2)</t>
  </si>
  <si>
    <t>Assumption on the % of the delivered gas that is methane</t>
  </si>
  <si>
    <t>Metric Ton MT</t>
  </si>
  <si>
    <t>Grams g</t>
  </si>
  <si>
    <t>Ton</t>
  </si>
  <si>
    <t>lbs</t>
  </si>
  <si>
    <t>lb/mmbtu</t>
  </si>
  <si>
    <t>g/mmbtu</t>
  </si>
  <si>
    <t>lb/mcf</t>
  </si>
  <si>
    <t>g/mcf</t>
  </si>
  <si>
    <t>3)</t>
  </si>
  <si>
    <r>
      <t>Calculation of the amount of methane</t>
    </r>
    <r>
      <rPr>
        <vertAlign val="subscript"/>
        <sz val="10"/>
        <color theme="1"/>
        <rFont val="Arial"/>
        <family val="2"/>
      </rPr>
      <t xml:space="preserve"> </t>
    </r>
    <r>
      <rPr>
        <sz val="11"/>
        <color theme="1"/>
        <rFont val="Calibri"/>
        <family val="2"/>
        <scheme val="minor"/>
      </rPr>
      <t>in a delivered unit of natural gas</t>
    </r>
  </si>
  <si>
    <t>mmbtu NatGas - 2021 EPA eGGRT Cascade WA Subpart NN Report Value</t>
  </si>
  <si>
    <t>Carbon Forecast</t>
  </si>
  <si>
    <t>Upstream Emissions Calculation</t>
  </si>
  <si>
    <r>
      <t>% CH</t>
    </r>
    <r>
      <rPr>
        <b/>
        <vertAlign val="subscript"/>
        <sz val="11"/>
        <color theme="1"/>
        <rFont val="Calibri"/>
        <family val="2"/>
        <scheme val="minor"/>
      </rPr>
      <t>4</t>
    </r>
  </si>
  <si>
    <r>
      <t>mcf of CH</t>
    </r>
    <r>
      <rPr>
        <b/>
        <vertAlign val="subscript"/>
        <sz val="11"/>
        <color theme="1"/>
        <rFont val="Calibri"/>
        <family val="2"/>
        <scheme val="minor"/>
      </rPr>
      <t>4</t>
    </r>
  </si>
  <si>
    <t>Carbon Compliance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</si>
</sst>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0.00000000"/>
    <numFmt numFmtId="165" formatCode="_(* #,##0_);_(* \(#,##0\);_(* &quot;-&quot;??_);_(@_)"/>
    <numFmt numFmtId="166" formatCode="_(* #,##0.0000_);_(* \(#,##0.0000\);_(* &quot;-&quot;??_);_(@_)"/>
    <numFmt numFmtId="167" formatCode="0.0%"/>
    <numFmt numFmtId="168" formatCode="0.000"/>
    <numFmt numFmtId="169" formatCode="_(&quot;$&quot;* #,##0.000_);_(&quot;$&quot;* \(#,##0.000\);_(&quot;$&quot;* &quot;-&quot;??_);_(@_)"/>
    <numFmt numFmtId="170" formatCode="0.000000"/>
    <numFmt numFmtId="171" formatCode="_(* #,##0.000000_);_(* \(#,##0.000000\);_(* &quot;-&quot;??_);_(@_)"/>
    <numFmt numFmtId="172" formatCode="0.0000"/>
  </numFmts>
  <fonts count="21"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8"/>
      <color theme="1"/>
      <name val="Calibri"/>
      <family val="2"/>
      <scheme val="minor"/>
    </font>
    <font>
      <b/>
      <sz val="24"/>
      <color theme="1"/>
      <name val="Calibri"/>
      <family val="2"/>
      <scheme val="minor"/>
    </font>
    <font>
      <sz val="24"/>
      <color rgb="FF9C0006"/>
      <name val="Calibri"/>
      <family val="2"/>
      <scheme val="minor"/>
    </font>
    <font>
      <sz val="18"/>
      <color theme="1"/>
      <name val="Calibri"/>
      <family val="2"/>
      <scheme val="minor"/>
    </font>
    <font>
      <sz val="10"/>
      <color rgb="FF000000"/>
      <name val="Times New Roman"/>
      <family val="1"/>
    </font>
    <font>
      <b/>
      <sz val="11"/>
      <color theme="1"/>
      <name val="Calibri"/>
      <family val="2"/>
      <scheme val="minor"/>
    </font>
    <font>
      <b/>
      <sz val="16"/>
      <color theme="1"/>
      <name val="Calibri"/>
      <family val="2"/>
      <scheme val="minor"/>
    </font>
    <font>
      <b/>
      <sz val="16"/>
      <color indexed="8"/>
      <name val="Calibri"/>
      <family val="2"/>
      <scheme val="minor"/>
    </font>
    <font>
      <sz val="11"/>
      <color rgb="FF000000"/>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sz val="10"/>
      <color rgb="FF000000"/>
      <name val="Arial"/>
      <family val="2"/>
    </font>
    <font>
      <sz val="11"/>
      <name val="Calibri"/>
      <family val="2"/>
      <scheme val="minor"/>
    </font>
    <font>
      <vertAlign val="subscript"/>
      <sz val="10"/>
      <color theme="1"/>
      <name val="Arial"/>
      <family val="2"/>
    </font>
    <font>
      <b/>
      <sz val="36"/>
      <color theme="1"/>
      <name val="Calibri"/>
      <family val="2"/>
      <scheme val="minor"/>
    </font>
    <font>
      <b/>
      <vertAlign val="subscript"/>
      <sz val="11"/>
      <color theme="1"/>
      <name val="Calibri"/>
      <family val="2"/>
      <scheme val="minor"/>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1"/>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bgColor indexed="64"/>
      </patternFill>
    </fill>
    <fill>
      <patternFill patternType="solid">
        <fgColor rgb="FF00B0F0"/>
        <bgColor indexed="64"/>
      </patternFill>
    </fill>
    <fill>
      <patternFill patternType="solid">
        <fgColor theme="7" tint="0.39997558519241921"/>
        <bgColor indexed="64"/>
      </patternFill>
    </fill>
    <fill>
      <patternFill patternType="solid">
        <fgColor theme="2"/>
        <bgColor indexed="64"/>
      </patternFill>
    </fill>
    <fill>
      <patternFill patternType="solid">
        <fgColor theme="4" tint="0.79998168889431442"/>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ck">
        <color auto="1"/>
      </top>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8"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5" fillId="0" borderId="0" applyNumberFormat="0" applyFill="0" applyBorder="0" applyAlignment="0" applyProtection="0"/>
  </cellStyleXfs>
  <cellXfs count="248">
    <xf numFmtId="0" fontId="0" fillId="0" borderId="0" xfId="0"/>
    <xf numFmtId="0" fontId="0" fillId="0" borderId="4" xfId="0" applyBorder="1"/>
    <xf numFmtId="0" fontId="0" fillId="0" borderId="0" xfId="0" applyBorder="1"/>
    <xf numFmtId="0" fontId="0" fillId="5" borderId="0" xfId="0" applyFill="1"/>
    <xf numFmtId="0" fontId="0" fillId="0" borderId="10" xfId="0" applyBorder="1"/>
    <xf numFmtId="0" fontId="0" fillId="0" borderId="0" xfId="0" applyBorder="1" applyAlignment="1"/>
    <xf numFmtId="0" fontId="1" fillId="2" borderId="4" xfId="1" applyBorder="1"/>
    <xf numFmtId="0" fontId="1" fillId="2" borderId="0" xfId="1" applyBorder="1"/>
    <xf numFmtId="0" fontId="1" fillId="2" borderId="5" xfId="1" applyBorder="1"/>
    <xf numFmtId="0" fontId="1" fillId="2" borderId="7" xfId="1" applyBorder="1"/>
    <xf numFmtId="0" fontId="1" fillId="2" borderId="8" xfId="1" applyBorder="1"/>
    <xf numFmtId="0" fontId="3" fillId="4" borderId="0" xfId="3" applyBorder="1"/>
    <xf numFmtId="0" fontId="2" fillId="3" borderId="4" xfId="2" applyBorder="1"/>
    <xf numFmtId="0" fontId="2" fillId="3" borderId="6" xfId="2" applyBorder="1"/>
    <xf numFmtId="0" fontId="3" fillId="4" borderId="4" xfId="3" applyBorder="1"/>
    <xf numFmtId="0" fontId="3" fillId="4" borderId="6" xfId="3" applyBorder="1"/>
    <xf numFmtId="0" fontId="2" fillId="3" borderId="0" xfId="2" applyBorder="1"/>
    <xf numFmtId="0" fontId="2" fillId="3" borderId="5" xfId="2" applyBorder="1"/>
    <xf numFmtId="0" fontId="1" fillId="2" borderId="0" xfId="1"/>
    <xf numFmtId="0" fontId="2" fillId="3" borderId="0" xfId="2"/>
    <xf numFmtId="0" fontId="2" fillId="3" borderId="2" xfId="2" applyBorder="1"/>
    <xf numFmtId="0" fontId="2" fillId="3" borderId="3" xfId="2" applyBorder="1"/>
    <xf numFmtId="0" fontId="1" fillId="2" borderId="6" xfId="1" applyBorder="1"/>
    <xf numFmtId="0" fontId="2" fillId="3" borderId="9" xfId="2" applyBorder="1"/>
    <xf numFmtId="0" fontId="2" fillId="3" borderId="10" xfId="2" applyBorder="1"/>
    <xf numFmtId="0" fontId="3" fillId="4" borderId="3" xfId="3" applyBorder="1"/>
    <xf numFmtId="0" fontId="3" fillId="4" borderId="5" xfId="3" applyBorder="1"/>
    <xf numFmtId="0" fontId="3" fillId="4" borderId="8" xfId="3" applyBorder="1"/>
    <xf numFmtId="0" fontId="2" fillId="3" borderId="1" xfId="2" applyBorder="1"/>
    <xf numFmtId="0" fontId="0" fillId="0" borderId="11" xfId="0" applyBorder="1"/>
    <xf numFmtId="0" fontId="0" fillId="0" borderId="0" xfId="0" applyAlignment="1"/>
    <xf numFmtId="0" fontId="3" fillId="4" borderId="0" xfId="3" applyAlignment="1"/>
    <xf numFmtId="0" fontId="1" fillId="2" borderId="0" xfId="1" applyAlignment="1"/>
    <xf numFmtId="0" fontId="0" fillId="0" borderId="5" xfId="0" applyBorder="1"/>
    <xf numFmtId="0" fontId="0" fillId="0" borderId="7" xfId="0" applyBorder="1"/>
    <xf numFmtId="0" fontId="0" fillId="0" borderId="8" xfId="0" applyBorder="1"/>
    <xf numFmtId="0" fontId="0" fillId="0" borderId="6" xfId="0" applyBorder="1"/>
    <xf numFmtId="0" fontId="1" fillId="2" borderId="12" xfId="1" applyBorder="1"/>
    <xf numFmtId="0" fontId="2" fillId="3" borderId="0" xfId="2" applyAlignment="1"/>
    <xf numFmtId="0" fontId="2" fillId="3" borderId="0" xfId="2" applyAlignment="1">
      <alignment horizontal="center"/>
    </xf>
    <xf numFmtId="0" fontId="0" fillId="0" borderId="0" xfId="0"/>
    <xf numFmtId="2" fontId="0" fillId="0" borderId="0" xfId="0" applyNumberFormat="1" applyFill="1"/>
    <xf numFmtId="9" fontId="1" fillId="2" borderId="0" xfId="1" applyNumberFormat="1" applyAlignment="1"/>
    <xf numFmtId="9" fontId="1" fillId="2" borderId="0" xfId="1" applyNumberFormat="1"/>
    <xf numFmtId="0" fontId="2" fillId="3" borderId="4" xfId="2" applyBorder="1" applyAlignment="1">
      <alignment horizontal="center"/>
    </xf>
    <xf numFmtId="0" fontId="2" fillId="3" borderId="13" xfId="2" applyBorder="1" applyAlignment="1">
      <alignment horizontal="center"/>
    </xf>
    <xf numFmtId="0" fontId="2" fillId="3" borderId="14" xfId="2" applyBorder="1" applyAlignment="1">
      <alignment horizontal="center"/>
    </xf>
    <xf numFmtId="164" fontId="2" fillId="3" borderId="4" xfId="2" applyNumberFormat="1" applyBorder="1" applyAlignment="1">
      <alignment horizontal="center"/>
    </xf>
    <xf numFmtId="164" fontId="2" fillId="3" borderId="14" xfId="2" applyNumberFormat="1" applyBorder="1" applyAlignment="1">
      <alignment horizontal="center"/>
    </xf>
    <xf numFmtId="164" fontId="2" fillId="3" borderId="13" xfId="2" applyNumberFormat="1" applyBorder="1" applyAlignment="1">
      <alignment horizontal="center"/>
    </xf>
    <xf numFmtId="0" fontId="1" fillId="2" borderId="11" xfId="1" applyBorder="1" applyAlignment="1">
      <alignment wrapText="1"/>
    </xf>
    <xf numFmtId="0" fontId="1" fillId="2" borderId="11" xfId="1" applyBorder="1"/>
    <xf numFmtId="0" fontId="1" fillId="2" borderId="10" xfId="1" applyBorder="1"/>
    <xf numFmtId="0" fontId="0" fillId="6" borderId="12" xfId="0" applyFill="1" applyBorder="1"/>
    <xf numFmtId="0" fontId="2" fillId="3" borderId="4" xfId="2" applyBorder="1" applyAlignment="1">
      <alignment horizontal="center"/>
    </xf>
    <xf numFmtId="0" fontId="2" fillId="3" borderId="0" xfId="2" applyBorder="1" applyAlignment="1">
      <alignment horizontal="center"/>
    </xf>
    <xf numFmtId="0" fontId="9" fillId="0" borderId="1" xfId="0" applyFont="1" applyBorder="1"/>
    <xf numFmtId="0" fontId="0" fillId="0" borderId="2" xfId="0" applyBorder="1"/>
    <xf numFmtId="0" fontId="0" fillId="0" borderId="3" xfId="0" applyBorder="1"/>
    <xf numFmtId="0" fontId="0" fillId="6" borderId="6" xfId="0" applyFill="1" applyBorder="1"/>
    <xf numFmtId="14" fontId="0" fillId="0" borderId="7" xfId="0" applyNumberFormat="1" applyBorder="1"/>
    <xf numFmtId="0" fontId="6" fillId="3" borderId="2" xfId="2" applyFont="1" applyBorder="1" applyAlignment="1"/>
    <xf numFmtId="0" fontId="6" fillId="3" borderId="3" xfId="2" applyFont="1" applyBorder="1" applyAlignment="1"/>
    <xf numFmtId="0" fontId="6" fillId="3" borderId="0" xfId="2" applyFont="1" applyBorder="1" applyAlignment="1"/>
    <xf numFmtId="0" fontId="6" fillId="3" borderId="5" xfId="2" applyFont="1" applyBorder="1" applyAlignment="1"/>
    <xf numFmtId="0" fontId="6" fillId="3" borderId="7" xfId="2" applyFont="1" applyBorder="1" applyAlignment="1"/>
    <xf numFmtId="0" fontId="6" fillId="3" borderId="8" xfId="2" applyFont="1" applyBorder="1" applyAlignment="1"/>
    <xf numFmtId="0" fontId="0" fillId="6" borderId="1" xfId="0" applyFill="1" applyBorder="1"/>
    <xf numFmtId="0" fontId="0" fillId="6" borderId="3" xfId="0" applyFill="1" applyBorder="1"/>
    <xf numFmtId="0" fontId="0" fillId="6" borderId="4" xfId="0" applyFill="1" applyBorder="1"/>
    <xf numFmtId="0" fontId="0" fillId="6" borderId="5" xfId="0" applyFill="1" applyBorder="1"/>
    <xf numFmtId="0" fontId="0" fillId="6" borderId="8" xfId="0" applyFill="1" applyBorder="1"/>
    <xf numFmtId="0" fontId="3" fillId="4" borderId="7" xfId="3" applyBorder="1"/>
    <xf numFmtId="0" fontId="0" fillId="0" borderId="0" xfId="0" applyFill="1"/>
    <xf numFmtId="0" fontId="2" fillId="3" borderId="11" xfId="2" applyBorder="1"/>
    <xf numFmtId="0" fontId="0" fillId="6" borderId="5" xfId="0" applyNumberFormat="1" applyFill="1" applyBorder="1"/>
    <xf numFmtId="0" fontId="3" fillId="0" borderId="0" xfId="3" applyFill="1" applyBorder="1"/>
    <xf numFmtId="0" fontId="2" fillId="3" borderId="15" xfId="2" applyBorder="1"/>
    <xf numFmtId="0" fontId="0" fillId="6" borderId="2" xfId="0" applyFill="1" applyBorder="1"/>
    <xf numFmtId="0" fontId="0" fillId="6" borderId="0" xfId="0" applyFill="1" applyBorder="1"/>
    <xf numFmtId="0" fontId="0" fillId="6" borderId="7" xfId="0" applyFill="1" applyBorder="1"/>
    <xf numFmtId="0" fontId="0" fillId="0" borderId="1" xfId="0" applyBorder="1"/>
    <xf numFmtId="0" fontId="0" fillId="0" borderId="2" xfId="0" applyBorder="1" applyAlignment="1"/>
    <xf numFmtId="0" fontId="3" fillId="4" borderId="3" xfId="3" applyBorder="1" applyAlignment="1"/>
    <xf numFmtId="0" fontId="2" fillId="3" borderId="5" xfId="2" applyBorder="1" applyAlignment="1">
      <alignment horizontal="center"/>
    </xf>
    <xf numFmtId="0" fontId="0" fillId="0" borderId="16" xfId="0" applyBorder="1"/>
    <xf numFmtId="9" fontId="0" fillId="6" borderId="0" xfId="0" applyNumberFormat="1" applyFill="1" applyBorder="1"/>
    <xf numFmtId="9" fontId="0" fillId="6" borderId="7" xfId="0" applyNumberFormat="1" applyFill="1" applyBorder="1"/>
    <xf numFmtId="0" fontId="0" fillId="0" borderId="12" xfId="0" applyBorder="1"/>
    <xf numFmtId="0" fontId="12" fillId="0" borderId="0" xfId="0" applyFont="1"/>
    <xf numFmtId="10" fontId="0" fillId="0" borderId="0" xfId="0" applyNumberFormat="1"/>
    <xf numFmtId="0" fontId="0" fillId="0" borderId="0" xfId="0" applyAlignment="1">
      <alignment wrapText="1"/>
    </xf>
    <xf numFmtId="165" fontId="0" fillId="0" borderId="0" xfId="5" applyNumberFormat="1" applyFont="1"/>
    <xf numFmtId="165" fontId="0" fillId="0" borderId="0" xfId="0" applyNumberFormat="1"/>
    <xf numFmtId="166" fontId="0" fillId="0" borderId="0" xfId="0" applyNumberFormat="1" applyAlignment="1">
      <alignment wrapText="1"/>
    </xf>
    <xf numFmtId="0" fontId="16" fillId="0" borderId="0" xfId="0" applyFont="1" applyAlignment="1">
      <alignment wrapText="1"/>
    </xf>
    <xf numFmtId="0" fontId="17" fillId="0" borderId="0" xfId="0" applyFont="1" applyAlignment="1">
      <alignment wrapText="1"/>
    </xf>
    <xf numFmtId="0" fontId="17" fillId="0" borderId="0" xfId="0" applyFont="1"/>
    <xf numFmtId="0" fontId="9" fillId="0" borderId="17" xfId="0" applyFont="1" applyBorder="1" applyAlignment="1">
      <alignment horizontal="center"/>
    </xf>
    <xf numFmtId="167" fontId="0" fillId="0" borderId="0" xfId="0" applyNumberFormat="1"/>
    <xf numFmtId="0" fontId="0" fillId="8" borderId="0" xfId="0" applyFill="1"/>
    <xf numFmtId="0" fontId="0" fillId="8" borderId="0" xfId="0" applyFill="1" applyAlignment="1">
      <alignment horizontal="center" vertical="center"/>
    </xf>
    <xf numFmtId="0" fontId="0" fillId="0" borderId="0" xfId="0" applyAlignment="1">
      <alignment horizontal="center" vertical="center"/>
    </xf>
    <xf numFmtId="0" fontId="0" fillId="9" borderId="1" xfId="0" applyFill="1" applyBorder="1" applyAlignment="1">
      <alignment horizontal="center" vertical="center" wrapText="1"/>
    </xf>
    <xf numFmtId="0" fontId="0" fillId="9" borderId="2" xfId="0" applyFill="1" applyBorder="1" applyAlignment="1">
      <alignment horizontal="center" vertical="center" wrapText="1"/>
    </xf>
    <xf numFmtId="0" fontId="0" fillId="9" borderId="3" xfId="0" applyFill="1" applyBorder="1" applyAlignment="1">
      <alignment wrapText="1"/>
    </xf>
    <xf numFmtId="0" fontId="0" fillId="0" borderId="0" xfId="0" applyAlignment="1">
      <alignment horizontal="center" vertical="center" wrapText="1"/>
    </xf>
    <xf numFmtId="0" fontId="0" fillId="9" borderId="0" xfId="0" applyFill="1" applyAlignment="1">
      <alignment horizontal="center" vertical="center" wrapText="1"/>
    </xf>
    <xf numFmtId="168" fontId="0" fillId="0" borderId="0" xfId="0" applyNumberFormat="1" applyAlignment="1">
      <alignment horizontal="center" vertical="center" wrapText="1"/>
    </xf>
    <xf numFmtId="0" fontId="15" fillId="0" borderId="6" xfId="8" applyBorder="1" applyAlignment="1">
      <alignment horizontal="center" vertical="center" wrapText="1"/>
    </xf>
    <xf numFmtId="0" fontId="0" fillId="0" borderId="7" xfId="0" applyBorder="1" applyAlignment="1">
      <alignment horizontal="center" vertical="center" wrapText="1"/>
    </xf>
    <xf numFmtId="0" fontId="0" fillId="7" borderId="7" xfId="0" applyFill="1" applyBorder="1" applyAlignment="1">
      <alignment horizontal="center" vertical="center" wrapText="1"/>
    </xf>
    <xf numFmtId="0" fontId="0" fillId="0" borderId="8" xfId="0" applyBorder="1" applyAlignment="1">
      <alignment horizontal="center" vertical="center"/>
    </xf>
    <xf numFmtId="0" fontId="0" fillId="7" borderId="0" xfId="0" applyFill="1" applyAlignment="1">
      <alignment horizontal="center" vertical="center"/>
    </xf>
    <xf numFmtId="168" fontId="0" fillId="0" borderId="0" xfId="0" applyNumberFormat="1" applyAlignment="1">
      <alignment horizontal="center" vertical="center"/>
    </xf>
    <xf numFmtId="0" fontId="0" fillId="9" borderId="3" xfId="0" applyFill="1" applyBorder="1" applyAlignment="1">
      <alignment horizontal="center" vertical="center" wrapText="1"/>
    </xf>
    <xf numFmtId="0" fontId="0" fillId="0" borderId="6" xfId="0" applyBorder="1" applyAlignment="1">
      <alignment horizontal="center" vertical="center" wrapText="1"/>
    </xf>
    <xf numFmtId="3" fontId="0" fillId="0" borderId="7" xfId="0" applyNumberFormat="1" applyBorder="1" applyAlignment="1">
      <alignment horizontal="center" vertical="center" wrapText="1"/>
    </xf>
    <xf numFmtId="0" fontId="0" fillId="0" borderId="8" xfId="0" applyBorder="1" applyAlignment="1">
      <alignment horizontal="center" vertical="center" wrapText="1"/>
    </xf>
    <xf numFmtId="3" fontId="0" fillId="0" borderId="0" xfId="0" applyNumberFormat="1" applyAlignment="1">
      <alignment horizontal="center" vertical="center"/>
    </xf>
    <xf numFmtId="0" fontId="16" fillId="0" borderId="0" xfId="0" applyFont="1"/>
    <xf numFmtId="0" fontId="14" fillId="0" borderId="0" xfId="0" applyFont="1"/>
    <xf numFmtId="0" fontId="9" fillId="0" borderId="0" xfId="0" applyFont="1" applyAlignment="1">
      <alignment horizontal="center"/>
    </xf>
    <xf numFmtId="0" fontId="0" fillId="12" borderId="12" xfId="0" applyFill="1" applyBorder="1"/>
    <xf numFmtId="169" fontId="0" fillId="0" borderId="12" xfId="6" applyNumberFormat="1" applyFont="1" applyFill="1" applyBorder="1"/>
    <xf numFmtId="165" fontId="0" fillId="0" borderId="0" xfId="0" applyNumberFormat="1" applyAlignment="1">
      <alignment wrapText="1"/>
    </xf>
    <xf numFmtId="165" fontId="14" fillId="0" borderId="0" xfId="5" applyNumberFormat="1" applyFont="1" applyAlignment="1">
      <alignment wrapText="1"/>
    </xf>
    <xf numFmtId="43" fontId="0" fillId="0" borderId="0" xfId="0" applyNumberFormat="1"/>
    <xf numFmtId="0" fontId="14" fillId="0" borderId="0" xfId="0" applyFont="1" applyAlignment="1">
      <alignment wrapText="1"/>
    </xf>
    <xf numFmtId="165" fontId="0" fillId="0" borderId="0" xfId="5" applyNumberFormat="1" applyFont="1" applyAlignment="1">
      <alignment wrapText="1"/>
    </xf>
    <xf numFmtId="0" fontId="0" fillId="8" borderId="0" xfId="0" applyFill="1" applyAlignment="1">
      <alignment horizontal="center" vertical="center" wrapText="1"/>
    </xf>
    <xf numFmtId="0" fontId="14" fillId="0" borderId="0" xfId="0" applyFont="1" applyAlignment="1">
      <alignment horizontal="left" vertical="center"/>
    </xf>
    <xf numFmtId="10" fontId="16" fillId="0" borderId="0" xfId="7" applyNumberFormat="1" applyFont="1" applyBorder="1" applyAlignment="1">
      <alignment wrapText="1"/>
    </xf>
    <xf numFmtId="9" fontId="0" fillId="0" borderId="0" xfId="7" applyFont="1" applyBorder="1" applyAlignment="1">
      <alignment wrapText="1"/>
    </xf>
    <xf numFmtId="165" fontId="0" fillId="0" borderId="0" xfId="5" applyNumberFormat="1" applyFont="1" applyFill="1"/>
    <xf numFmtId="165" fontId="0" fillId="0" borderId="0" xfId="0" applyNumberFormat="1" applyFill="1"/>
    <xf numFmtId="0" fontId="17" fillId="0" borderId="0" xfId="0" applyFont="1" applyFill="1"/>
    <xf numFmtId="167" fontId="0" fillId="0" borderId="0" xfId="7" applyNumberFormat="1" applyFont="1" applyFill="1"/>
    <xf numFmtId="170" fontId="0" fillId="0" borderId="0" xfId="0" applyNumberFormat="1"/>
    <xf numFmtId="171" fontId="0" fillId="0" borderId="0" xfId="5" applyNumberFormat="1" applyFont="1" applyFill="1" applyAlignment="1">
      <alignment wrapText="1"/>
    </xf>
    <xf numFmtId="0" fontId="2" fillId="3" borderId="4" xfId="2" applyBorder="1" applyAlignment="1">
      <alignment horizontal="center"/>
    </xf>
    <xf numFmtId="0" fontId="2" fillId="3" borderId="5" xfId="2" applyBorder="1" applyAlignment="1">
      <alignment horizontal="center"/>
    </xf>
    <xf numFmtId="0" fontId="0" fillId="6" borderId="8" xfId="0" applyNumberFormat="1" applyFill="1" applyBorder="1"/>
    <xf numFmtId="0" fontId="10" fillId="0" borderId="0" xfId="0" applyFont="1" applyBorder="1" applyAlignment="1"/>
    <xf numFmtId="9" fontId="3" fillId="4" borderId="3" xfId="3" applyNumberFormat="1" applyBorder="1"/>
    <xf numFmtId="172" fontId="0" fillId="6" borderId="0" xfId="0" applyNumberFormat="1" applyFill="1" applyBorder="1"/>
    <xf numFmtId="172" fontId="0" fillId="6" borderId="5" xfId="0" applyNumberFormat="1" applyFill="1" applyBorder="1"/>
    <xf numFmtId="172" fontId="0" fillId="6" borderId="7" xfId="0" applyNumberFormat="1" applyFill="1" applyBorder="1"/>
    <xf numFmtId="172" fontId="0" fillId="6" borderId="8" xfId="0" applyNumberFormat="1" applyFill="1" applyBorder="1"/>
    <xf numFmtId="0" fontId="0" fillId="5" borderId="2" xfId="0" applyFill="1" applyBorder="1"/>
    <xf numFmtId="0" fontId="0" fillId="5" borderId="0" xfId="0" applyFill="1" applyBorder="1"/>
    <xf numFmtId="0" fontId="0" fillId="5" borderId="7" xfId="0" applyFill="1" applyBorder="1"/>
    <xf numFmtId="10" fontId="0" fillId="6" borderId="5" xfId="0" applyNumberFormat="1" applyFill="1" applyBorder="1"/>
    <xf numFmtId="10" fontId="0" fillId="6" borderId="8" xfId="0" applyNumberFormat="1" applyFill="1" applyBorder="1"/>
    <xf numFmtId="0" fontId="0" fillId="0" borderId="0" xfId="0" applyFill="1" applyBorder="1"/>
    <xf numFmtId="10" fontId="12" fillId="0" borderId="0" xfId="7" applyNumberFormat="1" applyFont="1" applyFill="1" applyBorder="1"/>
    <xf numFmtId="0" fontId="9" fillId="0" borderId="18" xfId="0" applyFont="1" applyBorder="1" applyAlignment="1">
      <alignment horizontal="center" vertical="center"/>
    </xf>
    <xf numFmtId="0" fontId="9" fillId="0" borderId="18" xfId="0" applyFont="1" applyBorder="1" applyAlignment="1">
      <alignment horizontal="center" vertical="center" wrapText="1"/>
    </xf>
    <xf numFmtId="168" fontId="9" fillId="0" borderId="18" xfId="0" applyNumberFormat="1" applyFont="1" applyBorder="1" applyAlignment="1">
      <alignment horizontal="center" vertical="center" wrapText="1"/>
    </xf>
    <xf numFmtId="0" fontId="9" fillId="10" borderId="0" xfId="0" applyFont="1" applyFill="1" applyAlignment="1">
      <alignment horizontal="center" vertical="center" wrapText="1"/>
    </xf>
    <xf numFmtId="0" fontId="5" fillId="0" borderId="0" xfId="0" applyFon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1" xfId="0" applyBorder="1" applyAlignment="1">
      <alignment horizontal="center" wrapText="1"/>
    </xf>
    <xf numFmtId="0" fontId="0" fillId="0" borderId="10" xfId="0"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7" xfId="0" applyBorder="1" applyAlignment="1">
      <alignment horizontal="center" wrapText="1"/>
    </xf>
    <xf numFmtId="0" fontId="4" fillId="0" borderId="0" xfId="0" applyFont="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10" fontId="7" fillId="0" borderId="0" xfId="0" applyNumberFormat="1" applyFont="1" applyBorder="1" applyAlignment="1">
      <alignment horizontal="center"/>
    </xf>
    <xf numFmtId="10" fontId="7" fillId="0" borderId="5" xfId="0" applyNumberFormat="1" applyFont="1" applyBorder="1" applyAlignment="1">
      <alignment horizontal="center"/>
    </xf>
    <xf numFmtId="10" fontId="7" fillId="0" borderId="7" xfId="0" applyNumberFormat="1" applyFont="1" applyBorder="1" applyAlignment="1">
      <alignment horizontal="center"/>
    </xf>
    <xf numFmtId="10" fontId="7" fillId="0" borderId="8" xfId="0" applyNumberFormat="1" applyFont="1" applyBorder="1" applyAlignment="1">
      <alignment horizontal="center"/>
    </xf>
    <xf numFmtId="0" fontId="0" fillId="0" borderId="0" xfId="0" applyBorder="1" applyAlignment="1">
      <alignment horizontal="center" wrapText="1"/>
    </xf>
    <xf numFmtId="0" fontId="0" fillId="0" borderId="5" xfId="0" applyBorder="1" applyAlignment="1">
      <alignment horizontal="center" wrapText="1"/>
    </xf>
    <xf numFmtId="0" fontId="9" fillId="11" borderId="19" xfId="0" applyFont="1" applyFill="1" applyBorder="1" applyAlignment="1">
      <alignment horizontal="center"/>
    </xf>
    <xf numFmtId="0" fontId="9" fillId="11" borderId="20" xfId="0" applyFont="1" applyFill="1" applyBorder="1" applyAlignment="1">
      <alignment horizontal="center"/>
    </xf>
    <xf numFmtId="0" fontId="9" fillId="11" borderId="21" xfId="0" applyFont="1" applyFill="1" applyBorder="1" applyAlignment="1">
      <alignment horizontal="center"/>
    </xf>
    <xf numFmtId="0" fontId="10" fillId="0" borderId="0" xfId="0" applyFont="1" applyAlignment="1">
      <alignment horizontal="center"/>
    </xf>
    <xf numFmtId="0" fontId="1" fillId="2" borderId="7" xfId="1" applyBorder="1" applyAlignment="1">
      <alignment horizontal="center" wrapText="1"/>
    </xf>
    <xf numFmtId="0" fontId="1" fillId="2" borderId="8" xfId="1" applyBorder="1" applyAlignment="1">
      <alignment horizontal="center" wrapText="1"/>
    </xf>
    <xf numFmtId="0" fontId="1" fillId="2" borderId="0" xfId="1" applyBorder="1" applyAlignment="1">
      <alignment horizontal="center"/>
    </xf>
    <xf numFmtId="0" fontId="1" fillId="2" borderId="5" xfId="1" applyBorder="1" applyAlignment="1">
      <alignment horizontal="center"/>
    </xf>
    <xf numFmtId="0" fontId="2" fillId="3" borderId="1" xfId="2" applyBorder="1" applyAlignment="1">
      <alignment horizontal="center"/>
    </xf>
    <xf numFmtId="0" fontId="2" fillId="3" borderId="2" xfId="2" applyBorder="1" applyAlignment="1">
      <alignment horizontal="center"/>
    </xf>
    <xf numFmtId="0" fontId="2" fillId="3" borderId="3" xfId="2" applyBorder="1" applyAlignment="1">
      <alignment horizontal="center"/>
    </xf>
    <xf numFmtId="0" fontId="6" fillId="3" borderId="1" xfId="2" applyFont="1" applyBorder="1" applyAlignment="1">
      <alignment horizontal="center"/>
    </xf>
    <xf numFmtId="0" fontId="6" fillId="3" borderId="2" xfId="2" applyFont="1" applyBorder="1" applyAlignment="1">
      <alignment horizontal="center"/>
    </xf>
    <xf numFmtId="0" fontId="6" fillId="3" borderId="4" xfId="2" applyFont="1" applyBorder="1" applyAlignment="1">
      <alignment horizontal="center"/>
    </xf>
    <xf numFmtId="0" fontId="6" fillId="3" borderId="0" xfId="2" applyFont="1" applyBorder="1" applyAlignment="1">
      <alignment horizontal="center"/>
    </xf>
    <xf numFmtId="0" fontId="6" fillId="3" borderId="6" xfId="2" applyFont="1" applyBorder="1" applyAlignment="1">
      <alignment horizontal="center"/>
    </xf>
    <xf numFmtId="0" fontId="6" fillId="3" borderId="7" xfId="2" applyFont="1" applyBorder="1" applyAlignment="1">
      <alignment horizontal="center"/>
    </xf>
    <xf numFmtId="0" fontId="6" fillId="3" borderId="3" xfId="2" applyFont="1" applyBorder="1" applyAlignment="1">
      <alignment horizontal="center"/>
    </xf>
    <xf numFmtId="0" fontId="6" fillId="3" borderId="5" xfId="2" applyFont="1" applyBorder="1" applyAlignment="1">
      <alignment horizontal="center"/>
    </xf>
    <xf numFmtId="0" fontId="6" fillId="3" borderId="8" xfId="2" applyFont="1" applyBorder="1" applyAlignment="1">
      <alignment horizontal="center"/>
    </xf>
    <xf numFmtId="0" fontId="10" fillId="0" borderId="0" xfId="0" applyFont="1" applyAlignment="1">
      <alignment horizontal="center" vertical="center"/>
    </xf>
    <xf numFmtId="0" fontId="6" fillId="3" borderId="1" xfId="2" applyFont="1" applyBorder="1" applyAlignment="1">
      <alignment horizontal="center" wrapText="1"/>
    </xf>
    <xf numFmtId="0" fontId="6" fillId="3" borderId="2" xfId="2" applyFont="1" applyBorder="1" applyAlignment="1">
      <alignment horizontal="center" wrapText="1"/>
    </xf>
    <xf numFmtId="0" fontId="6" fillId="3" borderId="3" xfId="2" applyFont="1" applyBorder="1" applyAlignment="1">
      <alignment horizontal="center" wrapText="1"/>
    </xf>
    <xf numFmtId="0" fontId="6" fillId="3" borderId="4" xfId="2" applyFont="1" applyBorder="1" applyAlignment="1">
      <alignment horizontal="center" wrapText="1"/>
    </xf>
    <xf numFmtId="0" fontId="6" fillId="3" borderId="0" xfId="2" applyFont="1" applyBorder="1" applyAlignment="1">
      <alignment horizontal="center" wrapText="1"/>
    </xf>
    <xf numFmtId="0" fontId="6" fillId="3" borderId="5" xfId="2" applyFont="1" applyBorder="1" applyAlignment="1">
      <alignment horizontal="center" wrapText="1"/>
    </xf>
    <xf numFmtId="0" fontId="6" fillId="3" borderId="6" xfId="2" applyFont="1" applyBorder="1" applyAlignment="1">
      <alignment horizontal="center" wrapText="1"/>
    </xf>
    <xf numFmtId="0" fontId="6" fillId="3" borderId="7" xfId="2" applyFont="1" applyBorder="1" applyAlignment="1">
      <alignment horizontal="center" wrapText="1"/>
    </xf>
    <xf numFmtId="0" fontId="6" fillId="3" borderId="8" xfId="2" applyFont="1" applyBorder="1" applyAlignment="1">
      <alignment horizontal="center" wrapText="1"/>
    </xf>
    <xf numFmtId="0" fontId="10" fillId="0" borderId="5" xfId="0" applyFont="1" applyBorder="1" applyAlignment="1">
      <alignment horizontal="center" vertic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2" fillId="3" borderId="0" xfId="2" applyAlignment="1">
      <alignment horizontal="center"/>
    </xf>
    <xf numFmtId="0" fontId="0" fillId="0" borderId="0" xfId="0" applyAlignment="1">
      <alignment horizontal="center" wrapText="1"/>
    </xf>
    <xf numFmtId="0" fontId="10" fillId="0" borderId="4"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0" fontId="19" fillId="0" borderId="9" xfId="0" applyFont="1" applyBorder="1" applyAlignment="1">
      <alignment horizontal="center"/>
    </xf>
    <xf numFmtId="0" fontId="19" fillId="0" borderId="11" xfId="0" applyFont="1" applyBorder="1" applyAlignment="1">
      <alignment horizontal="center"/>
    </xf>
    <xf numFmtId="0" fontId="19" fillId="0" borderId="10" xfId="0" applyFont="1" applyBorder="1" applyAlignment="1">
      <alignment horizontal="center"/>
    </xf>
    <xf numFmtId="0" fontId="2" fillId="3" borderId="4" xfId="2" applyBorder="1" applyAlignment="1">
      <alignment horizontal="center"/>
    </xf>
    <xf numFmtId="0" fontId="2" fillId="3" borderId="0" xfId="2" applyBorder="1" applyAlignment="1">
      <alignment horizontal="center"/>
    </xf>
    <xf numFmtId="0" fontId="2" fillId="3" borderId="6" xfId="2" applyBorder="1" applyAlignment="1">
      <alignment horizontal="center"/>
    </xf>
    <xf numFmtId="0" fontId="2" fillId="3" borderId="7" xfId="2" applyBorder="1" applyAlignment="1">
      <alignment horizontal="center"/>
    </xf>
    <xf numFmtId="0" fontId="2" fillId="3" borderId="5" xfId="2" applyBorder="1" applyAlignment="1">
      <alignment horizontal="center"/>
    </xf>
    <xf numFmtId="164" fontId="2" fillId="3" borderId="4" xfId="2" applyNumberFormat="1" applyBorder="1" applyAlignment="1">
      <alignment horizontal="center"/>
    </xf>
    <xf numFmtId="164" fontId="2" fillId="3" borderId="5" xfId="2" applyNumberFormat="1" applyBorder="1" applyAlignment="1">
      <alignment horizontal="center"/>
    </xf>
    <xf numFmtId="164" fontId="2" fillId="3" borderId="6" xfId="2" applyNumberFormat="1" applyBorder="1" applyAlignment="1">
      <alignment horizontal="center"/>
    </xf>
    <xf numFmtId="164" fontId="2" fillId="3" borderId="8" xfId="2" applyNumberFormat="1" applyBorder="1" applyAlignment="1">
      <alignment horizontal="center"/>
    </xf>
    <xf numFmtId="164" fontId="2" fillId="0" borderId="0" xfId="2" applyNumberFormat="1" applyFill="1" applyBorder="1" applyAlignment="1">
      <alignment horizontal="center"/>
    </xf>
    <xf numFmtId="0" fontId="2" fillId="3" borderId="1" xfId="2" applyBorder="1" applyAlignment="1">
      <alignment horizontal="center" wrapText="1"/>
    </xf>
    <xf numFmtId="0" fontId="2" fillId="3" borderId="3" xfId="2" applyBorder="1" applyAlignment="1">
      <alignment horizontal="center" wrapText="1"/>
    </xf>
    <xf numFmtId="0" fontId="11" fillId="0" borderId="0" xfId="0" applyFont="1" applyBorder="1" applyAlignment="1">
      <alignment horizontal="center"/>
    </xf>
    <xf numFmtId="0" fontId="11" fillId="0" borderId="7" xfId="0" applyFont="1" applyBorder="1" applyAlignment="1">
      <alignment horizontal="center"/>
    </xf>
    <xf numFmtId="0" fontId="6" fillId="3" borderId="3" xfId="2" applyFont="1" applyBorder="1" applyAlignment="1">
      <alignment wrapText="1"/>
    </xf>
    <xf numFmtId="0" fontId="6" fillId="3" borderId="9" xfId="2" applyFont="1" applyBorder="1" applyAlignment="1">
      <alignment horizontal="center" wrapText="1"/>
    </xf>
    <xf numFmtId="0" fontId="6" fillId="3" borderId="11" xfId="2" applyFont="1" applyBorder="1" applyAlignment="1">
      <alignment horizontal="center" wrapText="1"/>
    </xf>
    <xf numFmtId="0" fontId="10" fillId="0" borderId="2" xfId="0" applyFont="1" applyBorder="1" applyAlignment="1"/>
    <xf numFmtId="0" fontId="10" fillId="0" borderId="3" xfId="0" applyFont="1" applyBorder="1" applyAlignment="1"/>
    <xf numFmtId="0" fontId="10" fillId="0" borderId="7" xfId="0" applyFont="1" applyBorder="1" applyAlignment="1"/>
    <xf numFmtId="0" fontId="10" fillId="0" borderId="8" xfId="0" applyFont="1" applyBorder="1" applyAlignment="1"/>
    <xf numFmtId="0" fontId="10" fillId="0" borderId="5" xfId="0" applyFont="1" applyBorder="1" applyAlignment="1"/>
  </cellXfs>
  <cellStyles count="9">
    <cellStyle name="Bad" xfId="2" builtinId="27"/>
    <cellStyle name="Comma" xfId="5" builtinId="3"/>
    <cellStyle name="Currency" xfId="6" builtinId="4"/>
    <cellStyle name="Good" xfId="1" builtinId="26"/>
    <cellStyle name="Hyperlink" xfId="8" builtinId="8"/>
    <cellStyle name="Neutral" xfId="3" builtinId="28"/>
    <cellStyle name="Normal" xfId="0" builtinId="0"/>
    <cellStyle name="Normal 2" xfId="4" xr:uid="{00000000-0005-0000-0000-00000200000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0</xdr:colOff>
      <xdr:row>11</xdr:row>
      <xdr:rowOff>0</xdr:rowOff>
    </xdr:from>
    <xdr:to>
      <xdr:col>20</xdr:col>
      <xdr:colOff>184150</xdr:colOff>
      <xdr:row>12</xdr:row>
      <xdr:rowOff>6350</xdr:rowOff>
    </xdr:to>
    <xdr:pic>
      <xdr:nvPicPr>
        <xdr:cNvPr id="3" name="Picture 2">
          <a:extLst>
            <a:ext uri="{FF2B5EF4-FFF2-40B4-BE49-F238E27FC236}">
              <a16:creationId xmlns:a16="http://schemas.microsoft.com/office/drawing/2014/main" id="{49DAFE93-26EE-4944-856C-225D87466E5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28050" y="3702050"/>
          <a:ext cx="4451350" cy="19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ly%20Resource%20Planning/Avoided%20Cost/2022%20Avoided%20Cost/Distribution%20Cost%20Model%20-%20Washingt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vin.mcgreal\AppData\Local\Microsoft\Windows\INetCache\Content.Outlook\XVFBGIBX\peak%20day%20dth%20by%20ye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G Model"/>
      <sheetName val="Example"/>
      <sheetName val="IGC Model"/>
      <sheetName val="Peak Day"/>
      <sheetName val="Cap Ex"/>
      <sheetName val="GIS"/>
      <sheetName val="Peak Coincidence"/>
      <sheetName val="Sensitivity"/>
    </sheetNames>
    <sheetDataSet>
      <sheetData sheetId="0"/>
      <sheetData sheetId="1"/>
      <sheetData sheetId="2">
        <row r="11">
          <cell r="AA11">
            <v>8.8503679271212304E-2</v>
          </cell>
          <cell r="AB11">
            <v>0.30245257497000411</v>
          </cell>
          <cell r="AC11">
            <v>0.19944656639468</v>
          </cell>
          <cell r="AF11">
            <v>0.17563610314486347</v>
          </cell>
        </row>
        <row r="12">
          <cell r="AA12">
            <v>0</v>
          </cell>
          <cell r="AB12">
            <v>0.28539442496483985</v>
          </cell>
          <cell r="AC12">
            <v>0.19685067788422239</v>
          </cell>
          <cell r="AF12">
            <v>0.2836700704917115</v>
          </cell>
        </row>
        <row r="13">
          <cell r="AA13">
            <v>1.252957367058291</v>
          </cell>
          <cell r="AB13">
            <v>0.27821995166335284</v>
          </cell>
          <cell r="AC13">
            <v>0.15062232333548017</v>
          </cell>
          <cell r="AF13">
            <v>0.17027844658057473</v>
          </cell>
        </row>
        <row r="14">
          <cell r="AA14">
            <v>0.51078472187145874</v>
          </cell>
          <cell r="AB14">
            <v>0.12404847567976589</v>
          </cell>
          <cell r="AC14">
            <v>7.0093225383378296E-2</v>
          </cell>
          <cell r="AF14">
            <v>7.5634748396724114E-2</v>
          </cell>
        </row>
        <row r="15">
          <cell r="AA15">
            <v>1.1888748306735355</v>
          </cell>
          <cell r="AB15">
            <v>0.21908732557802704</v>
          </cell>
          <cell r="AC15">
            <v>0.10949871102859236</v>
          </cell>
          <cell r="AF15">
            <v>0.13451133520744049</v>
          </cell>
        </row>
        <row r="16">
          <cell r="AA16">
            <v>1.0834278230093974</v>
          </cell>
          <cell r="AB16">
            <v>0.16645789587157447</v>
          </cell>
          <cell r="AC16">
            <v>8.6222108968871655E-2</v>
          </cell>
          <cell r="AF16">
            <v>0.10843845169412247</v>
          </cell>
        </row>
        <row r="17">
          <cell r="AA17">
            <v>1.1703388695166166</v>
          </cell>
          <cell r="AB17">
            <v>0.24785563906362712</v>
          </cell>
          <cell r="AC17">
            <v>0.11430759239999186</v>
          </cell>
          <cell r="AF17">
            <v>0.14075841362770469</v>
          </cell>
        </row>
        <row r="18">
          <cell r="AA18">
            <v>0</v>
          </cell>
          <cell r="AB18">
            <v>1.8059844374089351</v>
          </cell>
          <cell r="AC18">
            <v>0.67790055360426393</v>
          </cell>
          <cell r="AF18">
            <v>1.1548108217106812</v>
          </cell>
        </row>
        <row r="19">
          <cell r="AA19">
            <v>1.0775442645596032</v>
          </cell>
          <cell r="AB19">
            <v>0.19517724130130604</v>
          </cell>
          <cell r="AC19">
            <v>9.4973672948915455E-2</v>
          </cell>
          <cell r="AF19">
            <v>0.11847831018798208</v>
          </cell>
        </row>
        <row r="20">
          <cell r="AA20">
            <v>0.45504778740050916</v>
          </cell>
          <cell r="AB20">
            <v>9.6491184549711728E-2</v>
          </cell>
          <cell r="AC20">
            <v>5.156441676266791E-2</v>
          </cell>
          <cell r="AF20">
            <v>5.9381496761643691E-2</v>
          </cell>
        </row>
        <row r="21">
          <cell r="AA21">
            <v>1.0319229151007605</v>
          </cell>
          <cell r="AB21">
            <v>0.25365939510944496</v>
          </cell>
          <cell r="AC21">
            <v>0.11301374476168066</v>
          </cell>
          <cell r="AF21">
            <v>0.1360760492346445</v>
          </cell>
        </row>
        <row r="22">
          <cell r="AA22">
            <v>1.120201008678763</v>
          </cell>
          <cell r="AB22">
            <v>0.194468352786312</v>
          </cell>
          <cell r="AC22">
            <v>8.2578169510525115E-2</v>
          </cell>
          <cell r="AF22">
            <v>0.10986748224831532</v>
          </cell>
        </row>
        <row r="23">
          <cell r="AA23">
            <v>0.97256675055224218</v>
          </cell>
          <cell r="AB23">
            <v>0.17473055885146577</v>
          </cell>
          <cell r="AC23">
            <v>8.4407837713349712E-2</v>
          </cell>
          <cell r="AF23">
            <v>0.10581339862140807</v>
          </cell>
        </row>
        <row r="24">
          <cell r="AA24">
            <v>0</v>
          </cell>
          <cell r="AB24">
            <v>0.44516757678792562</v>
          </cell>
          <cell r="AC24">
            <v>0.16284834592362338</v>
          </cell>
          <cell r="AF24">
            <v>0.27895727383852742</v>
          </cell>
        </row>
        <row r="25">
          <cell r="AA25">
            <v>0.39093769130045253</v>
          </cell>
          <cell r="AB25">
            <v>0.10024046698483055</v>
          </cell>
          <cell r="AC25">
            <v>5.3744541063237193E-2</v>
          </cell>
          <cell r="AF25">
            <v>5.8583041648182711E-2</v>
          </cell>
        </row>
        <row r="26">
          <cell r="AA26">
            <v>1.0117415622034858</v>
          </cell>
          <cell r="AB26">
            <v>0.17138992268591299</v>
          </cell>
          <cell r="AC26">
            <v>8.3166349779657381E-2</v>
          </cell>
          <cell r="AF26">
            <v>0.10537479968772528</v>
          </cell>
        </row>
        <row r="27">
          <cell r="AA27">
            <v>0.93843507570419571</v>
          </cell>
          <cell r="AB27">
            <v>0.1547392728805202</v>
          </cell>
          <cell r="AC27">
            <v>7.2092056890211337E-2</v>
          </cell>
          <cell r="AF27">
            <v>9.3398848516771424E-2</v>
          </cell>
        </row>
        <row r="28">
          <cell r="AA28">
            <v>1.027840374224966</v>
          </cell>
          <cell r="AB28">
            <v>0.13077368516571941</v>
          </cell>
          <cell r="AC28">
            <v>6.3926968753161464E-2</v>
          </cell>
          <cell r="AF28">
            <v>8.5196910975980353E-2</v>
          </cell>
        </row>
        <row r="29">
          <cell r="AA29">
            <v>0</v>
          </cell>
          <cell r="AB29">
            <v>0</v>
          </cell>
          <cell r="AC29">
            <v>1.8420884672680655</v>
          </cell>
          <cell r="AF29">
            <v>4.0100673052112263</v>
          </cell>
        </row>
        <row r="30">
          <cell r="AA30">
            <v>1.0425654402470754</v>
          </cell>
          <cell r="AB30">
            <v>0.15482663411246964</v>
          </cell>
          <cell r="AC30">
            <v>7.069694824204692E-2</v>
          </cell>
          <cell r="AF30">
            <v>9.4181212950765467E-2</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E3">
            <v>0.5047203950612289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ia.gov/tools/faqs/faq.php?id=45&amp;t=8"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3B45E-6288-47A1-8DB8-9DD2EE0C0904}">
  <sheetPr>
    <tabColor rgb="FFFF0000"/>
  </sheetPr>
  <dimension ref="A1:W18"/>
  <sheetViews>
    <sheetView view="pageBreakPreview" zoomScale="145" zoomScaleNormal="120" zoomScaleSheetLayoutView="145" workbookViewId="0">
      <selection sqref="A1:K1"/>
    </sheetView>
  </sheetViews>
  <sheetFormatPr defaultRowHeight="15" x14ac:dyDescent="0.25"/>
  <cols>
    <col min="11" max="11" width="13.140625" customWidth="1"/>
    <col min="19" max="19" width="10.5703125" customWidth="1"/>
  </cols>
  <sheetData>
    <row r="1" spans="1:23" ht="32.25" thickBot="1" x14ac:dyDescent="0.55000000000000004">
      <c r="A1" s="160" t="s">
        <v>0</v>
      </c>
      <c r="B1" s="160"/>
      <c r="C1" s="160"/>
      <c r="D1" s="160"/>
      <c r="E1" s="160"/>
      <c r="F1" s="160"/>
      <c r="G1" s="160"/>
      <c r="H1" s="160"/>
      <c r="I1" s="160"/>
      <c r="J1" s="160"/>
      <c r="K1" s="160"/>
      <c r="L1" s="160" t="s">
        <v>0</v>
      </c>
      <c r="M1" s="160"/>
      <c r="N1" s="160"/>
      <c r="O1" s="160"/>
      <c r="P1" s="160"/>
      <c r="Q1" s="160"/>
      <c r="R1" s="160"/>
      <c r="S1" s="160"/>
      <c r="T1" s="160"/>
      <c r="U1" s="160"/>
      <c r="V1" s="160"/>
      <c r="W1" s="160"/>
    </row>
    <row r="2" spans="1:23" ht="24" thickBot="1" x14ac:dyDescent="0.4">
      <c r="A2" s="170" t="s">
        <v>1</v>
      </c>
      <c r="B2" s="170"/>
      <c r="C2" s="170"/>
      <c r="D2" s="170"/>
      <c r="E2" s="170"/>
      <c r="F2" s="170"/>
      <c r="G2" s="170"/>
      <c r="H2" s="170"/>
      <c r="I2" s="170"/>
      <c r="J2" s="170"/>
      <c r="K2" s="170"/>
      <c r="O2" s="56" t="s">
        <v>18</v>
      </c>
      <c r="P2" s="57"/>
      <c r="Q2" s="57"/>
      <c r="R2" s="57"/>
      <c r="S2" s="58"/>
    </row>
    <row r="3" spans="1:23" ht="15.75" thickBot="1" x14ac:dyDescent="0.3">
      <c r="A3" s="166" t="s">
        <v>3</v>
      </c>
      <c r="B3" s="167"/>
      <c r="C3" s="167"/>
      <c r="D3" s="168"/>
      <c r="E3" s="167" t="s">
        <v>4</v>
      </c>
      <c r="F3" s="167"/>
      <c r="G3" s="167"/>
      <c r="H3" s="167"/>
      <c r="I3" s="167"/>
      <c r="J3" s="167"/>
      <c r="K3" s="168"/>
      <c r="O3" s="6"/>
      <c r="P3" s="2" t="s">
        <v>19</v>
      </c>
      <c r="Q3" s="2"/>
      <c r="R3" s="2"/>
      <c r="S3" s="33"/>
    </row>
    <row r="4" spans="1:23" ht="30.6" customHeight="1" thickBot="1" x14ac:dyDescent="0.3">
      <c r="A4" s="166" t="s">
        <v>64</v>
      </c>
      <c r="B4" s="167"/>
      <c r="C4" s="167"/>
      <c r="D4" s="168"/>
      <c r="E4" s="164" t="s">
        <v>68</v>
      </c>
      <c r="F4" s="164"/>
      <c r="G4" s="164"/>
      <c r="H4" s="164"/>
      <c r="I4" s="164"/>
      <c r="J4" s="164"/>
      <c r="K4" s="165"/>
      <c r="O4" s="6"/>
      <c r="P4" s="2"/>
      <c r="Q4" s="2"/>
      <c r="R4" s="2"/>
      <c r="S4" s="33"/>
    </row>
    <row r="5" spans="1:23" ht="15.75" thickBot="1" x14ac:dyDescent="0.3">
      <c r="A5" s="166" t="s">
        <v>2</v>
      </c>
      <c r="B5" s="167"/>
      <c r="C5" s="167"/>
      <c r="D5" s="168"/>
      <c r="E5" s="29" t="s">
        <v>5</v>
      </c>
      <c r="F5" s="29"/>
      <c r="G5" s="29"/>
      <c r="H5" s="29"/>
      <c r="I5" s="29"/>
      <c r="J5" s="29"/>
      <c r="K5" s="4"/>
      <c r="O5" s="14"/>
      <c r="P5" s="2" t="s">
        <v>20</v>
      </c>
      <c r="Q5" s="2"/>
      <c r="R5" s="2"/>
      <c r="S5" s="33"/>
    </row>
    <row r="6" spans="1:23" ht="30.95" customHeight="1" thickBot="1" x14ac:dyDescent="0.3">
      <c r="A6" s="166" t="s">
        <v>9</v>
      </c>
      <c r="B6" s="167"/>
      <c r="C6" s="167"/>
      <c r="D6" s="168"/>
      <c r="E6" s="164" t="s">
        <v>10</v>
      </c>
      <c r="F6" s="164"/>
      <c r="G6" s="164"/>
      <c r="H6" s="164"/>
      <c r="I6" s="164"/>
      <c r="J6" s="164"/>
      <c r="K6" s="165"/>
      <c r="O6" s="12"/>
      <c r="P6" s="2" t="s">
        <v>21</v>
      </c>
      <c r="Q6" s="2"/>
      <c r="R6" s="2"/>
      <c r="S6" s="33"/>
    </row>
    <row r="7" spans="1:23" s="40" customFormat="1" ht="30.95" customHeight="1" thickBot="1" x14ac:dyDescent="0.3">
      <c r="A7" s="166" t="s">
        <v>140</v>
      </c>
      <c r="B7" s="167"/>
      <c r="C7" s="167"/>
      <c r="D7" s="168"/>
      <c r="E7" s="164" t="s">
        <v>141</v>
      </c>
      <c r="F7" s="164"/>
      <c r="G7" s="164"/>
      <c r="H7" s="164"/>
      <c r="I7" s="164"/>
      <c r="J7" s="164"/>
      <c r="K7" s="165"/>
      <c r="O7" s="12"/>
      <c r="P7" s="2"/>
      <c r="Q7" s="2"/>
      <c r="R7" s="2"/>
      <c r="S7" s="33"/>
    </row>
    <row r="8" spans="1:23" ht="15.75" thickBot="1" x14ac:dyDescent="0.3">
      <c r="A8" s="166" t="s">
        <v>23</v>
      </c>
      <c r="B8" s="167"/>
      <c r="C8" s="167"/>
      <c r="D8" s="168"/>
      <c r="E8" s="4" t="s">
        <v>24</v>
      </c>
      <c r="F8" s="29"/>
      <c r="G8" s="29"/>
      <c r="H8" s="29"/>
      <c r="I8" s="29"/>
      <c r="J8" s="29"/>
      <c r="K8" s="4"/>
      <c r="O8" s="59"/>
      <c r="P8" s="34" t="s">
        <v>22</v>
      </c>
      <c r="Q8" s="34"/>
      <c r="R8" s="34"/>
      <c r="S8" s="35"/>
    </row>
    <row r="9" spans="1:23" ht="33" customHeight="1" thickBot="1" x14ac:dyDescent="0.3">
      <c r="A9" s="166" t="s">
        <v>142</v>
      </c>
      <c r="B9" s="167"/>
      <c r="C9" s="167"/>
      <c r="D9" s="168"/>
      <c r="E9" s="169" t="s">
        <v>25</v>
      </c>
      <c r="F9" s="164"/>
      <c r="G9" s="164"/>
      <c r="H9" s="164"/>
      <c r="I9" s="164"/>
      <c r="J9" s="164"/>
      <c r="K9" s="165"/>
    </row>
    <row r="10" spans="1:23" ht="51" customHeight="1" thickBot="1" x14ac:dyDescent="0.3">
      <c r="A10" s="166" t="s">
        <v>43</v>
      </c>
      <c r="B10" s="167"/>
      <c r="C10" s="167"/>
      <c r="D10" s="168"/>
      <c r="E10" s="169" t="s">
        <v>44</v>
      </c>
      <c r="F10" s="164"/>
      <c r="G10" s="164"/>
      <c r="H10" s="164"/>
      <c r="I10" s="164"/>
      <c r="J10" s="164"/>
      <c r="K10" s="165"/>
    </row>
    <row r="11" spans="1:23" ht="15.75" thickBot="1" x14ac:dyDescent="0.3">
      <c r="A11" s="166" t="s">
        <v>51</v>
      </c>
      <c r="B11" s="167"/>
      <c r="C11" s="167"/>
      <c r="D11" s="168"/>
      <c r="E11" s="169" t="s">
        <v>52</v>
      </c>
      <c r="F11" s="164"/>
      <c r="G11" s="164"/>
      <c r="H11" s="164"/>
      <c r="I11" s="164"/>
      <c r="J11" s="164"/>
      <c r="K11" s="165"/>
      <c r="M11" s="161" t="s">
        <v>65</v>
      </c>
      <c r="N11" s="162"/>
      <c r="O11" s="162"/>
      <c r="P11" s="162"/>
      <c r="Q11" s="162"/>
      <c r="R11" s="162"/>
      <c r="S11" s="162"/>
      <c r="T11" s="162"/>
      <c r="U11" s="162"/>
      <c r="V11" s="163"/>
    </row>
    <row r="12" spans="1:23" ht="15.75" thickBot="1" x14ac:dyDescent="0.3">
      <c r="A12" s="166" t="s">
        <v>54</v>
      </c>
      <c r="B12" s="167"/>
      <c r="C12" s="167"/>
      <c r="D12" s="168"/>
      <c r="E12" s="169" t="s">
        <v>55</v>
      </c>
      <c r="F12" s="164"/>
      <c r="G12" s="164"/>
      <c r="H12" s="164"/>
      <c r="I12" s="164"/>
      <c r="J12" s="164"/>
      <c r="K12" s="165"/>
      <c r="M12" s="1"/>
      <c r="O12" s="2"/>
      <c r="P12" s="2"/>
      <c r="Q12" s="2"/>
      <c r="R12" s="2"/>
      <c r="S12" s="2"/>
      <c r="T12" s="2"/>
      <c r="U12" s="2"/>
      <c r="V12" s="33"/>
    </row>
    <row r="13" spans="1:23" ht="15.75" thickBot="1" x14ac:dyDescent="0.3">
      <c r="A13" s="166" t="s">
        <v>56</v>
      </c>
      <c r="B13" s="167"/>
      <c r="C13" s="167"/>
      <c r="D13" s="168"/>
      <c r="E13" s="169" t="s">
        <v>126</v>
      </c>
      <c r="F13" s="164"/>
      <c r="G13" s="164"/>
      <c r="H13" s="164"/>
      <c r="I13" s="164"/>
      <c r="J13" s="164"/>
      <c r="K13" s="165"/>
      <c r="M13" s="36"/>
      <c r="N13" s="34"/>
      <c r="O13" s="34"/>
      <c r="P13" s="34"/>
      <c r="Q13" s="34"/>
      <c r="R13" s="34"/>
      <c r="S13" s="34"/>
      <c r="T13" s="34"/>
      <c r="U13" s="34"/>
      <c r="V13" s="35"/>
    </row>
    <row r="14" spans="1:23" ht="15.75" thickBot="1" x14ac:dyDescent="0.3">
      <c r="A14" s="166" t="s">
        <v>57</v>
      </c>
      <c r="B14" s="167"/>
      <c r="C14" s="167"/>
      <c r="D14" s="168"/>
      <c r="E14" s="169" t="s">
        <v>61</v>
      </c>
      <c r="F14" s="164"/>
      <c r="G14" s="164"/>
      <c r="H14" s="164"/>
      <c r="I14" s="164"/>
      <c r="J14" s="164"/>
      <c r="K14" s="165"/>
    </row>
    <row r="15" spans="1:23" ht="15.75" thickBot="1" x14ac:dyDescent="0.3">
      <c r="A15" s="166" t="s">
        <v>62</v>
      </c>
      <c r="B15" s="167"/>
      <c r="C15" s="167"/>
      <c r="D15" s="168"/>
      <c r="E15" s="169" t="s">
        <v>63</v>
      </c>
      <c r="F15" s="164"/>
      <c r="G15" s="164"/>
      <c r="H15" s="164"/>
      <c r="I15" s="164"/>
      <c r="J15" s="164"/>
      <c r="K15" s="165"/>
    </row>
    <row r="16" spans="1:23" ht="44.45" customHeight="1" x14ac:dyDescent="0.25"/>
    <row r="17" ht="46.5" customHeight="1" x14ac:dyDescent="0.25"/>
    <row r="18" ht="47.45" customHeight="1" x14ac:dyDescent="0.25"/>
  </sheetData>
  <mergeCells count="28">
    <mergeCell ref="A5:D5"/>
    <mergeCell ref="A4:D4"/>
    <mergeCell ref="A15:D15"/>
    <mergeCell ref="E15:K15"/>
    <mergeCell ref="A10:D10"/>
    <mergeCell ref="E10:K10"/>
    <mergeCell ref="A11:D11"/>
    <mergeCell ref="E11:K11"/>
    <mergeCell ref="A12:D12"/>
    <mergeCell ref="E12:K12"/>
    <mergeCell ref="A14:D14"/>
    <mergeCell ref="E14:K14"/>
    <mergeCell ref="L1:W1"/>
    <mergeCell ref="M11:V11"/>
    <mergeCell ref="E4:K4"/>
    <mergeCell ref="A13:D13"/>
    <mergeCell ref="E13:K13"/>
    <mergeCell ref="A8:D8"/>
    <mergeCell ref="A9:D9"/>
    <mergeCell ref="E9:K9"/>
    <mergeCell ref="A6:D6"/>
    <mergeCell ref="E6:K6"/>
    <mergeCell ref="A7:D7"/>
    <mergeCell ref="E7:K7"/>
    <mergeCell ref="A1:K1"/>
    <mergeCell ref="A2:K2"/>
    <mergeCell ref="A3:D3"/>
    <mergeCell ref="E3:K3"/>
  </mergeCells>
  <pageMargins left="0.7" right="0.7" top="0.75" bottom="0.75" header="0.3" footer="0.3"/>
  <pageSetup scale="83" orientation="portrait" r:id="rId1"/>
  <colBreaks count="1" manualBreakCount="1">
    <brk id="1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D1251-00FC-4B0F-8B51-331CAF727B4E}">
  <sheetPr>
    <tabColor theme="7"/>
  </sheetPr>
  <dimension ref="B1:T77"/>
  <sheetViews>
    <sheetView view="pageBreakPreview" zoomScale="70" zoomScaleNormal="70" zoomScaleSheetLayoutView="70" workbookViewId="0">
      <selection activeCell="B2" sqref="B2"/>
    </sheetView>
  </sheetViews>
  <sheetFormatPr defaultRowHeight="15" x14ac:dyDescent="0.25"/>
  <cols>
    <col min="1" max="1" width="9.140625" style="40"/>
    <col min="2" max="2" width="26.28515625" style="40" bestFit="1" customWidth="1"/>
    <col min="3" max="3" width="21.28515625" style="40" bestFit="1" customWidth="1"/>
    <col min="4" max="4" width="28.42578125" style="91" bestFit="1" customWidth="1"/>
    <col min="5" max="5" width="42.28515625" style="40" bestFit="1" customWidth="1"/>
    <col min="6" max="6" width="13" style="40" bestFit="1" customWidth="1"/>
    <col min="7" max="7" width="22.7109375" style="40" bestFit="1" customWidth="1"/>
    <col min="8" max="8" width="13.85546875" style="40" bestFit="1" customWidth="1"/>
    <col min="9" max="9" width="9.140625" style="40"/>
    <col min="10" max="10" width="8.28515625" style="40" customWidth="1"/>
    <col min="11" max="11" width="9.140625" style="40"/>
    <col min="12" max="12" width="10.140625" style="40" bestFit="1" customWidth="1"/>
    <col min="13" max="13" width="10.42578125" style="40" bestFit="1" customWidth="1"/>
    <col min="14" max="14" width="56.85546875" style="40" bestFit="1" customWidth="1"/>
    <col min="15" max="15" width="10.5703125" style="40" bestFit="1" customWidth="1"/>
    <col min="16" max="16" width="12" style="40" bestFit="1" customWidth="1"/>
    <col min="17" max="17" width="16.140625" style="40" bestFit="1" customWidth="1"/>
    <col min="18" max="18" width="107.28515625" style="40" bestFit="1" customWidth="1"/>
    <col min="19" max="19" width="8.28515625" style="40" bestFit="1" customWidth="1"/>
    <col min="20" max="16384" width="9.140625" style="40"/>
  </cols>
  <sheetData>
    <row r="1" spans="2:20" ht="47.25" thickBot="1" x14ac:dyDescent="0.75">
      <c r="B1" s="223" t="s">
        <v>264</v>
      </c>
      <c r="C1" s="224"/>
      <c r="D1" s="224"/>
      <c r="E1" s="224"/>
      <c r="F1" s="224"/>
      <c r="G1" s="224"/>
      <c r="H1" s="225"/>
    </row>
    <row r="2" spans="2:20" ht="90" x14ac:dyDescent="0.25">
      <c r="B2" s="91" t="s">
        <v>223</v>
      </c>
      <c r="C2" s="90">
        <f>(C7*(C14+C15)+C8*C16)</f>
        <v>1.0060159999999999E-2</v>
      </c>
      <c r="D2" s="91">
        <v>8.5224800000000007E-3</v>
      </c>
      <c r="E2" s="91" t="s">
        <v>224</v>
      </c>
      <c r="F2" s="91" t="s">
        <v>225</v>
      </c>
      <c r="G2" s="91" t="s">
        <v>226</v>
      </c>
      <c r="H2" s="91" t="s">
        <v>227</v>
      </c>
      <c r="K2" s="100"/>
      <c r="L2" s="100"/>
      <c r="M2" s="101"/>
      <c r="N2" s="130"/>
      <c r="O2" s="101"/>
      <c r="P2" s="101"/>
      <c r="Q2" s="101"/>
      <c r="R2" s="101"/>
      <c r="S2" s="101"/>
      <c r="T2" s="101"/>
    </row>
    <row r="3" spans="2:20" ht="15.75" thickBot="1" x14ac:dyDescent="0.3">
      <c r="B3" s="91"/>
      <c r="C3" s="90"/>
      <c r="E3" s="134">
        <f>Q10*C2</f>
        <v>167.1594507741487</v>
      </c>
      <c r="F3" s="135">
        <f>E3*C9</f>
        <v>4680.464621676163</v>
      </c>
      <c r="G3" s="134">
        <f>0.0544*M18*M13/N13</f>
        <v>50405.374102385911</v>
      </c>
      <c r="H3" s="139">
        <f>(F3+G3)/1000000/$C$10</f>
        <v>5.5085838724062072E-3</v>
      </c>
      <c r="J3" s="73"/>
      <c r="K3" s="100"/>
      <c r="M3" s="102"/>
      <c r="N3" s="106"/>
      <c r="O3" s="102"/>
      <c r="P3" s="156" t="s">
        <v>239</v>
      </c>
      <c r="Q3" s="156" t="s">
        <v>240</v>
      </c>
      <c r="R3" s="102"/>
      <c r="S3" s="102"/>
      <c r="T3" s="101"/>
    </row>
    <row r="4" spans="2:20" ht="15.75" thickTop="1" x14ac:dyDescent="0.25">
      <c r="B4" s="91"/>
      <c r="C4" s="90"/>
      <c r="E4" s="91"/>
      <c r="G4" s="91"/>
      <c r="H4" s="125">
        <f>SUM(F3:G3)</f>
        <v>55085.838724062072</v>
      </c>
      <c r="J4" s="73"/>
      <c r="K4" s="100"/>
      <c r="M4" s="159" t="s">
        <v>247</v>
      </c>
      <c r="N4" s="106" t="s">
        <v>248</v>
      </c>
      <c r="O4" s="106"/>
      <c r="P4" s="106">
        <v>1</v>
      </c>
      <c r="Q4" s="108">
        <f>P4/N13</f>
        <v>0.92656937688209406</v>
      </c>
      <c r="R4" s="102"/>
      <c r="S4" s="102"/>
      <c r="T4" s="101"/>
    </row>
    <row r="5" spans="2:20" x14ac:dyDescent="0.25">
      <c r="E5" s="92"/>
      <c r="G5" s="93"/>
      <c r="H5" s="94"/>
      <c r="J5" s="73"/>
      <c r="K5" s="100"/>
      <c r="M5" s="106"/>
      <c r="N5" s="106"/>
      <c r="O5" s="106"/>
      <c r="P5" s="106"/>
      <c r="Q5" s="108"/>
      <c r="R5" s="102"/>
      <c r="S5" s="102"/>
      <c r="T5" s="101"/>
    </row>
    <row r="6" spans="2:20" ht="90.75" thickBot="1" x14ac:dyDescent="0.3">
      <c r="C6" s="91" t="s">
        <v>228</v>
      </c>
      <c r="E6" s="92"/>
      <c r="F6" s="93"/>
      <c r="G6" s="94"/>
      <c r="K6" s="100"/>
      <c r="M6" s="106"/>
      <c r="N6" s="106"/>
      <c r="O6" s="106"/>
      <c r="P6" s="157" t="s">
        <v>265</v>
      </c>
      <c r="Q6" s="158" t="s">
        <v>266</v>
      </c>
      <c r="R6" s="102"/>
      <c r="S6" s="102"/>
      <c r="T6" s="101"/>
    </row>
    <row r="7" spans="2:20" ht="75.75" thickTop="1" x14ac:dyDescent="0.25">
      <c r="B7" s="91" t="s">
        <v>229</v>
      </c>
      <c r="C7" s="155">
        <v>7.7000000000000002E-3</v>
      </c>
      <c r="D7" s="126"/>
      <c r="H7" s="127"/>
      <c r="K7" s="100"/>
      <c r="M7" s="159" t="s">
        <v>250</v>
      </c>
      <c r="N7" s="106" t="s">
        <v>251</v>
      </c>
      <c r="O7" s="102"/>
      <c r="P7" s="113">
        <v>93.4</v>
      </c>
      <c r="Q7" s="114">
        <f>(P7/100)*Q4</f>
        <v>0.86541579800787594</v>
      </c>
      <c r="R7" s="131"/>
      <c r="S7" s="102"/>
      <c r="T7" s="101"/>
    </row>
    <row r="8" spans="2:20" ht="60" x14ac:dyDescent="0.25">
      <c r="B8" s="91" t="s">
        <v>230</v>
      </c>
      <c r="C8" s="155">
        <v>1.43E-2</v>
      </c>
      <c r="D8" s="126"/>
      <c r="E8" s="128"/>
      <c r="K8" s="100"/>
      <c r="M8" s="102"/>
      <c r="N8" s="106"/>
      <c r="O8" s="102"/>
      <c r="P8" s="102"/>
      <c r="Q8" s="102"/>
      <c r="R8" s="102"/>
      <c r="S8" s="102"/>
      <c r="T8" s="101"/>
    </row>
    <row r="9" spans="2:20" ht="15.75" thickBot="1" x14ac:dyDescent="0.3">
      <c r="B9" s="91" t="s">
        <v>231</v>
      </c>
      <c r="C9" s="73">
        <v>28</v>
      </c>
      <c r="D9" s="91" t="s">
        <v>232</v>
      </c>
      <c r="E9" s="121"/>
      <c r="K9" s="100"/>
      <c r="M9" s="102"/>
      <c r="N9" s="106"/>
      <c r="O9" s="102"/>
      <c r="P9" s="156" t="s">
        <v>256</v>
      </c>
      <c r="Q9" s="156" t="s">
        <v>257</v>
      </c>
      <c r="R9" s="156" t="s">
        <v>258</v>
      </c>
      <c r="S9" s="156" t="s">
        <v>259</v>
      </c>
      <c r="T9" s="101"/>
    </row>
    <row r="10" spans="2:20" ht="31.5" thickTop="1" x14ac:dyDescent="0.25">
      <c r="B10" s="91" t="s">
        <v>233</v>
      </c>
      <c r="C10" s="136">
        <v>10</v>
      </c>
      <c r="E10" s="93"/>
      <c r="F10" s="94"/>
      <c r="K10" s="100"/>
      <c r="M10" s="159" t="s">
        <v>260</v>
      </c>
      <c r="N10" s="106" t="s">
        <v>261</v>
      </c>
      <c r="O10" s="102"/>
      <c r="P10" s="114">
        <f>(Q7/P4)*(O13/M13)*(O18/L18)</f>
        <v>36.631929150799166</v>
      </c>
      <c r="Q10" s="119">
        <f>(Q7/P4)*(O13/M13)*(M18/L18)</f>
        <v>16615.983321751217</v>
      </c>
      <c r="R10" s="114">
        <f>P10*(P4/Q4)</f>
        <v>39.535009536000004</v>
      </c>
      <c r="S10" s="119">
        <f>Q10*(P4/Q4)</f>
        <v>17932.800000000003</v>
      </c>
      <c r="T10" s="101"/>
    </row>
    <row r="11" spans="2:20" ht="15.75" thickBot="1" x14ac:dyDescent="0.3">
      <c r="B11" s="97"/>
      <c r="C11" s="97"/>
      <c r="E11" s="93"/>
      <c r="F11" s="94"/>
    </row>
    <row r="12" spans="2:20" ht="45" x14ac:dyDescent="0.25">
      <c r="D12" s="129"/>
      <c r="E12" s="93"/>
      <c r="F12" s="94"/>
      <c r="L12" s="103" t="s">
        <v>241</v>
      </c>
      <c r="M12" s="104" t="s">
        <v>242</v>
      </c>
      <c r="N12" s="104" t="s">
        <v>262</v>
      </c>
      <c r="O12" s="105" t="s">
        <v>243</v>
      </c>
      <c r="P12" s="106" t="s">
        <v>244</v>
      </c>
      <c r="Q12" s="107" t="s">
        <v>245</v>
      </c>
      <c r="R12" s="40" t="s">
        <v>246</v>
      </c>
    </row>
    <row r="13" spans="2:20" ht="90.75" thickBot="1" x14ac:dyDescent="0.3">
      <c r="B13" s="98" t="s">
        <v>234</v>
      </c>
      <c r="C13" s="40" t="s">
        <v>235</v>
      </c>
      <c r="L13" s="109" t="s">
        <v>249</v>
      </c>
      <c r="M13" s="110">
        <v>1</v>
      </c>
      <c r="N13" s="111">
        <v>1.07925</v>
      </c>
      <c r="O13" s="112">
        <v>1.9199999999999998E-2</v>
      </c>
    </row>
    <row r="14" spans="2:20" x14ac:dyDescent="0.25">
      <c r="B14" s="91" t="s">
        <v>236</v>
      </c>
      <c r="C14" s="137">
        <v>0.52439999999999998</v>
      </c>
      <c r="D14" s="128"/>
    </row>
    <row r="15" spans="2:20" x14ac:dyDescent="0.25">
      <c r="B15" s="91" t="s">
        <v>237</v>
      </c>
      <c r="C15" s="137">
        <v>0.11799999999999999</v>
      </c>
      <c r="D15" s="128"/>
    </row>
    <row r="16" spans="2:20" ht="15.75" thickBot="1" x14ac:dyDescent="0.3">
      <c r="B16" s="91" t="s">
        <v>238</v>
      </c>
      <c r="C16" s="137">
        <v>0.35759999999999997</v>
      </c>
      <c r="D16" s="128"/>
    </row>
    <row r="17" spans="3:15" ht="30" x14ac:dyDescent="0.25">
      <c r="C17" s="99"/>
      <c r="L17" s="103" t="s">
        <v>252</v>
      </c>
      <c r="M17" s="104" t="s">
        <v>253</v>
      </c>
      <c r="N17" s="104" t="s">
        <v>254</v>
      </c>
      <c r="O17" s="115" t="s">
        <v>255</v>
      </c>
    </row>
    <row r="18" spans="3:15" ht="15.75" thickBot="1" x14ac:dyDescent="0.3">
      <c r="L18" s="116">
        <v>1</v>
      </c>
      <c r="M18" s="117">
        <v>1000000</v>
      </c>
      <c r="N18" s="110">
        <v>1.1023099999999999</v>
      </c>
      <c r="O18" s="118">
        <v>2204.62</v>
      </c>
    </row>
    <row r="19" spans="3:15" x14ac:dyDescent="0.25">
      <c r="K19" s="102"/>
    </row>
    <row r="20" spans="3:15" x14ac:dyDescent="0.25">
      <c r="K20" s="102"/>
    </row>
    <row r="21" spans="3:15" x14ac:dyDescent="0.25">
      <c r="K21" s="102"/>
    </row>
    <row r="22" spans="3:15" x14ac:dyDescent="0.25">
      <c r="K22" s="102"/>
    </row>
    <row r="23" spans="3:15" x14ac:dyDescent="0.25">
      <c r="K23" s="102"/>
    </row>
    <row r="24" spans="3:15" x14ac:dyDescent="0.25">
      <c r="K24" s="102"/>
    </row>
    <row r="25" spans="3:15" x14ac:dyDescent="0.25">
      <c r="K25" s="102"/>
    </row>
    <row r="26" spans="3:15" x14ac:dyDescent="0.25">
      <c r="K26" s="102"/>
    </row>
    <row r="27" spans="3:15" x14ac:dyDescent="0.25">
      <c r="K27" s="102"/>
    </row>
    <row r="66" spans="3:4" x14ac:dyDescent="0.25">
      <c r="D66" s="95"/>
    </row>
    <row r="67" spans="3:4" x14ac:dyDescent="0.25">
      <c r="C67" s="120"/>
      <c r="D67" s="132"/>
    </row>
    <row r="68" spans="3:4" x14ac:dyDescent="0.25">
      <c r="C68" s="95"/>
      <c r="D68" s="132"/>
    </row>
    <row r="71" spans="3:4" x14ac:dyDescent="0.25">
      <c r="C71" s="121"/>
    </row>
    <row r="72" spans="3:4" x14ac:dyDescent="0.25">
      <c r="C72" s="97"/>
      <c r="D72" s="96"/>
    </row>
    <row r="74" spans="3:4" x14ac:dyDescent="0.25">
      <c r="C74" s="122"/>
    </row>
    <row r="75" spans="3:4" x14ac:dyDescent="0.25">
      <c r="D75" s="133"/>
    </row>
    <row r="76" spans="3:4" x14ac:dyDescent="0.25">
      <c r="D76" s="133"/>
    </row>
    <row r="77" spans="3:4" x14ac:dyDescent="0.25">
      <c r="D77" s="133"/>
    </row>
  </sheetData>
  <mergeCells count="1">
    <mergeCell ref="B1:H1"/>
  </mergeCells>
  <hyperlinks>
    <hyperlink ref="L13" r:id="rId1" xr:uid="{7163A7D3-3196-4170-8223-3C4430312098}"/>
  </hyperlinks>
  <pageMargins left="0.7" right="0.7" top="0.75" bottom="0.75" header="0.3" footer="0.3"/>
  <pageSetup scale="35" fitToWidth="0" fitToHeight="0" orientation="portrait" r:id="rId2"/>
  <colBreaks count="1" manualBreakCount="1">
    <brk id="9" max="10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9D921-6C79-4FA4-8C8C-39E579F0FFCB}">
  <sheetPr>
    <tabColor rgb="FFFFC000"/>
  </sheetPr>
  <dimension ref="A1:F24"/>
  <sheetViews>
    <sheetView view="pageBreakPreview" zoomScale="60" zoomScaleNormal="100" workbookViewId="0">
      <selection activeCell="E9" sqref="E9"/>
    </sheetView>
  </sheetViews>
  <sheetFormatPr defaultRowHeight="15" x14ac:dyDescent="0.25"/>
  <sheetData>
    <row r="1" spans="1:6" s="40" customFormat="1" x14ac:dyDescent="0.25">
      <c r="A1" s="212" t="s">
        <v>149</v>
      </c>
      <c r="B1" s="213"/>
      <c r="C1" s="213"/>
      <c r="D1" s="213"/>
      <c r="E1" s="213"/>
      <c r="F1" s="214"/>
    </row>
    <row r="2" spans="1:6" s="40" customFormat="1" x14ac:dyDescent="0.25">
      <c r="A2" s="220"/>
      <c r="B2" s="221"/>
      <c r="C2" s="221"/>
      <c r="D2" s="221"/>
      <c r="E2" s="221"/>
      <c r="F2" s="222"/>
    </row>
    <row r="3" spans="1:6" s="40" customFormat="1" ht="15.75" thickBot="1" x14ac:dyDescent="0.3">
      <c r="A3" s="215"/>
      <c r="B3" s="216"/>
      <c r="C3" s="216"/>
      <c r="D3" s="216"/>
      <c r="E3" s="216"/>
      <c r="F3" s="217"/>
    </row>
    <row r="4" spans="1:6" x14ac:dyDescent="0.25">
      <c r="A4" s="81"/>
      <c r="B4" s="78" t="s">
        <v>33</v>
      </c>
      <c r="C4" s="57"/>
      <c r="D4" s="57"/>
      <c r="E4" s="20" t="s">
        <v>53</v>
      </c>
      <c r="F4" s="144">
        <v>0.1</v>
      </c>
    </row>
    <row r="5" spans="1:6" x14ac:dyDescent="0.25">
      <c r="A5" s="69">
        <f>'CARBON TAX'!A6</f>
        <v>2023</v>
      </c>
      <c r="B5" s="86">
        <f>$F$4+1</f>
        <v>1.1000000000000001</v>
      </c>
      <c r="C5" s="2"/>
      <c r="D5" s="2"/>
      <c r="E5" s="2"/>
      <c r="F5" s="33"/>
    </row>
    <row r="6" spans="1:6" x14ac:dyDescent="0.25">
      <c r="A6" s="69">
        <f>'CARBON TAX'!A7</f>
        <v>2024</v>
      </c>
      <c r="B6" s="86">
        <f t="shared" ref="B6:B24" si="0">$F$4+1</f>
        <v>1.1000000000000001</v>
      </c>
      <c r="C6" s="2"/>
      <c r="D6" s="2"/>
      <c r="E6" s="2"/>
      <c r="F6" s="33"/>
    </row>
    <row r="7" spans="1:6" x14ac:dyDescent="0.25">
      <c r="A7" s="69">
        <f>'CARBON TAX'!A8</f>
        <v>2025</v>
      </c>
      <c r="B7" s="86">
        <f t="shared" si="0"/>
        <v>1.1000000000000001</v>
      </c>
      <c r="C7" s="2"/>
      <c r="D7" s="2"/>
      <c r="E7" s="2"/>
      <c r="F7" s="33"/>
    </row>
    <row r="8" spans="1:6" x14ac:dyDescent="0.25">
      <c r="A8" s="69">
        <f>'CARBON TAX'!A9</f>
        <v>2026</v>
      </c>
      <c r="B8" s="86">
        <f t="shared" si="0"/>
        <v>1.1000000000000001</v>
      </c>
      <c r="C8" s="2"/>
      <c r="D8" s="2"/>
      <c r="E8" s="2"/>
      <c r="F8" s="33"/>
    </row>
    <row r="9" spans="1:6" x14ac:dyDescent="0.25">
      <c r="A9" s="69">
        <f>'CARBON TAX'!A10</f>
        <v>2027</v>
      </c>
      <c r="B9" s="86">
        <f t="shared" si="0"/>
        <v>1.1000000000000001</v>
      </c>
      <c r="C9" s="2"/>
      <c r="D9" s="2"/>
      <c r="E9" s="2"/>
      <c r="F9" s="33"/>
    </row>
    <row r="10" spans="1:6" x14ac:dyDescent="0.25">
      <c r="A10" s="69">
        <f>'CARBON TAX'!A11</f>
        <v>2028</v>
      </c>
      <c r="B10" s="86">
        <f t="shared" si="0"/>
        <v>1.1000000000000001</v>
      </c>
      <c r="C10" s="2"/>
      <c r="D10" s="2"/>
      <c r="E10" s="2"/>
      <c r="F10" s="33"/>
    </row>
    <row r="11" spans="1:6" x14ac:dyDescent="0.25">
      <c r="A11" s="69">
        <f>'CARBON TAX'!A12</f>
        <v>2029</v>
      </c>
      <c r="B11" s="86">
        <f t="shared" si="0"/>
        <v>1.1000000000000001</v>
      </c>
      <c r="C11" s="2"/>
      <c r="D11" s="2"/>
      <c r="E11" s="2"/>
      <c r="F11" s="33"/>
    </row>
    <row r="12" spans="1:6" x14ac:dyDescent="0.25">
      <c r="A12" s="69">
        <f>'CARBON TAX'!A13</f>
        <v>2030</v>
      </c>
      <c r="B12" s="86">
        <f t="shared" si="0"/>
        <v>1.1000000000000001</v>
      </c>
      <c r="C12" s="2"/>
      <c r="D12" s="2"/>
      <c r="E12" s="2"/>
      <c r="F12" s="33"/>
    </row>
    <row r="13" spans="1:6" x14ac:dyDescent="0.25">
      <c r="A13" s="69">
        <f>'CARBON TAX'!A14</f>
        <v>2031</v>
      </c>
      <c r="B13" s="86">
        <f t="shared" si="0"/>
        <v>1.1000000000000001</v>
      </c>
      <c r="C13" s="2"/>
      <c r="D13" s="2"/>
      <c r="E13" s="2"/>
      <c r="F13" s="33"/>
    </row>
    <row r="14" spans="1:6" x14ac:dyDescent="0.25">
      <c r="A14" s="69">
        <f>'CARBON TAX'!A15</f>
        <v>2032</v>
      </c>
      <c r="B14" s="86">
        <f t="shared" si="0"/>
        <v>1.1000000000000001</v>
      </c>
      <c r="C14" s="2"/>
      <c r="D14" s="2"/>
      <c r="E14" s="2"/>
      <c r="F14" s="33"/>
    </row>
    <row r="15" spans="1:6" x14ac:dyDescent="0.25">
      <c r="A15" s="69">
        <f>'CARBON TAX'!A16</f>
        <v>2033</v>
      </c>
      <c r="B15" s="86">
        <f t="shared" si="0"/>
        <v>1.1000000000000001</v>
      </c>
      <c r="C15" s="2"/>
      <c r="D15" s="2"/>
      <c r="E15" s="2"/>
      <c r="F15" s="33"/>
    </row>
    <row r="16" spans="1:6" x14ac:dyDescent="0.25">
      <c r="A16" s="69">
        <f>'CARBON TAX'!A17</f>
        <v>2034</v>
      </c>
      <c r="B16" s="86">
        <f t="shared" si="0"/>
        <v>1.1000000000000001</v>
      </c>
      <c r="C16" s="2"/>
      <c r="D16" s="2"/>
      <c r="E16" s="2"/>
      <c r="F16" s="33"/>
    </row>
    <row r="17" spans="1:6" x14ac:dyDescent="0.25">
      <c r="A17" s="69">
        <f>'CARBON TAX'!A18</f>
        <v>2035</v>
      </c>
      <c r="B17" s="86">
        <f t="shared" si="0"/>
        <v>1.1000000000000001</v>
      </c>
      <c r="C17" s="2"/>
      <c r="D17" s="2"/>
      <c r="E17" s="2"/>
      <c r="F17" s="33"/>
    </row>
    <row r="18" spans="1:6" x14ac:dyDescent="0.25">
      <c r="A18" s="69">
        <f>'CARBON TAX'!A19</f>
        <v>2036</v>
      </c>
      <c r="B18" s="86">
        <f t="shared" si="0"/>
        <v>1.1000000000000001</v>
      </c>
      <c r="C18" s="2"/>
      <c r="D18" s="2"/>
      <c r="E18" s="2"/>
      <c r="F18" s="33"/>
    </row>
    <row r="19" spans="1:6" x14ac:dyDescent="0.25">
      <c r="A19" s="69">
        <f>'CARBON TAX'!A20</f>
        <v>2037</v>
      </c>
      <c r="B19" s="86">
        <f t="shared" si="0"/>
        <v>1.1000000000000001</v>
      </c>
      <c r="C19" s="2"/>
      <c r="D19" s="2"/>
      <c r="E19" s="2"/>
      <c r="F19" s="33"/>
    </row>
    <row r="20" spans="1:6" x14ac:dyDescent="0.25">
      <c r="A20" s="69">
        <f>'CARBON TAX'!A21</f>
        <v>2038</v>
      </c>
      <c r="B20" s="86">
        <f t="shared" si="0"/>
        <v>1.1000000000000001</v>
      </c>
      <c r="C20" s="2"/>
      <c r="D20" s="2"/>
      <c r="E20" s="2"/>
      <c r="F20" s="33"/>
    </row>
    <row r="21" spans="1:6" x14ac:dyDescent="0.25">
      <c r="A21" s="69">
        <f>'CARBON TAX'!A22</f>
        <v>2039</v>
      </c>
      <c r="B21" s="86">
        <f t="shared" si="0"/>
        <v>1.1000000000000001</v>
      </c>
      <c r="C21" s="2"/>
      <c r="D21" s="2"/>
      <c r="E21" s="2"/>
      <c r="F21" s="33"/>
    </row>
    <row r="22" spans="1:6" x14ac:dyDescent="0.25">
      <c r="A22" s="69">
        <f>'CARBON TAX'!A23</f>
        <v>2040</v>
      </c>
      <c r="B22" s="86">
        <f t="shared" si="0"/>
        <v>1.1000000000000001</v>
      </c>
      <c r="C22" s="2"/>
      <c r="D22" s="2"/>
      <c r="E22" s="2"/>
      <c r="F22" s="33"/>
    </row>
    <row r="23" spans="1:6" x14ac:dyDescent="0.25">
      <c r="A23" s="69">
        <f>'CARBON TAX'!A24</f>
        <v>2041</v>
      </c>
      <c r="B23" s="86">
        <f t="shared" si="0"/>
        <v>1.1000000000000001</v>
      </c>
      <c r="C23" s="2"/>
      <c r="D23" s="2"/>
      <c r="E23" s="2"/>
      <c r="F23" s="33"/>
    </row>
    <row r="24" spans="1:6" ht="15.75" thickBot="1" x14ac:dyDescent="0.3">
      <c r="A24" s="59">
        <f>'CARBON TAX'!A25</f>
        <v>2042</v>
      </c>
      <c r="B24" s="87">
        <f t="shared" si="0"/>
        <v>1.1000000000000001</v>
      </c>
      <c r="C24" s="34"/>
      <c r="D24" s="34"/>
      <c r="E24" s="34"/>
      <c r="F24" s="35"/>
    </row>
  </sheetData>
  <mergeCells count="1">
    <mergeCell ref="A1:F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E6E9C-2B1C-4A55-8EA6-EFFDAADD13A7}">
  <sheetPr>
    <tabColor rgb="FFFFFF00"/>
  </sheetPr>
  <dimension ref="A1:W41"/>
  <sheetViews>
    <sheetView view="pageBreakPreview" zoomScale="118" zoomScaleNormal="100" zoomScaleSheetLayoutView="118" workbookViewId="0">
      <selection sqref="A1:H3"/>
    </sheetView>
  </sheetViews>
  <sheetFormatPr defaultRowHeight="15" x14ac:dyDescent="0.25"/>
  <cols>
    <col min="1" max="1" width="6" bestFit="1" customWidth="1"/>
    <col min="2" max="4" width="8.140625" bestFit="1" customWidth="1"/>
    <col min="5" max="5" width="7" bestFit="1" customWidth="1"/>
    <col min="6" max="6" width="7.5703125" bestFit="1" customWidth="1"/>
    <col min="7" max="7" width="11.5703125" bestFit="1" customWidth="1"/>
    <col min="8" max="8" width="8.140625" bestFit="1" customWidth="1"/>
    <col min="9" max="9" width="13" bestFit="1" customWidth="1"/>
    <col min="10" max="10" width="8.7109375" style="73"/>
    <col min="12" max="12" width="12.85546875" bestFit="1" customWidth="1"/>
    <col min="13" max="13" width="13.140625" bestFit="1" customWidth="1"/>
    <col min="14" max="14" width="10.140625" customWidth="1"/>
    <col min="15" max="15" width="21.7109375" bestFit="1" customWidth="1"/>
  </cols>
  <sheetData>
    <row r="1" spans="1:15" s="40" customFormat="1" x14ac:dyDescent="0.25">
      <c r="A1" s="212" t="s">
        <v>222</v>
      </c>
      <c r="B1" s="213"/>
      <c r="C1" s="213"/>
      <c r="D1" s="213"/>
      <c r="E1" s="213"/>
      <c r="F1" s="213"/>
      <c r="G1" s="213"/>
      <c r="H1" s="214"/>
      <c r="J1" s="73"/>
    </row>
    <row r="2" spans="1:15" s="40" customFormat="1" x14ac:dyDescent="0.25">
      <c r="A2" s="220"/>
      <c r="B2" s="221"/>
      <c r="C2" s="221"/>
      <c r="D2" s="221"/>
      <c r="E2" s="221"/>
      <c r="F2" s="221"/>
      <c r="G2" s="221"/>
      <c r="H2" s="222"/>
      <c r="J2" s="73"/>
    </row>
    <row r="3" spans="1:15" s="40" customFormat="1" ht="15.75" thickBot="1" x14ac:dyDescent="0.3">
      <c r="A3" s="215"/>
      <c r="B3" s="216"/>
      <c r="C3" s="216"/>
      <c r="D3" s="216"/>
      <c r="E3" s="216"/>
      <c r="F3" s="216"/>
      <c r="G3" s="216"/>
      <c r="H3" s="217"/>
      <c r="J3" s="73"/>
    </row>
    <row r="4" spans="1:15" x14ac:dyDescent="0.25">
      <c r="A4" s="67" t="s">
        <v>47</v>
      </c>
      <c r="B4" s="78" t="s">
        <v>27</v>
      </c>
      <c r="C4" s="78" t="s">
        <v>28</v>
      </c>
      <c r="D4" s="78" t="s">
        <v>29</v>
      </c>
      <c r="E4" s="78" t="s">
        <v>30</v>
      </c>
      <c r="F4" s="78" t="s">
        <v>31</v>
      </c>
      <c r="G4" s="78" t="s">
        <v>32</v>
      </c>
      <c r="H4" s="68" t="s">
        <v>33</v>
      </c>
    </row>
    <row r="5" spans="1:15" x14ac:dyDescent="0.25">
      <c r="A5" s="69">
        <f>'RISK PREMIUM'!A6</f>
        <v>2023</v>
      </c>
      <c r="B5" s="145">
        <f>'[1]IGC Model'!AA11*10</f>
        <v>0.88503679271212299</v>
      </c>
      <c r="C5" s="145">
        <f>'[1]IGC Model'!AB11*10</f>
        <v>3.0245257497000413</v>
      </c>
      <c r="D5" s="145">
        <f>'[1]IGC Model'!AC11*10</f>
        <v>1.9944656639468001</v>
      </c>
      <c r="E5" s="145">
        <v>2.0167846080753349</v>
      </c>
      <c r="F5" s="145">
        <v>2.0167846080753349</v>
      </c>
      <c r="G5" s="145">
        <f>'[1]IGC Model'!AF11*10</f>
        <v>1.7563610314486346</v>
      </c>
      <c r="H5" s="146">
        <f>(G5*[2]Sheet1!E$3)+(F5*(1-[2]Sheet1!E$3))</f>
        <v>1.8853435175970485</v>
      </c>
    </row>
    <row r="6" spans="1:15" ht="15.75" thickBot="1" x14ac:dyDescent="0.3">
      <c r="A6" s="69">
        <f>'RISK PREMIUM'!A7</f>
        <v>2024</v>
      </c>
      <c r="B6" s="145">
        <f>'[1]IGC Model'!AA12*10</f>
        <v>0</v>
      </c>
      <c r="C6" s="145">
        <f>'[1]IGC Model'!AB12*10</f>
        <v>2.8539442496483987</v>
      </c>
      <c r="D6" s="145">
        <f>'[1]IGC Model'!AC12*10</f>
        <v>1.9685067788422239</v>
      </c>
      <c r="E6" s="145">
        <v>6.1764131397794211</v>
      </c>
      <c r="F6" s="145">
        <v>6.1764131397794211</v>
      </c>
      <c r="G6" s="145">
        <f>'[1]IGC Model'!AF12*10</f>
        <v>2.8367007049171149</v>
      </c>
      <c r="H6" s="146">
        <f>(G6*[2]Sheet1!E$3)+(F6*(1-[2]Sheet1!E$3))</f>
        <v>4.4907921602648191</v>
      </c>
    </row>
    <row r="7" spans="1:15" ht="14.1" customHeight="1" x14ac:dyDescent="0.25">
      <c r="A7" s="69">
        <f>'RISK PREMIUM'!A8</f>
        <v>2025</v>
      </c>
      <c r="B7" s="145">
        <f>'[1]IGC Model'!AA13*10</f>
        <v>12.529573670582909</v>
      </c>
      <c r="C7" s="145">
        <f>'[1]IGC Model'!AB13*10</f>
        <v>2.7821995166335283</v>
      </c>
      <c r="D7" s="145">
        <f>'[1]IGC Model'!AC13*10</f>
        <v>1.5062232333548018</v>
      </c>
      <c r="E7" s="145">
        <v>1.4091622072324408</v>
      </c>
      <c r="F7" s="145">
        <v>1.4091622072324408</v>
      </c>
      <c r="G7" s="145">
        <f>'[1]IGC Model'!AF13*10</f>
        <v>1.7027844658057472</v>
      </c>
      <c r="H7" s="146">
        <f>(G7*[2]Sheet1!E$3)+(F7*(1-[2]Sheet1!E$3))</f>
        <v>1.5573593495783302</v>
      </c>
      <c r="L7" s="192"/>
      <c r="M7" s="193"/>
      <c r="N7" s="193"/>
      <c r="O7" s="193"/>
    </row>
    <row r="8" spans="1:15" ht="14.45" customHeight="1" x14ac:dyDescent="0.25">
      <c r="A8" s="69">
        <f>'RISK PREMIUM'!A9</f>
        <v>2026</v>
      </c>
      <c r="B8" s="145">
        <f>'[1]IGC Model'!AA14*10</f>
        <v>5.1078472187145874</v>
      </c>
      <c r="C8" s="145">
        <f>'[1]IGC Model'!AB14*10</f>
        <v>1.2404847567976589</v>
      </c>
      <c r="D8" s="145">
        <f>'[1]IGC Model'!AC14*10</f>
        <v>0.70093225383378299</v>
      </c>
      <c r="E8" s="145">
        <v>1.9659312489018486</v>
      </c>
      <c r="F8" s="145">
        <v>1.9659312489018486</v>
      </c>
      <c r="G8" s="145">
        <f>'[1]IGC Model'!AF14*10</f>
        <v>0.75634748396724116</v>
      </c>
      <c r="H8" s="146">
        <f>(G8*[2]Sheet1!E$3)+(F8*(1-[2]Sheet1!E$3))</f>
        <v>1.3554296532044048</v>
      </c>
      <c r="L8" s="194"/>
      <c r="M8" s="195"/>
      <c r="N8" s="195"/>
      <c r="O8" s="195"/>
    </row>
    <row r="9" spans="1:15" ht="15" customHeight="1" thickBot="1" x14ac:dyDescent="0.3">
      <c r="A9" s="69">
        <f>'RISK PREMIUM'!A10</f>
        <v>2027</v>
      </c>
      <c r="B9" s="145">
        <f>'[1]IGC Model'!AA15*10</f>
        <v>11.888748306735355</v>
      </c>
      <c r="C9" s="145">
        <f>'[1]IGC Model'!AB15*10</f>
        <v>2.1908732557802706</v>
      </c>
      <c r="D9" s="145">
        <f>'[1]IGC Model'!AC15*10</f>
        <v>1.0949871102859237</v>
      </c>
      <c r="E9" s="145">
        <v>1.362961438894738</v>
      </c>
      <c r="F9" s="145">
        <v>1.362961438894738</v>
      </c>
      <c r="G9" s="145">
        <f>'[1]IGC Model'!AF15*10</f>
        <v>1.345113352074405</v>
      </c>
      <c r="H9" s="146">
        <f>(G9*[2]Sheet1!E$3)+(F9*(1-[2]Sheet1!E$3))</f>
        <v>1.3539531454636924</v>
      </c>
      <c r="L9" s="196"/>
      <c r="M9" s="197"/>
      <c r="N9" s="197"/>
      <c r="O9" s="197"/>
    </row>
    <row r="10" spans="1:15" x14ac:dyDescent="0.25">
      <c r="A10" s="69">
        <f>'RISK PREMIUM'!A11</f>
        <v>2028</v>
      </c>
      <c r="B10" s="145">
        <f>'[1]IGC Model'!AA16*10</f>
        <v>10.834278230093975</v>
      </c>
      <c r="C10" s="145">
        <f>'[1]IGC Model'!AB16*10</f>
        <v>1.6645789587157447</v>
      </c>
      <c r="D10" s="145">
        <f>'[1]IGC Model'!AC16*10</f>
        <v>0.86222108968871658</v>
      </c>
      <c r="E10" s="145">
        <v>0.98422413726620894</v>
      </c>
      <c r="F10" s="145">
        <v>0.98422413726620894</v>
      </c>
      <c r="G10" s="145">
        <f>'[1]IGC Model'!AF16*10</f>
        <v>1.0843845169412247</v>
      </c>
      <c r="H10" s="146">
        <f>(G10*[2]Sheet1!E$3)+(F10*(1-[2]Sheet1!E$3))</f>
        <v>1.0347771236652656</v>
      </c>
      <c r="L10" s="12"/>
      <c r="M10" s="12"/>
      <c r="N10" s="12"/>
      <c r="O10" s="12"/>
    </row>
    <row r="11" spans="1:15" x14ac:dyDescent="0.25">
      <c r="A11" s="69">
        <f>'RISK PREMIUM'!A12</f>
        <v>2029</v>
      </c>
      <c r="B11" s="145">
        <f>'[1]IGC Model'!AA17*10</f>
        <v>11.703388695166165</v>
      </c>
      <c r="C11" s="145">
        <f>'[1]IGC Model'!AB17*10</f>
        <v>2.4785563906362711</v>
      </c>
      <c r="D11" s="145">
        <f>'[1]IGC Model'!AC17*10</f>
        <v>1.1430759239999186</v>
      </c>
      <c r="E11" s="145">
        <v>0.88130219554918887</v>
      </c>
      <c r="F11" s="145">
        <v>0.88130219554918887</v>
      </c>
      <c r="G11" s="145">
        <f>'[1]IGC Model'!AF17*10</f>
        <v>1.4075841362770469</v>
      </c>
      <c r="H11" s="146">
        <f>(G11*[2]Sheet1!E$3)+(F11*(1-[2]Sheet1!E$3))</f>
        <v>1.1469274245869436</v>
      </c>
      <c r="L11" s="44"/>
      <c r="M11" s="37"/>
      <c r="N11" s="37"/>
      <c r="O11" s="47"/>
    </row>
    <row r="12" spans="1:15" x14ac:dyDescent="0.25">
      <c r="A12" s="69">
        <f>'RISK PREMIUM'!A13</f>
        <v>2030</v>
      </c>
      <c r="B12" s="145">
        <f>'[1]IGC Model'!AA18*10</f>
        <v>0</v>
      </c>
      <c r="C12" s="145">
        <f>'[1]IGC Model'!AB18*10</f>
        <v>18.059844374089352</v>
      </c>
      <c r="D12" s="145">
        <f>'[1]IGC Model'!AC18*10</f>
        <v>6.7790055360426393</v>
      </c>
      <c r="E12" s="145">
        <v>1.0088533248608809</v>
      </c>
      <c r="F12" s="145">
        <v>1.0088533248608809</v>
      </c>
      <c r="G12" s="145">
        <f>'[1]IGC Model'!AF18*10</f>
        <v>11.548108217106812</v>
      </c>
      <c r="H12" s="146">
        <f>(G12*[2]Sheet1!E$3)+(F12*(1-[2]Sheet1!E$3))</f>
        <v>6.3282302177262366</v>
      </c>
      <c r="L12" s="46"/>
      <c r="M12" s="37"/>
      <c r="N12" s="37"/>
      <c r="O12" s="48"/>
    </row>
    <row r="13" spans="1:15" x14ac:dyDescent="0.25">
      <c r="A13" s="69">
        <f>'RISK PREMIUM'!A14</f>
        <v>2031</v>
      </c>
      <c r="B13" s="145">
        <f>'[1]IGC Model'!AA19*10</f>
        <v>10.775442645596032</v>
      </c>
      <c r="C13" s="145">
        <f>'[1]IGC Model'!AB19*10</f>
        <v>1.9517724130130603</v>
      </c>
      <c r="D13" s="145">
        <f>'[1]IGC Model'!AC19*10</f>
        <v>0.94973672948915455</v>
      </c>
      <c r="E13" s="145">
        <v>1.2661181239902008</v>
      </c>
      <c r="F13" s="145">
        <v>1.2661181239902008</v>
      </c>
      <c r="G13" s="145">
        <f>'[1]IGC Model'!AF19*10</f>
        <v>1.1847831018798207</v>
      </c>
      <c r="H13" s="146">
        <f>(G13*[2]Sheet1!E$3)+(F13*(1-[2]Sheet1!E$3))</f>
        <v>1.225066679498336</v>
      </c>
      <c r="L13" s="44"/>
      <c r="M13" s="37"/>
      <c r="N13" s="37"/>
      <c r="O13" s="47"/>
    </row>
    <row r="14" spans="1:15" x14ac:dyDescent="0.25">
      <c r="A14" s="69">
        <f>'RISK PREMIUM'!A15</f>
        <v>2032</v>
      </c>
      <c r="B14" s="145">
        <f>'[1]IGC Model'!AA20*10</f>
        <v>4.5504778740050913</v>
      </c>
      <c r="C14" s="145">
        <f>'[1]IGC Model'!AB20*10</f>
        <v>0.96491184549711728</v>
      </c>
      <c r="D14" s="145">
        <f>'[1]IGC Model'!AC20*10</f>
        <v>0.51564416762667908</v>
      </c>
      <c r="E14" s="145">
        <v>1.1550438083410222</v>
      </c>
      <c r="F14" s="145">
        <v>1.1550438083410222</v>
      </c>
      <c r="G14" s="145">
        <f>'[1]IGC Model'!AF20*10</f>
        <v>0.59381496761643693</v>
      </c>
      <c r="H14" s="146">
        <f>(G14*[2]Sheet1!E$3)+(F14*(1-[2]Sheet1!E$3))</f>
        <v>0.87178016613075404</v>
      </c>
      <c r="L14" s="44"/>
      <c r="M14" s="37"/>
      <c r="N14" s="37"/>
      <c r="O14" s="47"/>
    </row>
    <row r="15" spans="1:15" x14ac:dyDescent="0.25">
      <c r="A15" s="69">
        <f>'RISK PREMIUM'!A16</f>
        <v>2033</v>
      </c>
      <c r="B15" s="145">
        <f>'[1]IGC Model'!AA21*10</f>
        <v>10.319229151007605</v>
      </c>
      <c r="C15" s="145">
        <f>'[1]IGC Model'!AB21*10</f>
        <v>2.5365939510944497</v>
      </c>
      <c r="D15" s="145">
        <f>'[1]IGC Model'!AC21*10</f>
        <v>1.1301374476168067</v>
      </c>
      <c r="E15" s="145">
        <v>0.73441624223951685</v>
      </c>
      <c r="F15" s="145">
        <v>0.73441624223951685</v>
      </c>
      <c r="G15" s="145">
        <f>'[1]IGC Model'!AF21*10</f>
        <v>1.3607604923464449</v>
      </c>
      <c r="H15" s="146">
        <f>(G15*[2]Sheet1!E$3)+(F15*(1-[2]Sheet1!E$3))</f>
        <v>1.0505449595978147</v>
      </c>
      <c r="L15" s="44"/>
      <c r="M15" s="37"/>
      <c r="N15" s="37"/>
      <c r="O15" s="47"/>
    </row>
    <row r="16" spans="1:15" x14ac:dyDescent="0.25">
      <c r="A16" s="69">
        <f>'RISK PREMIUM'!A17</f>
        <v>2034</v>
      </c>
      <c r="B16" s="145">
        <f>'[1]IGC Model'!AA22*10</f>
        <v>11.202010086787631</v>
      </c>
      <c r="C16" s="145">
        <f>'[1]IGC Model'!AB22*10</f>
        <v>1.94468352786312</v>
      </c>
      <c r="D16" s="145">
        <f>'[1]IGC Model'!AC22*10</f>
        <v>0.82578169510525112</v>
      </c>
      <c r="E16" s="145">
        <v>0.51998209551911057</v>
      </c>
      <c r="F16" s="145">
        <v>0.51998209551911057</v>
      </c>
      <c r="G16" s="145">
        <f>'[1]IGC Model'!AF22*10</f>
        <v>1.0986748224831531</v>
      </c>
      <c r="H16" s="146">
        <f>(G16*[2]Sheet1!E$3)+(F16*(1-[2]Sheet1!E$3))</f>
        <v>0.81206011729146188</v>
      </c>
      <c r="L16" s="44"/>
      <c r="M16" s="37"/>
      <c r="N16" s="37"/>
      <c r="O16" s="47"/>
    </row>
    <row r="17" spans="1:23" x14ac:dyDescent="0.25">
      <c r="A17" s="69">
        <f>'RISK PREMIUM'!A18</f>
        <v>2035</v>
      </c>
      <c r="B17" s="145">
        <f>'[1]IGC Model'!AA23*10</f>
        <v>9.7256675055224218</v>
      </c>
      <c r="C17" s="145">
        <f>'[1]IGC Model'!AB23*10</f>
        <v>1.7473055885146578</v>
      </c>
      <c r="D17" s="145">
        <f>'[1]IGC Model'!AC23*10</f>
        <v>0.84407837713349709</v>
      </c>
      <c r="E17" s="145">
        <v>0.46771964256659943</v>
      </c>
      <c r="F17" s="145">
        <v>0.46771964256659943</v>
      </c>
      <c r="G17" s="145">
        <f>'[1]IGC Model'!AF23*10</f>
        <v>1.0581339862140806</v>
      </c>
      <c r="H17" s="146">
        <f>(G17*[2]Sheet1!E$3)+(F17*(1-[2]Sheet1!E$3))</f>
        <v>0.76571380334217232</v>
      </c>
      <c r="L17" s="44"/>
      <c r="M17" s="37"/>
      <c r="N17" s="37"/>
      <c r="O17" s="47"/>
    </row>
    <row r="18" spans="1:23" x14ac:dyDescent="0.25">
      <c r="A18" s="69">
        <f>'RISK PREMIUM'!A19</f>
        <v>2036</v>
      </c>
      <c r="B18" s="145">
        <f>'[1]IGC Model'!AA24*10</f>
        <v>0</v>
      </c>
      <c r="C18" s="145">
        <f>'[1]IGC Model'!AB24*10</f>
        <v>4.451675767879256</v>
      </c>
      <c r="D18" s="145">
        <f>'[1]IGC Model'!AC24*10</f>
        <v>1.6284834592362338</v>
      </c>
      <c r="E18" s="145">
        <v>0.54462576900631676</v>
      </c>
      <c r="F18" s="145">
        <v>0.54462576900631676</v>
      </c>
      <c r="G18" s="145">
        <f>'[1]IGC Model'!AF24*10</f>
        <v>2.7895727383852744</v>
      </c>
      <c r="H18" s="146">
        <f>(G18*[2]Sheet1!E$3)+(F18*(1-[2]Sheet1!E$3))</f>
        <v>1.6776962902827728</v>
      </c>
      <c r="L18" s="44"/>
      <c r="M18" s="37"/>
      <c r="N18" s="37"/>
      <c r="O18" s="47"/>
    </row>
    <row r="19" spans="1:23" x14ac:dyDescent="0.25">
      <c r="A19" s="69">
        <f>'RISK PREMIUM'!A20</f>
        <v>2037</v>
      </c>
      <c r="B19" s="145">
        <f>'[1]IGC Model'!AA25*10</f>
        <v>3.9093769130045253</v>
      </c>
      <c r="C19" s="145">
        <f>'[1]IGC Model'!AB25*10</f>
        <v>1.0024046698483056</v>
      </c>
      <c r="D19" s="145">
        <f>'[1]IGC Model'!AC25*10</f>
        <v>0.53744541063237194</v>
      </c>
      <c r="E19" s="145">
        <v>0.71059515445977184</v>
      </c>
      <c r="F19" s="145">
        <v>0.71059515445977184</v>
      </c>
      <c r="G19" s="145">
        <f>'[1]IGC Model'!AF25*10</f>
        <v>0.5858304164818271</v>
      </c>
      <c r="H19" s="146">
        <f>(G19*[2]Sheet1!E$3)+(F19*(1-[2]Sheet1!E$3))</f>
        <v>0.6476238466178329</v>
      </c>
      <c r="L19" s="44"/>
      <c r="M19" s="37"/>
      <c r="N19" s="37"/>
      <c r="O19" s="47"/>
    </row>
    <row r="20" spans="1:23" s="3" customFormat="1" ht="15.75" thickBot="1" x14ac:dyDescent="0.3">
      <c r="A20" s="69">
        <f>'RISK PREMIUM'!A21</f>
        <v>2038</v>
      </c>
      <c r="B20" s="145">
        <f>'[1]IGC Model'!AA26*10</f>
        <v>10.117415622034859</v>
      </c>
      <c r="C20" s="145">
        <f>'[1]IGC Model'!AB26*10</f>
        <v>1.71389922685913</v>
      </c>
      <c r="D20" s="145">
        <f>'[1]IGC Model'!AC26*10</f>
        <v>0.83166349779657378</v>
      </c>
      <c r="E20" s="145">
        <v>0.43826704722889515</v>
      </c>
      <c r="F20" s="145">
        <v>0.43826704722889515</v>
      </c>
      <c r="G20" s="145">
        <f>'[1]IGC Model'!AF26*10</f>
        <v>1.0537479968772527</v>
      </c>
      <c r="H20" s="146">
        <f>(G20*[2]Sheet1!E$3)+(F20*(1-[2]Sheet1!E$3))</f>
        <v>0.74891283528807451</v>
      </c>
      <c r="I20"/>
      <c r="J20" s="73"/>
      <c r="K20"/>
      <c r="L20" s="45"/>
      <c r="M20" s="37"/>
      <c r="N20" s="37"/>
      <c r="O20" s="49"/>
      <c r="P20"/>
      <c r="Q20"/>
      <c r="R20"/>
      <c r="S20"/>
      <c r="T20"/>
      <c r="U20"/>
      <c r="V20"/>
      <c r="W20"/>
    </row>
    <row r="21" spans="1:23" s="3" customFormat="1" ht="15.75" thickBot="1" x14ac:dyDescent="0.3">
      <c r="A21" s="69">
        <f>'RISK PREMIUM'!A22</f>
        <v>2039</v>
      </c>
      <c r="B21" s="145">
        <f>'[1]IGC Model'!AA27*10</f>
        <v>9.3843507570419575</v>
      </c>
      <c r="C21" s="145">
        <f>'[1]IGC Model'!AB27*10</f>
        <v>1.5473927288052018</v>
      </c>
      <c r="D21" s="145">
        <f>'[1]IGC Model'!AC27*10</f>
        <v>0.72092056890211342</v>
      </c>
      <c r="E21" s="145">
        <v>0.39816944110458269</v>
      </c>
      <c r="F21" s="145">
        <v>0.39816944110458269</v>
      </c>
      <c r="G21" s="145">
        <f>'[1]IGC Model'!AF27*10</f>
        <v>0.93398848516771427</v>
      </c>
      <c r="H21" s="146">
        <f>(G21*[2]Sheet1!E$3)+(F21*(1-[2]Sheet1!E$3))</f>
        <v>0.66860824070545644</v>
      </c>
      <c r="I21"/>
      <c r="J21" s="73"/>
      <c r="K21"/>
      <c r="L21" s="226"/>
      <c r="M21" s="227"/>
      <c r="N21" s="227"/>
      <c r="O21" s="49"/>
      <c r="P21"/>
      <c r="Q21"/>
      <c r="R21"/>
      <c r="S21"/>
      <c r="T21"/>
      <c r="U21"/>
      <c r="V21"/>
      <c r="W21"/>
    </row>
    <row r="22" spans="1:23" s="3" customFormat="1" x14ac:dyDescent="0.25">
      <c r="A22" s="69">
        <f>'RISK PREMIUM'!A23</f>
        <v>2040</v>
      </c>
      <c r="B22" s="145">
        <f>'[1]IGC Model'!AA28*10</f>
        <v>10.27840374224966</v>
      </c>
      <c r="C22" s="145">
        <f>'[1]IGC Model'!AB28*10</f>
        <v>1.3077368516571941</v>
      </c>
      <c r="D22" s="145">
        <f>'[1]IGC Model'!AC28*10</f>
        <v>0.63926968753161462</v>
      </c>
      <c r="E22" s="145">
        <v>0.27444211083750331</v>
      </c>
      <c r="F22" s="145">
        <v>0.27444211083750331</v>
      </c>
      <c r="G22" s="145">
        <f>'[1]IGC Model'!AF28*10</f>
        <v>0.85196910975980356</v>
      </c>
      <c r="H22" s="146">
        <f>(G22*[2]Sheet1!E$3)+(F22*(1-[2]Sheet1!E$3))</f>
        <v>0.5659317658920926</v>
      </c>
      <c r="I22"/>
      <c r="J22" s="73"/>
      <c r="K22"/>
      <c r="L22"/>
      <c r="M22"/>
      <c r="N22"/>
      <c r="O22"/>
      <c r="P22"/>
      <c r="Q22"/>
      <c r="R22"/>
      <c r="S22"/>
      <c r="T22"/>
      <c r="U22"/>
      <c r="V22"/>
    </row>
    <row r="23" spans="1:23" s="3" customFormat="1" x14ac:dyDescent="0.25">
      <c r="A23" s="69">
        <f>'RISK PREMIUM'!A24</f>
        <v>2041</v>
      </c>
      <c r="B23" s="145">
        <f>'[1]IGC Model'!AA29*10</f>
        <v>0</v>
      </c>
      <c r="C23" s="145">
        <f>'[1]IGC Model'!AB29*10</f>
        <v>0</v>
      </c>
      <c r="D23" s="145">
        <f>'[1]IGC Model'!AC29*10</f>
        <v>18.420884672680657</v>
      </c>
      <c r="E23" s="145">
        <v>0.3252164955160558</v>
      </c>
      <c r="F23" s="145">
        <v>0.3252164955160558</v>
      </c>
      <c r="G23" s="145">
        <f>'[1]IGC Model'!AF29*10</f>
        <v>40.100673052112263</v>
      </c>
      <c r="H23" s="146">
        <f>(G23*[2]Sheet1!E$3)+(F23*(1-[2]Sheet1!E$3))</f>
        <v>20.400700642502041</v>
      </c>
      <c r="I23"/>
      <c r="J23" s="73"/>
      <c r="K23"/>
      <c r="L23"/>
      <c r="M23"/>
      <c r="N23"/>
      <c r="O23"/>
      <c r="P23"/>
      <c r="Q23"/>
      <c r="R23"/>
      <c r="S23"/>
      <c r="T23"/>
      <c r="U23"/>
      <c r="V23"/>
      <c r="W23"/>
    </row>
    <row r="24" spans="1:23" s="3" customFormat="1" ht="15.75" thickBot="1" x14ac:dyDescent="0.3">
      <c r="A24" s="59">
        <f>'RISK PREMIUM'!A25</f>
        <v>2042</v>
      </c>
      <c r="B24" s="147">
        <f>'[1]IGC Model'!AA30*10</f>
        <v>10.425654402470755</v>
      </c>
      <c r="C24" s="147">
        <f>'[1]IGC Model'!AB30*10</f>
        <v>1.5482663411246964</v>
      </c>
      <c r="D24" s="147">
        <f>'[1]IGC Model'!AC30*10</f>
        <v>0.7069694824204692</v>
      </c>
      <c r="E24" s="147">
        <v>0.44283477329651638</v>
      </c>
      <c r="F24" s="147">
        <v>0.44283477329651638</v>
      </c>
      <c r="G24" s="147">
        <f>'[1]IGC Model'!AF30*10</f>
        <v>0.94181212950765469</v>
      </c>
      <c r="H24" s="148">
        <f>(G24*[2]Sheet1!E$3)+(F24*(1-[2]Sheet1!E$3))</f>
        <v>0.69467882165000971</v>
      </c>
      <c r="I24"/>
      <c r="J24" s="73"/>
      <c r="K24"/>
      <c r="L24"/>
      <c r="M24"/>
      <c r="N24"/>
      <c r="O24"/>
      <c r="P24"/>
      <c r="Q24"/>
      <c r="R24"/>
      <c r="S24"/>
      <c r="T24"/>
      <c r="U24"/>
      <c r="V24"/>
      <c r="W24"/>
    </row>
    <row r="25" spans="1:23" s="3" customFormat="1" ht="15.75" thickBot="1" x14ac:dyDescent="0.3">
      <c r="A25"/>
      <c r="B25"/>
      <c r="C25"/>
      <c r="D25"/>
      <c r="E25"/>
      <c r="F25"/>
      <c r="G25"/>
      <c r="H25"/>
      <c r="I25"/>
      <c r="J25" s="73"/>
      <c r="K25"/>
      <c r="L25"/>
      <c r="M25"/>
      <c r="N25"/>
      <c r="O25"/>
      <c r="P25"/>
      <c r="Q25"/>
      <c r="R25"/>
      <c r="S25"/>
      <c r="T25"/>
      <c r="U25"/>
      <c r="V25"/>
      <c r="W25"/>
    </row>
    <row r="26" spans="1:23" s="3" customFormat="1" ht="14.45" customHeight="1" x14ac:dyDescent="0.25">
      <c r="A26" s="192"/>
      <c r="B26" s="193"/>
      <c r="C26" s="193"/>
      <c r="D26" s="193"/>
      <c r="E26" s="198"/>
      <c r="F26"/>
      <c r="G26"/>
      <c r="H26"/>
      <c r="I26"/>
      <c r="J26" s="73"/>
      <c r="K26"/>
      <c r="L26"/>
      <c r="M26"/>
      <c r="N26"/>
      <c r="O26"/>
      <c r="P26"/>
      <c r="Q26"/>
      <c r="R26"/>
      <c r="S26"/>
      <c r="T26"/>
      <c r="U26"/>
      <c r="V26"/>
      <c r="W26"/>
    </row>
    <row r="27" spans="1:23" ht="14.45" customHeight="1" x14ac:dyDescent="0.25">
      <c r="A27" s="194"/>
      <c r="B27" s="195"/>
      <c r="C27" s="195"/>
      <c r="D27" s="195"/>
      <c r="E27" s="199"/>
    </row>
    <row r="28" spans="1:23" ht="15" customHeight="1" x14ac:dyDescent="0.25">
      <c r="A28" s="194"/>
      <c r="B28" s="195"/>
      <c r="C28" s="195"/>
      <c r="D28" s="195"/>
      <c r="E28" s="199"/>
    </row>
    <row r="29" spans="1:23" x14ac:dyDescent="0.25">
      <c r="A29" s="12"/>
      <c r="B29" s="12"/>
      <c r="C29" s="12"/>
      <c r="D29" s="226"/>
      <c r="E29" s="230"/>
    </row>
    <row r="30" spans="1:23" x14ac:dyDescent="0.25">
      <c r="A30" s="54"/>
      <c r="B30" s="37"/>
      <c r="C30" s="37"/>
      <c r="D30" s="231"/>
      <c r="E30" s="232"/>
    </row>
    <row r="31" spans="1:23" x14ac:dyDescent="0.25">
      <c r="A31" s="46"/>
      <c r="B31" s="37"/>
      <c r="C31" s="37"/>
      <c r="D31" s="231"/>
      <c r="E31" s="232"/>
    </row>
    <row r="32" spans="1:23" x14ac:dyDescent="0.25">
      <c r="A32" s="54"/>
      <c r="B32" s="37"/>
      <c r="C32" s="37"/>
      <c r="D32" s="231"/>
      <c r="E32" s="232"/>
    </row>
    <row r="33" spans="1:5" x14ac:dyDescent="0.25">
      <c r="A33" s="54"/>
      <c r="B33" s="37"/>
      <c r="C33" s="37"/>
      <c r="D33" s="231"/>
      <c r="E33" s="232"/>
    </row>
    <row r="34" spans="1:5" x14ac:dyDescent="0.25">
      <c r="A34" s="54"/>
      <c r="B34" s="37"/>
      <c r="C34" s="37"/>
      <c r="D34" s="231"/>
      <c r="E34" s="232"/>
    </row>
    <row r="35" spans="1:5" x14ac:dyDescent="0.25">
      <c r="A35" s="54"/>
      <c r="B35" s="37"/>
      <c r="C35" s="37"/>
      <c r="D35" s="231"/>
      <c r="E35" s="232"/>
    </row>
    <row r="36" spans="1:5" x14ac:dyDescent="0.25">
      <c r="A36" s="54"/>
      <c r="B36" s="37"/>
      <c r="C36" s="37"/>
      <c r="D36" s="231"/>
      <c r="E36" s="232"/>
    </row>
    <row r="37" spans="1:5" x14ac:dyDescent="0.25">
      <c r="A37" s="54"/>
      <c r="B37" s="37"/>
      <c r="C37" s="37"/>
      <c r="D37" s="231"/>
      <c r="E37" s="232"/>
    </row>
    <row r="38" spans="1:5" x14ac:dyDescent="0.25">
      <c r="A38" s="54"/>
      <c r="B38" s="37"/>
      <c r="C38" s="37"/>
      <c r="D38" s="231"/>
      <c r="E38" s="232"/>
    </row>
    <row r="39" spans="1:5" ht="15.75" thickBot="1" x14ac:dyDescent="0.3">
      <c r="A39" s="45"/>
      <c r="B39" s="37"/>
      <c r="C39" s="37"/>
      <c r="D39" s="231"/>
      <c r="E39" s="232"/>
    </row>
    <row r="40" spans="1:5" ht="15.75" thickBot="1" x14ac:dyDescent="0.3">
      <c r="A40" s="228"/>
      <c r="B40" s="229"/>
      <c r="C40" s="229"/>
      <c r="D40" s="233"/>
      <c r="E40" s="234"/>
    </row>
    <row r="41" spans="1:5" x14ac:dyDescent="0.25">
      <c r="D41" s="235"/>
      <c r="E41" s="235"/>
    </row>
  </sheetData>
  <mergeCells count="18">
    <mergeCell ref="D40:E40"/>
    <mergeCell ref="D41:E41"/>
    <mergeCell ref="A1:H3"/>
    <mergeCell ref="L7:O9"/>
    <mergeCell ref="L21:N21"/>
    <mergeCell ref="A40:C40"/>
    <mergeCell ref="D29:E29"/>
    <mergeCell ref="A26:E28"/>
    <mergeCell ref="D30:E30"/>
    <mergeCell ref="D31:E31"/>
    <mergeCell ref="D32:E32"/>
    <mergeCell ref="D33:E33"/>
    <mergeCell ref="D34:E34"/>
    <mergeCell ref="D35:E35"/>
    <mergeCell ref="D36:E36"/>
    <mergeCell ref="D37:E37"/>
    <mergeCell ref="D38:E38"/>
    <mergeCell ref="D39:E39"/>
  </mergeCells>
  <pageMargins left="0.7" right="0.7" top="0.75" bottom="0.75" header="0.3" footer="0.3"/>
  <pageSetup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A3415-32AE-46D4-A5B7-6FF030C70C0B}">
  <sheetPr>
    <tabColor rgb="FF00B0F0"/>
  </sheetPr>
  <dimension ref="A1:R25"/>
  <sheetViews>
    <sheetView tabSelected="1" view="pageBreakPreview" zoomScale="60" zoomScaleNormal="100" workbookViewId="0">
      <selection sqref="A1:B3"/>
    </sheetView>
  </sheetViews>
  <sheetFormatPr defaultRowHeight="15" x14ac:dyDescent="0.25"/>
  <cols>
    <col min="2" max="2" width="15.5703125" bestFit="1" customWidth="1"/>
    <col min="3" max="7" width="8.7109375" style="73"/>
  </cols>
  <sheetData>
    <row r="1" spans="1:18" s="40" customFormat="1" ht="15" customHeight="1" x14ac:dyDescent="0.35">
      <c r="A1" s="212" t="s">
        <v>60</v>
      </c>
      <c r="B1" s="214"/>
      <c r="C1" s="243"/>
      <c r="D1" s="243"/>
      <c r="E1" s="243"/>
      <c r="F1" s="243"/>
      <c r="G1" s="243"/>
      <c r="H1" s="244"/>
    </row>
    <row r="2" spans="1:18" s="40" customFormat="1" ht="15" customHeight="1" x14ac:dyDescent="0.35">
      <c r="A2" s="220"/>
      <c r="B2" s="222"/>
      <c r="C2" s="143"/>
      <c r="D2" s="143"/>
      <c r="E2" s="143"/>
      <c r="F2" s="143"/>
      <c r="G2" s="143"/>
      <c r="H2" s="247"/>
    </row>
    <row r="3" spans="1:18" s="40" customFormat="1" ht="15.75" customHeight="1" thickBot="1" x14ac:dyDescent="0.4">
      <c r="A3" s="215"/>
      <c r="B3" s="217"/>
      <c r="C3" s="245"/>
      <c r="D3" s="245"/>
      <c r="E3" s="245"/>
      <c r="F3" s="245"/>
      <c r="G3" s="245"/>
      <c r="H3" s="246"/>
    </row>
    <row r="4" spans="1:18" ht="28.5" customHeight="1" x14ac:dyDescent="0.25">
      <c r="A4" s="67"/>
      <c r="B4" s="68" t="s">
        <v>33</v>
      </c>
      <c r="C4" s="149"/>
      <c r="D4" s="236" t="s">
        <v>58</v>
      </c>
      <c r="E4" s="237"/>
      <c r="F4" s="149"/>
      <c r="G4" s="236" t="s">
        <v>59</v>
      </c>
      <c r="H4" s="237"/>
    </row>
    <row r="5" spans="1:18" x14ac:dyDescent="0.25">
      <c r="A5" s="69" t="s">
        <v>45</v>
      </c>
      <c r="B5" s="70" t="s">
        <v>60</v>
      </c>
      <c r="C5" s="150"/>
      <c r="D5" s="140" t="s">
        <v>45</v>
      </c>
      <c r="E5" s="141" t="s">
        <v>6</v>
      </c>
      <c r="F5" s="150"/>
      <c r="G5" s="140" t="s">
        <v>45</v>
      </c>
      <c r="H5" s="141" t="s">
        <v>6</v>
      </c>
      <c r="I5" s="30"/>
      <c r="J5" s="30"/>
    </row>
    <row r="6" spans="1:18" x14ac:dyDescent="0.25">
      <c r="A6" s="69">
        <f>'CARBON TAX'!A6</f>
        <v>2023</v>
      </c>
      <c r="B6" s="70">
        <v>-1.0347854911538334E-2</v>
      </c>
      <c r="C6" s="150"/>
      <c r="D6" s="14">
        <v>2019</v>
      </c>
      <c r="E6" s="8">
        <v>0</v>
      </c>
      <c r="F6" s="150"/>
      <c r="G6" s="14">
        <v>2019</v>
      </c>
      <c r="H6" s="8">
        <v>0</v>
      </c>
      <c r="Q6" s="30"/>
      <c r="R6" s="30"/>
    </row>
    <row r="7" spans="1:18" x14ac:dyDescent="0.25">
      <c r="A7" s="69">
        <f>A6+1</f>
        <v>2024</v>
      </c>
      <c r="B7" s="70">
        <v>-1.1026906776102852E-2</v>
      </c>
      <c r="C7" s="150"/>
      <c r="D7" s="14">
        <v>2020</v>
      </c>
      <c r="E7" s="8">
        <v>0</v>
      </c>
      <c r="F7" s="150"/>
      <c r="G7" s="14">
        <v>2020</v>
      </c>
      <c r="H7" s="8">
        <v>0</v>
      </c>
      <c r="Q7" s="30"/>
      <c r="R7" s="30"/>
    </row>
    <row r="8" spans="1:18" x14ac:dyDescent="0.25">
      <c r="A8" s="69">
        <f t="shared" ref="A8:A25" si="0">A7+1</f>
        <v>2025</v>
      </c>
      <c r="B8" s="70">
        <v>-1.7865488834710463E-2</v>
      </c>
      <c r="C8" s="150"/>
      <c r="D8" s="14">
        <v>2021</v>
      </c>
      <c r="E8" s="8">
        <v>0</v>
      </c>
      <c r="F8" s="150"/>
      <c r="G8" s="14">
        <v>2021</v>
      </c>
      <c r="H8" s="8">
        <v>0</v>
      </c>
    </row>
    <row r="9" spans="1:18" x14ac:dyDescent="0.25">
      <c r="A9" s="69">
        <f t="shared" si="0"/>
        <v>2026</v>
      </c>
      <c r="B9" s="70">
        <v>-1.3067388231071942E-2</v>
      </c>
      <c r="C9" s="150"/>
      <c r="D9" s="14">
        <v>2022</v>
      </c>
      <c r="E9" s="8">
        <v>0</v>
      </c>
      <c r="F9" s="150"/>
      <c r="G9" s="14">
        <v>2022</v>
      </c>
      <c r="H9" s="8">
        <v>0</v>
      </c>
    </row>
    <row r="10" spans="1:18" x14ac:dyDescent="0.25">
      <c r="A10" s="69">
        <f t="shared" si="0"/>
        <v>2027</v>
      </c>
      <c r="B10" s="70">
        <v>7.6138853655001166E-4</v>
      </c>
      <c r="C10" s="150"/>
      <c r="D10" s="14">
        <v>2023</v>
      </c>
      <c r="E10" s="8">
        <v>0</v>
      </c>
      <c r="F10" s="150"/>
      <c r="G10" s="14">
        <v>2023</v>
      </c>
      <c r="H10" s="8">
        <v>0</v>
      </c>
    </row>
    <row r="11" spans="1:18" x14ac:dyDescent="0.25">
      <c r="A11" s="69">
        <f t="shared" si="0"/>
        <v>2028</v>
      </c>
      <c r="B11" s="70">
        <v>1.3589425881877082E-2</v>
      </c>
      <c r="C11" s="150"/>
      <c r="D11" s="14">
        <v>2024</v>
      </c>
      <c r="E11" s="8">
        <v>0</v>
      </c>
      <c r="F11" s="150"/>
      <c r="G11" s="14">
        <v>2024</v>
      </c>
      <c r="H11" s="8">
        <v>0</v>
      </c>
    </row>
    <row r="12" spans="1:18" x14ac:dyDescent="0.25">
      <c r="A12" s="69">
        <f t="shared" si="0"/>
        <v>2029</v>
      </c>
      <c r="B12" s="70">
        <v>4.6481654499358573E-2</v>
      </c>
      <c r="C12" s="150"/>
      <c r="D12" s="14">
        <v>2025</v>
      </c>
      <c r="E12" s="8">
        <v>0</v>
      </c>
      <c r="F12" s="150"/>
      <c r="G12" s="14">
        <v>2025</v>
      </c>
      <c r="H12" s="8">
        <v>0</v>
      </c>
    </row>
    <row r="13" spans="1:18" x14ac:dyDescent="0.25">
      <c r="A13" s="69">
        <f t="shared" si="0"/>
        <v>2030</v>
      </c>
      <c r="B13" s="70">
        <v>7.7069484372262395E-2</v>
      </c>
      <c r="C13" s="150"/>
      <c r="D13" s="14">
        <v>2026</v>
      </c>
      <c r="E13" s="8">
        <v>0</v>
      </c>
      <c r="F13" s="150"/>
      <c r="G13" s="14">
        <v>2026</v>
      </c>
      <c r="H13" s="8">
        <v>0</v>
      </c>
    </row>
    <row r="14" spans="1:18" x14ac:dyDescent="0.25">
      <c r="A14" s="69">
        <f t="shared" si="0"/>
        <v>2031</v>
      </c>
      <c r="B14" s="70">
        <v>0.17457926477797975</v>
      </c>
      <c r="C14" s="150"/>
      <c r="D14" s="14">
        <v>2027</v>
      </c>
      <c r="E14" s="8">
        <v>0</v>
      </c>
      <c r="F14" s="150"/>
      <c r="G14" s="14">
        <v>2027</v>
      </c>
      <c r="H14" s="8">
        <v>0</v>
      </c>
    </row>
    <row r="15" spans="1:18" x14ac:dyDescent="0.25">
      <c r="A15" s="69">
        <f t="shared" si="0"/>
        <v>2032</v>
      </c>
      <c r="B15" s="70">
        <v>0.23896011087867786</v>
      </c>
      <c r="C15" s="150"/>
      <c r="D15" s="14">
        <v>2028</v>
      </c>
      <c r="E15" s="8">
        <v>0</v>
      </c>
      <c r="F15" s="150"/>
      <c r="G15" s="14">
        <v>2028</v>
      </c>
      <c r="H15" s="8">
        <v>0</v>
      </c>
    </row>
    <row r="16" spans="1:18" x14ac:dyDescent="0.25">
      <c r="A16" s="69">
        <f t="shared" si="0"/>
        <v>2033</v>
      </c>
      <c r="B16" s="70">
        <v>0.20391112754352</v>
      </c>
      <c r="C16" s="150"/>
      <c r="D16" s="14">
        <v>2029</v>
      </c>
      <c r="E16" s="8">
        <v>0</v>
      </c>
      <c r="F16" s="150"/>
      <c r="G16" s="14">
        <v>2029</v>
      </c>
      <c r="H16" s="8">
        <v>0</v>
      </c>
    </row>
    <row r="17" spans="1:8" x14ac:dyDescent="0.25">
      <c r="A17" s="69">
        <f t="shared" si="0"/>
        <v>2034</v>
      </c>
      <c r="B17" s="70">
        <v>0.14571343863219996</v>
      </c>
      <c r="C17" s="150"/>
      <c r="D17" s="14">
        <v>2030</v>
      </c>
      <c r="E17" s="8">
        <v>0</v>
      </c>
      <c r="F17" s="150"/>
      <c r="G17" s="14">
        <v>2030</v>
      </c>
      <c r="H17" s="8">
        <v>0</v>
      </c>
    </row>
    <row r="18" spans="1:8" x14ac:dyDescent="0.25">
      <c r="A18" s="69">
        <f t="shared" si="0"/>
        <v>2035</v>
      </c>
      <c r="B18" s="70">
        <v>0.12548733939280673</v>
      </c>
      <c r="C18" s="150"/>
      <c r="D18" s="14">
        <v>2031</v>
      </c>
      <c r="E18" s="8">
        <v>0</v>
      </c>
      <c r="F18" s="150"/>
      <c r="G18" s="14">
        <v>2031</v>
      </c>
      <c r="H18" s="8">
        <v>0</v>
      </c>
    </row>
    <row r="19" spans="1:8" x14ac:dyDescent="0.25">
      <c r="A19" s="69">
        <f t="shared" si="0"/>
        <v>2036</v>
      </c>
      <c r="B19" s="70">
        <v>0.25584241067129632</v>
      </c>
      <c r="C19" s="150"/>
      <c r="D19" s="14">
        <v>2032</v>
      </c>
      <c r="E19" s="8">
        <v>0</v>
      </c>
      <c r="F19" s="150"/>
      <c r="G19" s="14">
        <v>2032</v>
      </c>
      <c r="H19" s="8">
        <v>0</v>
      </c>
    </row>
    <row r="20" spans="1:8" x14ac:dyDescent="0.25">
      <c r="A20" s="69">
        <f t="shared" si="0"/>
        <v>2037</v>
      </c>
      <c r="B20" s="70">
        <v>0.23509580963646354</v>
      </c>
      <c r="C20" s="150"/>
      <c r="D20" s="14">
        <v>2033</v>
      </c>
      <c r="E20" s="8">
        <v>0</v>
      </c>
      <c r="F20" s="150"/>
      <c r="G20" s="14">
        <v>2033</v>
      </c>
      <c r="H20" s="8">
        <v>0</v>
      </c>
    </row>
    <row r="21" spans="1:8" x14ac:dyDescent="0.25">
      <c r="A21" s="69">
        <f t="shared" si="0"/>
        <v>2038</v>
      </c>
      <c r="B21" s="70">
        <v>0.16790546271026502</v>
      </c>
      <c r="C21" s="150"/>
      <c r="D21" s="14">
        <v>2034</v>
      </c>
      <c r="E21" s="8">
        <v>0</v>
      </c>
      <c r="F21" s="150"/>
      <c r="G21" s="14">
        <v>2034</v>
      </c>
      <c r="H21" s="8">
        <v>0</v>
      </c>
    </row>
    <row r="22" spans="1:8" x14ac:dyDescent="0.25">
      <c r="A22" s="69">
        <f t="shared" si="0"/>
        <v>2039</v>
      </c>
      <c r="B22" s="70">
        <v>0.22476422372749688</v>
      </c>
      <c r="C22" s="150"/>
      <c r="D22" s="14">
        <v>2035</v>
      </c>
      <c r="E22" s="8">
        <v>0</v>
      </c>
      <c r="F22" s="150"/>
      <c r="G22" s="14">
        <v>2035</v>
      </c>
      <c r="H22" s="8">
        <v>0</v>
      </c>
    </row>
    <row r="23" spans="1:8" x14ac:dyDescent="0.25">
      <c r="A23" s="69">
        <f t="shared" si="0"/>
        <v>2040</v>
      </c>
      <c r="B23" s="70">
        <v>0.2631227899526607</v>
      </c>
      <c r="C23" s="150"/>
      <c r="D23" s="14">
        <v>2036</v>
      </c>
      <c r="E23" s="8">
        <v>0</v>
      </c>
      <c r="F23" s="150"/>
      <c r="G23" s="14">
        <v>2036</v>
      </c>
      <c r="H23" s="8">
        <v>0</v>
      </c>
    </row>
    <row r="24" spans="1:8" x14ac:dyDescent="0.25">
      <c r="A24" s="69">
        <f t="shared" si="0"/>
        <v>2041</v>
      </c>
      <c r="B24" s="70">
        <v>0.29575784013684231</v>
      </c>
      <c r="C24" s="150"/>
      <c r="D24" s="14">
        <v>2037</v>
      </c>
      <c r="E24" s="8">
        <v>0</v>
      </c>
      <c r="F24" s="150"/>
      <c r="G24" s="14">
        <v>2037</v>
      </c>
      <c r="H24" s="8">
        <v>0</v>
      </c>
    </row>
    <row r="25" spans="1:8" ht="15.75" thickBot="1" x14ac:dyDescent="0.3">
      <c r="A25" s="59">
        <f t="shared" si="0"/>
        <v>2042</v>
      </c>
      <c r="B25" s="71">
        <v>0.29575784013684231</v>
      </c>
      <c r="C25" s="151"/>
      <c r="D25" s="15">
        <v>2038</v>
      </c>
      <c r="E25" s="10">
        <v>0</v>
      </c>
      <c r="F25" s="151"/>
      <c r="G25" s="15">
        <v>2038</v>
      </c>
      <c r="H25" s="10">
        <v>0</v>
      </c>
    </row>
  </sheetData>
  <mergeCells count="3">
    <mergeCell ref="D4:E4"/>
    <mergeCell ref="G4:H4"/>
    <mergeCell ref="A1:B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D92A2-F2C9-43D0-AE51-C23C4EA4A693}">
  <sheetPr>
    <tabColor rgb="FF0070C0"/>
  </sheetPr>
  <dimension ref="A1:B51"/>
  <sheetViews>
    <sheetView view="pageBreakPreview" zoomScale="60" zoomScaleNormal="100" workbookViewId="0">
      <selection activeCell="A4" sqref="A4:B51"/>
    </sheetView>
  </sheetViews>
  <sheetFormatPr defaultRowHeight="15" x14ac:dyDescent="0.25"/>
  <cols>
    <col min="2" max="2" width="16.85546875" bestFit="1" customWidth="1"/>
  </cols>
  <sheetData>
    <row r="1" spans="1:2" s="40" customFormat="1" x14ac:dyDescent="0.25">
      <c r="A1" s="201" t="s">
        <v>150</v>
      </c>
      <c r="B1" s="201"/>
    </row>
    <row r="2" spans="1:2" s="40" customFormat="1" x14ac:dyDescent="0.25">
      <c r="A2" s="201"/>
      <c r="B2" s="201"/>
    </row>
    <row r="3" spans="1:2" s="40" customFormat="1" ht="15.75" thickBot="1" x14ac:dyDescent="0.3">
      <c r="A3" s="201"/>
      <c r="B3" s="201"/>
    </row>
    <row r="4" spans="1:2" x14ac:dyDescent="0.25">
      <c r="A4" s="81"/>
      <c r="B4" s="68" t="s">
        <v>33</v>
      </c>
    </row>
    <row r="5" spans="1:2" x14ac:dyDescent="0.25">
      <c r="A5" s="69" t="s">
        <v>45</v>
      </c>
      <c r="B5" s="70" t="s">
        <v>66</v>
      </c>
    </row>
    <row r="6" spans="1:2" x14ac:dyDescent="0.25">
      <c r="A6" s="69">
        <f>'CARBON TAX'!A6</f>
        <v>2023</v>
      </c>
      <c r="B6" s="152">
        <v>2.5019344854268735E-2</v>
      </c>
    </row>
    <row r="7" spans="1:2" x14ac:dyDescent="0.25">
      <c r="A7" s="69">
        <f>A6+1</f>
        <v>2024</v>
      </c>
      <c r="B7" s="152">
        <v>2.6505619862439159E-2</v>
      </c>
    </row>
    <row r="8" spans="1:2" x14ac:dyDescent="0.25">
      <c r="A8" s="69">
        <f t="shared" ref="A8:A51" si="0">A7+1</f>
        <v>2025</v>
      </c>
      <c r="B8" s="152">
        <v>2.8027455466579563E-2</v>
      </c>
    </row>
    <row r="9" spans="1:2" x14ac:dyDescent="0.25">
      <c r="A9" s="69">
        <f t="shared" si="0"/>
        <v>2026</v>
      </c>
      <c r="B9" s="152">
        <v>2.9329941975995529E-2</v>
      </c>
    </row>
    <row r="10" spans="1:2" x14ac:dyDescent="0.25">
      <c r="A10" s="69">
        <f t="shared" si="0"/>
        <v>2027</v>
      </c>
      <c r="B10" s="152">
        <v>3.0501930501930414E-2</v>
      </c>
    </row>
    <row r="11" spans="1:2" x14ac:dyDescent="0.25">
      <c r="A11" s="69">
        <f t="shared" si="0"/>
        <v>2028</v>
      </c>
      <c r="B11" s="152">
        <v>3.1322592731360115E-2</v>
      </c>
    </row>
    <row r="12" spans="1:2" x14ac:dyDescent="0.25">
      <c r="A12" s="69">
        <f t="shared" si="0"/>
        <v>2029</v>
      </c>
      <c r="B12" s="152">
        <v>3.2115091186514684E-2</v>
      </c>
    </row>
    <row r="13" spans="1:2" x14ac:dyDescent="0.25">
      <c r="A13" s="69">
        <f t="shared" si="0"/>
        <v>2030</v>
      </c>
      <c r="B13" s="152">
        <v>3.2734952481520425E-2</v>
      </c>
    </row>
    <row r="14" spans="1:2" x14ac:dyDescent="0.25">
      <c r="A14" s="69">
        <f t="shared" si="0"/>
        <v>2031</v>
      </c>
      <c r="B14" s="152">
        <v>3.299250170415817E-2</v>
      </c>
    </row>
    <row r="15" spans="1:2" x14ac:dyDescent="0.25">
      <c r="A15" s="69">
        <f t="shared" si="0"/>
        <v>2032</v>
      </c>
      <c r="B15" s="152">
        <v>3.3258545598521982E-2</v>
      </c>
    </row>
    <row r="16" spans="1:2" x14ac:dyDescent="0.25">
      <c r="A16" s="69">
        <f t="shared" si="0"/>
        <v>2033</v>
      </c>
      <c r="B16" s="152">
        <v>3.3465321241537747E-2</v>
      </c>
    </row>
    <row r="17" spans="1:2" x14ac:dyDescent="0.25">
      <c r="A17" s="69">
        <f t="shared" si="0"/>
        <v>2034</v>
      </c>
      <c r="B17" s="152">
        <v>3.3617599802249397E-2</v>
      </c>
    </row>
    <row r="18" spans="1:2" x14ac:dyDescent="0.25">
      <c r="A18" s="69">
        <f t="shared" si="0"/>
        <v>2035</v>
      </c>
      <c r="B18" s="152">
        <v>3.3719956953246533E-2</v>
      </c>
    </row>
    <row r="19" spans="1:2" x14ac:dyDescent="0.25">
      <c r="A19" s="69">
        <f t="shared" si="0"/>
        <v>2036</v>
      </c>
      <c r="B19" s="152">
        <v>3.3776749566223271E-2</v>
      </c>
    </row>
    <row r="20" spans="1:2" x14ac:dyDescent="0.25">
      <c r="A20" s="69">
        <f t="shared" si="0"/>
        <v>2037</v>
      </c>
      <c r="B20" s="152">
        <v>3.3959941814926668E-2</v>
      </c>
    </row>
    <row r="21" spans="1:2" x14ac:dyDescent="0.25">
      <c r="A21" s="69">
        <f t="shared" si="0"/>
        <v>2038</v>
      </c>
      <c r="B21" s="152">
        <v>3.3980845192359728E-2</v>
      </c>
    </row>
    <row r="22" spans="1:2" x14ac:dyDescent="0.25">
      <c r="A22" s="69">
        <f t="shared" si="0"/>
        <v>2039</v>
      </c>
      <c r="B22" s="152">
        <v>3.4015385420482491E-2</v>
      </c>
    </row>
    <row r="23" spans="1:2" x14ac:dyDescent="0.25">
      <c r="A23" s="69">
        <f t="shared" si="0"/>
        <v>2040</v>
      </c>
      <c r="B23" s="152">
        <v>3.4060428159319749E-2</v>
      </c>
    </row>
    <row r="24" spans="1:2" x14ac:dyDescent="0.25">
      <c r="A24" s="69">
        <f t="shared" si="0"/>
        <v>2041</v>
      </c>
      <c r="B24" s="152">
        <v>3.4162098668754984E-2</v>
      </c>
    </row>
    <row r="25" spans="1:2" x14ac:dyDescent="0.25">
      <c r="A25" s="69">
        <f t="shared" si="0"/>
        <v>2042</v>
      </c>
      <c r="B25" s="152">
        <v>3.4122101277803969E-2</v>
      </c>
    </row>
    <row r="26" spans="1:2" x14ac:dyDescent="0.25">
      <c r="A26" s="69">
        <f t="shared" si="0"/>
        <v>2043</v>
      </c>
      <c r="B26" s="152">
        <v>3.4231842936250145E-2</v>
      </c>
    </row>
    <row r="27" spans="1:2" x14ac:dyDescent="0.25">
      <c r="A27" s="69">
        <f t="shared" si="0"/>
        <v>2044</v>
      </c>
      <c r="B27" s="152">
        <v>3.4205053320943361E-2</v>
      </c>
    </row>
    <row r="28" spans="1:2" x14ac:dyDescent="0.25">
      <c r="A28" s="69">
        <f t="shared" si="0"/>
        <v>2045</v>
      </c>
      <c r="B28" s="152">
        <v>3.4228991956186894E-2</v>
      </c>
    </row>
    <row r="29" spans="1:2" x14ac:dyDescent="0.25">
      <c r="A29" s="69">
        <f t="shared" si="0"/>
        <v>2046</v>
      </c>
      <c r="B29" s="152">
        <v>3.4254509349660768E-2</v>
      </c>
    </row>
    <row r="30" spans="1:2" x14ac:dyDescent="0.25">
      <c r="A30" s="69">
        <f t="shared" si="0"/>
        <v>2047</v>
      </c>
      <c r="B30" s="152">
        <v>3.4240000000000007E-2</v>
      </c>
    </row>
    <row r="31" spans="1:2" x14ac:dyDescent="0.25">
      <c r="A31" s="69">
        <f t="shared" si="0"/>
        <v>2048</v>
      </c>
      <c r="B31" s="152">
        <v>3.4228032178217911E-2</v>
      </c>
    </row>
    <row r="32" spans="1:2" x14ac:dyDescent="0.25">
      <c r="A32" s="69">
        <f t="shared" si="0"/>
        <v>2049</v>
      </c>
      <c r="B32" s="152">
        <v>3.4254515537937874E-2</v>
      </c>
    </row>
    <row r="33" spans="1:2" x14ac:dyDescent="0.25">
      <c r="A33" s="69">
        <f t="shared" si="0"/>
        <v>2050</v>
      </c>
      <c r="B33" s="152">
        <v>3.4240879343385135E-2</v>
      </c>
    </row>
    <row r="34" spans="1:2" x14ac:dyDescent="0.25">
      <c r="A34" s="69">
        <f t="shared" si="0"/>
        <v>2051</v>
      </c>
      <c r="B34" s="152">
        <f>B33</f>
        <v>3.4240879343385135E-2</v>
      </c>
    </row>
    <row r="35" spans="1:2" x14ac:dyDescent="0.25">
      <c r="A35" s="69">
        <f t="shared" si="0"/>
        <v>2052</v>
      </c>
      <c r="B35" s="152">
        <f t="shared" ref="B35:B51" si="1">B34</f>
        <v>3.4240879343385135E-2</v>
      </c>
    </row>
    <row r="36" spans="1:2" x14ac:dyDescent="0.25">
      <c r="A36" s="69">
        <f t="shared" si="0"/>
        <v>2053</v>
      </c>
      <c r="B36" s="152">
        <f t="shared" si="1"/>
        <v>3.4240879343385135E-2</v>
      </c>
    </row>
    <row r="37" spans="1:2" x14ac:dyDescent="0.25">
      <c r="A37" s="69">
        <f t="shared" si="0"/>
        <v>2054</v>
      </c>
      <c r="B37" s="152">
        <f t="shared" si="1"/>
        <v>3.4240879343385135E-2</v>
      </c>
    </row>
    <row r="38" spans="1:2" x14ac:dyDescent="0.25">
      <c r="A38" s="69">
        <f t="shared" si="0"/>
        <v>2055</v>
      </c>
      <c r="B38" s="152">
        <f t="shared" si="1"/>
        <v>3.4240879343385135E-2</v>
      </c>
    </row>
    <row r="39" spans="1:2" x14ac:dyDescent="0.25">
      <c r="A39" s="69">
        <f t="shared" si="0"/>
        <v>2056</v>
      </c>
      <c r="B39" s="152">
        <f t="shared" si="1"/>
        <v>3.4240879343385135E-2</v>
      </c>
    </row>
    <row r="40" spans="1:2" x14ac:dyDescent="0.25">
      <c r="A40" s="69">
        <f t="shared" si="0"/>
        <v>2057</v>
      </c>
      <c r="B40" s="152">
        <f t="shared" si="1"/>
        <v>3.4240879343385135E-2</v>
      </c>
    </row>
    <row r="41" spans="1:2" x14ac:dyDescent="0.25">
      <c r="A41" s="69">
        <f t="shared" si="0"/>
        <v>2058</v>
      </c>
      <c r="B41" s="152">
        <f t="shared" si="1"/>
        <v>3.4240879343385135E-2</v>
      </c>
    </row>
    <row r="42" spans="1:2" x14ac:dyDescent="0.25">
      <c r="A42" s="69">
        <f t="shared" si="0"/>
        <v>2059</v>
      </c>
      <c r="B42" s="152">
        <f t="shared" si="1"/>
        <v>3.4240879343385135E-2</v>
      </c>
    </row>
    <row r="43" spans="1:2" x14ac:dyDescent="0.25">
      <c r="A43" s="69">
        <f t="shared" si="0"/>
        <v>2060</v>
      </c>
      <c r="B43" s="152">
        <f t="shared" si="1"/>
        <v>3.4240879343385135E-2</v>
      </c>
    </row>
    <row r="44" spans="1:2" x14ac:dyDescent="0.25">
      <c r="A44" s="69">
        <f t="shared" si="0"/>
        <v>2061</v>
      </c>
      <c r="B44" s="152">
        <f t="shared" si="1"/>
        <v>3.4240879343385135E-2</v>
      </c>
    </row>
    <row r="45" spans="1:2" x14ac:dyDescent="0.25">
      <c r="A45" s="69">
        <f t="shared" si="0"/>
        <v>2062</v>
      </c>
      <c r="B45" s="152">
        <f t="shared" si="1"/>
        <v>3.4240879343385135E-2</v>
      </c>
    </row>
    <row r="46" spans="1:2" x14ac:dyDescent="0.25">
      <c r="A46" s="69">
        <f t="shared" si="0"/>
        <v>2063</v>
      </c>
      <c r="B46" s="152">
        <f t="shared" si="1"/>
        <v>3.4240879343385135E-2</v>
      </c>
    </row>
    <row r="47" spans="1:2" x14ac:dyDescent="0.25">
      <c r="A47" s="69">
        <f t="shared" si="0"/>
        <v>2064</v>
      </c>
      <c r="B47" s="152">
        <f t="shared" si="1"/>
        <v>3.4240879343385135E-2</v>
      </c>
    </row>
    <row r="48" spans="1:2" x14ac:dyDescent="0.25">
      <c r="A48" s="69">
        <f t="shared" si="0"/>
        <v>2065</v>
      </c>
      <c r="B48" s="152">
        <f t="shared" si="1"/>
        <v>3.4240879343385135E-2</v>
      </c>
    </row>
    <row r="49" spans="1:2" x14ac:dyDescent="0.25">
      <c r="A49" s="69">
        <f t="shared" si="0"/>
        <v>2066</v>
      </c>
      <c r="B49" s="152">
        <f t="shared" si="1"/>
        <v>3.4240879343385135E-2</v>
      </c>
    </row>
    <row r="50" spans="1:2" x14ac:dyDescent="0.25">
      <c r="A50" s="69">
        <f t="shared" si="0"/>
        <v>2067</v>
      </c>
      <c r="B50" s="152">
        <f t="shared" si="1"/>
        <v>3.4240879343385135E-2</v>
      </c>
    </row>
    <row r="51" spans="1:2" ht="15.75" thickBot="1" x14ac:dyDescent="0.3">
      <c r="A51" s="59">
        <f t="shared" si="0"/>
        <v>2068</v>
      </c>
      <c r="B51" s="153">
        <f t="shared" si="1"/>
        <v>3.4240879343385135E-2</v>
      </c>
    </row>
  </sheetData>
  <mergeCells count="1">
    <mergeCell ref="A1:B3"/>
  </mergeCells>
  <pageMargins left="0.7" right="0.7" top="0.75" bottom="0.75" header="0.3" footer="0.3"/>
  <pageSetup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A4158-F835-4426-887D-CF11E12984E0}">
  <sheetPr>
    <tabColor rgb="FF00B050"/>
  </sheetPr>
  <dimension ref="A1"/>
  <sheetViews>
    <sheetView workbookViewId="0">
      <selection sqref="A1:J48"/>
    </sheetView>
  </sheetViews>
  <sheetFormatPr defaultRowHeight="15" x14ac:dyDescent="0.25"/>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67FD1-87DB-4869-9411-16B771BC18FD}">
  <sheetPr>
    <tabColor rgb="FF00B050"/>
  </sheetPr>
  <dimension ref="A1:V51"/>
  <sheetViews>
    <sheetView view="pageBreakPreview" zoomScale="60" zoomScaleNormal="100" workbookViewId="0">
      <selection activeCell="M13" sqref="M13"/>
    </sheetView>
  </sheetViews>
  <sheetFormatPr defaultColWidth="8.7109375" defaultRowHeight="15" x14ac:dyDescent="0.25"/>
  <cols>
    <col min="1" max="4" width="8.7109375" style="40"/>
    <col min="5" max="5" width="8.42578125" style="40" customWidth="1"/>
    <col min="6" max="6" width="8.7109375" style="40"/>
    <col min="7" max="7" width="10.85546875" style="40" bestFit="1" customWidth="1"/>
    <col min="8" max="16384" width="8.7109375" style="40"/>
  </cols>
  <sheetData>
    <row r="1" spans="1:22" ht="14.45" customHeight="1" x14ac:dyDescent="0.25">
      <c r="A1" s="238" t="s">
        <v>197</v>
      </c>
      <c r="B1" s="238"/>
      <c r="C1" s="238"/>
      <c r="D1" s="238"/>
      <c r="E1" s="238"/>
      <c r="F1" s="238"/>
      <c r="G1" s="238"/>
      <c r="H1" s="238"/>
      <c r="J1" s="238" t="s">
        <v>197</v>
      </c>
      <c r="K1" s="238"/>
      <c r="L1" s="238"/>
      <c r="M1" s="238"/>
      <c r="N1" s="238"/>
      <c r="O1" s="238"/>
      <c r="P1" s="238"/>
      <c r="Q1" s="238"/>
    </row>
    <row r="2" spans="1:22" ht="14.45" customHeight="1" x14ac:dyDescent="0.25">
      <c r="A2" s="238"/>
      <c r="B2" s="238"/>
      <c r="C2" s="238"/>
      <c r="D2" s="238"/>
      <c r="E2" s="238"/>
      <c r="F2" s="238"/>
      <c r="G2" s="238"/>
      <c r="H2" s="238"/>
      <c r="J2" s="238"/>
      <c r="K2" s="238"/>
      <c r="L2" s="238"/>
      <c r="M2" s="238"/>
      <c r="N2" s="238"/>
      <c r="O2" s="238"/>
      <c r="P2" s="238"/>
      <c r="Q2" s="238"/>
    </row>
    <row r="3" spans="1:22" ht="14.45" customHeight="1" thickBot="1" x14ac:dyDescent="0.3">
      <c r="A3" s="239"/>
      <c r="B3" s="239"/>
      <c r="C3" s="239"/>
      <c r="D3" s="239"/>
      <c r="E3" s="239"/>
      <c r="F3" s="239"/>
      <c r="G3" s="239"/>
      <c r="H3" s="239"/>
      <c r="J3" s="239"/>
      <c r="K3" s="239"/>
      <c r="L3" s="239"/>
      <c r="M3" s="239"/>
      <c r="N3" s="239"/>
      <c r="O3" s="239"/>
      <c r="P3" s="239"/>
      <c r="Q3" s="239"/>
    </row>
    <row r="4" spans="1:22" ht="15.75" thickBot="1" x14ac:dyDescent="0.3">
      <c r="A4" s="40" t="s">
        <v>127</v>
      </c>
      <c r="J4" s="40" t="s">
        <v>198</v>
      </c>
    </row>
    <row r="5" spans="1:22" x14ac:dyDescent="0.25">
      <c r="A5" s="88"/>
      <c r="B5" s="53" t="s">
        <v>27</v>
      </c>
      <c r="C5" s="53" t="s">
        <v>28</v>
      </c>
      <c r="D5" s="53" t="s">
        <v>29</v>
      </c>
      <c r="E5" s="53" t="s">
        <v>30</v>
      </c>
      <c r="F5" s="53" t="s">
        <v>31</v>
      </c>
      <c r="G5" s="53" t="s">
        <v>32</v>
      </c>
      <c r="H5" s="53" t="s">
        <v>33</v>
      </c>
      <c r="J5" s="88"/>
      <c r="K5" s="53" t="s">
        <v>27</v>
      </c>
      <c r="L5" s="53" t="s">
        <v>28</v>
      </c>
      <c r="M5" s="53" t="s">
        <v>29</v>
      </c>
      <c r="N5" s="53" t="s">
        <v>30</v>
      </c>
      <c r="O5" s="53" t="s">
        <v>31</v>
      </c>
      <c r="P5" s="53" t="s">
        <v>32</v>
      </c>
      <c r="Q5" s="53" t="s">
        <v>33</v>
      </c>
      <c r="R5" s="171" t="s">
        <v>69</v>
      </c>
      <c r="S5" s="171"/>
      <c r="T5" s="171"/>
      <c r="U5" s="171"/>
      <c r="V5" s="172"/>
    </row>
    <row r="6" spans="1:22" x14ac:dyDescent="0.25">
      <c r="A6" s="53">
        <v>2021</v>
      </c>
      <c r="B6" s="53">
        <v>0.54579054939983362</v>
      </c>
      <c r="C6" s="53">
        <v>0.53682646826283542</v>
      </c>
      <c r="D6" s="53">
        <v>0.53843903829437068</v>
      </c>
      <c r="E6" s="53">
        <v>0.49930895811497089</v>
      </c>
      <c r="F6" s="53">
        <v>0.49930895811497089</v>
      </c>
      <c r="G6" s="53">
        <v>0.54497814376634834</v>
      </c>
      <c r="H6" s="53">
        <v>0.50961275853003696</v>
      </c>
      <c r="J6" s="53">
        <v>2021</v>
      </c>
      <c r="K6" s="53">
        <v>0.54579054939983362</v>
      </c>
      <c r="L6" s="53">
        <v>0.53682646826283542</v>
      </c>
      <c r="M6" s="53">
        <v>0.53843903829437068</v>
      </c>
      <c r="N6" s="53">
        <v>0.49930895811497089</v>
      </c>
      <c r="O6" s="53">
        <v>0.49930895811497089</v>
      </c>
      <c r="P6" s="53">
        <v>0.54497814376634834</v>
      </c>
      <c r="Q6" s="53">
        <v>0.50961275853003696</v>
      </c>
      <c r="R6" s="173"/>
      <c r="S6" s="173"/>
      <c r="T6" s="173"/>
      <c r="U6" s="173"/>
      <c r="V6" s="174"/>
    </row>
    <row r="7" spans="1:22" x14ac:dyDescent="0.25">
      <c r="A7" s="53">
        <v>2022</v>
      </c>
      <c r="B7" s="53">
        <v>0.51059933548542391</v>
      </c>
      <c r="C7" s="53">
        <v>0.50578586817684168</v>
      </c>
      <c r="D7" s="53">
        <v>0.50665324466557227</v>
      </c>
      <c r="E7" s="53">
        <v>0.47820933790684156</v>
      </c>
      <c r="F7" s="53">
        <v>0.47820933790684156</v>
      </c>
      <c r="G7" s="53">
        <v>0.51009109485339665</v>
      </c>
      <c r="H7" s="53">
        <v>0.48450842303041614</v>
      </c>
      <c r="J7" s="53">
        <v>2022</v>
      </c>
      <c r="K7" s="53">
        <v>0.49380980221027454</v>
      </c>
      <c r="L7" s="53">
        <v>0.48915461138959543</v>
      </c>
      <c r="M7" s="53">
        <v>0.4899934667945573</v>
      </c>
      <c r="N7" s="53">
        <v>0.46248485290797053</v>
      </c>
      <c r="O7" s="53">
        <v>0.46248485290797053</v>
      </c>
      <c r="P7" s="53">
        <v>0.49331827355260799</v>
      </c>
      <c r="Q7" s="53">
        <v>0.46857681144140823</v>
      </c>
      <c r="R7" s="175">
        <v>3.4000000000000002E-2</v>
      </c>
      <c r="S7" s="175"/>
      <c r="T7" s="175"/>
      <c r="U7" s="175"/>
      <c r="V7" s="176"/>
    </row>
    <row r="8" spans="1:22" ht="15.75" thickBot="1" x14ac:dyDescent="0.3">
      <c r="A8" s="53">
        <v>2023</v>
      </c>
      <c r="B8" s="53">
        <v>0.49308613770605569</v>
      </c>
      <c r="C8" s="53">
        <v>0.49073613207774142</v>
      </c>
      <c r="D8" s="53">
        <v>0.49115828702425307</v>
      </c>
      <c r="E8" s="53">
        <v>0.47035021605475763</v>
      </c>
      <c r="F8" s="53">
        <v>0.47035021605475763</v>
      </c>
      <c r="G8" s="53">
        <v>0.49275977997897069</v>
      </c>
      <c r="H8" s="53">
        <v>0.47408396639229106</v>
      </c>
      <c r="J8" s="53">
        <v>2023</v>
      </c>
      <c r="K8" s="53">
        <v>0.46119194739220065</v>
      </c>
      <c r="L8" s="53">
        <v>0.458993946699772</v>
      </c>
      <c r="M8" s="53">
        <v>0.45938879548377698</v>
      </c>
      <c r="N8" s="53">
        <v>0.43992664873485032</v>
      </c>
      <c r="O8" s="53">
        <v>0.43992664873485032</v>
      </c>
      <c r="P8" s="53">
        <v>0.46088669939557059</v>
      </c>
      <c r="Q8" s="53">
        <v>0.44341888965903109</v>
      </c>
      <c r="R8" s="177"/>
      <c r="S8" s="177"/>
      <c r="T8" s="177"/>
      <c r="U8" s="177"/>
      <c r="V8" s="178"/>
    </row>
    <row r="9" spans="1:22" ht="14.45" customHeight="1" x14ac:dyDescent="0.25">
      <c r="A9" s="53">
        <v>2024</v>
      </c>
      <c r="B9" s="53">
        <v>0.52975206151764076</v>
      </c>
      <c r="C9" s="53">
        <v>0.52636767182773758</v>
      </c>
      <c r="D9" s="53">
        <v>0.52698684581386046</v>
      </c>
      <c r="E9" s="53">
        <v>0.50422691930560126</v>
      </c>
      <c r="F9" s="53">
        <v>0.50422691930560126</v>
      </c>
      <c r="G9" s="53">
        <v>0.52936932979048268</v>
      </c>
      <c r="H9" s="53">
        <v>0.50889684291341186</v>
      </c>
      <c r="J9" s="53">
        <v>2024</v>
      </c>
      <c r="K9" s="53">
        <v>0.47919363318619984</v>
      </c>
      <c r="L9" s="53">
        <v>0.47613224256701747</v>
      </c>
      <c r="M9" s="53">
        <v>0.47669232388342542</v>
      </c>
      <c r="N9" s="53">
        <v>0.45610455713967968</v>
      </c>
      <c r="O9" s="53">
        <v>0.45610455713967968</v>
      </c>
      <c r="P9" s="53">
        <v>0.47884742857427798</v>
      </c>
      <c r="Q9" s="53">
        <v>0.46032879300941448</v>
      </c>
      <c r="R9" s="2"/>
      <c r="S9" s="2"/>
      <c r="T9" s="2"/>
      <c r="U9" s="2"/>
      <c r="V9" s="33"/>
    </row>
    <row r="10" spans="1:22" ht="15" customHeight="1" x14ac:dyDescent="0.25">
      <c r="A10" s="53">
        <v>2025</v>
      </c>
      <c r="B10" s="53">
        <v>0.58064044454097197</v>
      </c>
      <c r="C10" s="53">
        <v>0.57555256076915151</v>
      </c>
      <c r="D10" s="53">
        <v>0.57648118343095578</v>
      </c>
      <c r="E10" s="53">
        <v>0.55147795776697239</v>
      </c>
      <c r="F10" s="53">
        <v>0.55147795776697239</v>
      </c>
      <c r="G10" s="53">
        <v>0.58010581010971107</v>
      </c>
      <c r="H10" s="53">
        <v>0.55732696297734097</v>
      </c>
      <c r="J10" s="53">
        <v>2025</v>
      </c>
      <c r="K10" s="53">
        <v>0.50795486983503635</v>
      </c>
      <c r="L10" s="53">
        <v>0.50350389615011848</v>
      </c>
      <c r="M10" s="53">
        <v>0.50431627222163999</v>
      </c>
      <c r="N10" s="53">
        <v>0.4824429935738786</v>
      </c>
      <c r="O10" s="53">
        <v>0.4824429935738786</v>
      </c>
      <c r="P10" s="53">
        <v>0.50748716186620002</v>
      </c>
      <c r="Q10" s="53">
        <v>0.48755981019977856</v>
      </c>
      <c r="R10" s="179" t="s">
        <v>71</v>
      </c>
      <c r="S10" s="179"/>
      <c r="T10" s="179"/>
      <c r="U10" s="179"/>
      <c r="V10" s="180"/>
    </row>
    <row r="11" spans="1:22" x14ac:dyDescent="0.25">
      <c r="A11" s="53">
        <v>2026</v>
      </c>
      <c r="B11" s="53">
        <v>0.62024472703897071</v>
      </c>
      <c r="C11" s="53">
        <v>0.61468277343343458</v>
      </c>
      <c r="D11" s="53">
        <v>0.61567629079342701</v>
      </c>
      <c r="E11" s="53">
        <v>0.59005926927320562</v>
      </c>
      <c r="F11" s="53">
        <v>0.59005926927320562</v>
      </c>
      <c r="G11" s="53">
        <v>0.61968266371618452</v>
      </c>
      <c r="H11" s="53">
        <v>0.59633855354593979</v>
      </c>
      <c r="J11" s="53">
        <v>2026</v>
      </c>
      <c r="K11" s="53">
        <v>0.52475959359655677</v>
      </c>
      <c r="L11" s="53">
        <v>0.52005388891837634</v>
      </c>
      <c r="M11" s="53">
        <v>0.52089445675125368</v>
      </c>
      <c r="N11" s="53">
        <v>0.49922111199541669</v>
      </c>
      <c r="O11" s="53">
        <v>0.49922111199541669</v>
      </c>
      <c r="P11" s="53">
        <v>0.52428405852470072</v>
      </c>
      <c r="Q11" s="53">
        <v>0.50453371606827679</v>
      </c>
      <c r="R11" s="179"/>
      <c r="S11" s="179"/>
      <c r="T11" s="179"/>
      <c r="U11" s="179"/>
      <c r="V11" s="180"/>
    </row>
    <row r="12" spans="1:22" x14ac:dyDescent="0.25">
      <c r="A12" s="53">
        <v>2027</v>
      </c>
      <c r="B12" s="53">
        <v>0.65425393659466358</v>
      </c>
      <c r="C12" s="53">
        <v>0.64911713276080518</v>
      </c>
      <c r="D12" s="53">
        <v>0.65002706461013293</v>
      </c>
      <c r="E12" s="53">
        <v>0.62502974461715088</v>
      </c>
      <c r="F12" s="53">
        <v>0.62502974461715088</v>
      </c>
      <c r="G12" s="53">
        <v>0.65372382991372191</v>
      </c>
      <c r="H12" s="53">
        <v>0.63096670490056916</v>
      </c>
      <c r="J12" s="53">
        <v>2027</v>
      </c>
      <c r="K12" s="53">
        <v>0.53533188579072744</v>
      </c>
      <c r="L12" s="53">
        <v>0.53112878554248222</v>
      </c>
      <c r="M12" s="53">
        <v>0.53187332142617449</v>
      </c>
      <c r="N12" s="53">
        <v>0.51141969982290403</v>
      </c>
      <c r="O12" s="53">
        <v>0.51141969982290403</v>
      </c>
      <c r="P12" s="53">
        <v>0.53489813523409213</v>
      </c>
      <c r="Q12" s="53">
        <v>0.51627751414639045</v>
      </c>
      <c r="R12" s="2"/>
      <c r="S12" s="2"/>
      <c r="T12" s="2"/>
      <c r="U12" s="2"/>
      <c r="V12" s="33"/>
    </row>
    <row r="13" spans="1:22" ht="15.75" thickBot="1" x14ac:dyDescent="0.3">
      <c r="A13" s="53">
        <v>2028</v>
      </c>
      <c r="B13" s="53">
        <v>0.68178627141671932</v>
      </c>
      <c r="C13" s="53">
        <v>0.67754920286000453</v>
      </c>
      <c r="D13" s="53">
        <v>0.67829563046475672</v>
      </c>
      <c r="E13" s="53">
        <v>0.65111513192412684</v>
      </c>
      <c r="F13" s="53">
        <v>0.65111513192412684</v>
      </c>
      <c r="G13" s="53">
        <v>0.68132488922901513</v>
      </c>
      <c r="H13" s="53">
        <v>0.65684647134752916</v>
      </c>
      <c r="J13" s="53">
        <v>2028</v>
      </c>
      <c r="K13" s="53">
        <v>0.53951618869934492</v>
      </c>
      <c r="L13" s="53">
        <v>0.5361632800609436</v>
      </c>
      <c r="M13" s="53">
        <v>0.53675394871084037</v>
      </c>
      <c r="N13" s="53">
        <v>0.51524527422680155</v>
      </c>
      <c r="O13" s="53">
        <v>0.51524527422680155</v>
      </c>
      <c r="P13" s="53">
        <v>0.53915108431124004</v>
      </c>
      <c r="Q13" s="53">
        <v>0.51978064041337935</v>
      </c>
      <c r="R13" s="34" t="s">
        <v>72</v>
      </c>
      <c r="S13" s="60">
        <v>44008</v>
      </c>
      <c r="T13" s="34"/>
      <c r="U13" s="34"/>
      <c r="V13" s="35"/>
    </row>
    <row r="14" spans="1:22" x14ac:dyDescent="0.25">
      <c r="A14" s="53">
        <v>2029</v>
      </c>
      <c r="B14" s="53">
        <v>0.72571095207770864</v>
      </c>
      <c r="C14" s="53">
        <v>0.7216764302570795</v>
      </c>
      <c r="D14" s="53">
        <v>0.72238668625870239</v>
      </c>
      <c r="E14" s="53">
        <v>0.69450109402177052</v>
      </c>
      <c r="F14" s="53">
        <v>0.69450109402177052</v>
      </c>
      <c r="G14" s="53">
        <v>0.72526736167042505</v>
      </c>
      <c r="H14" s="53">
        <v>0.70021334135899305</v>
      </c>
      <c r="J14" s="53">
        <v>2029</v>
      </c>
      <c r="K14" s="53">
        <v>0.55539167703255099</v>
      </c>
      <c r="L14" s="53">
        <v>0.55230402921137867</v>
      </c>
      <c r="M14" s="53">
        <v>0.55284759310652787</v>
      </c>
      <c r="N14" s="53">
        <v>0.53150655395977797</v>
      </c>
      <c r="O14" s="53">
        <v>0.53150655395977797</v>
      </c>
      <c r="P14" s="53">
        <v>0.55505219418540441</v>
      </c>
      <c r="Q14" s="53">
        <v>0.53587817687543304</v>
      </c>
    </row>
    <row r="15" spans="1:22" x14ac:dyDescent="0.25">
      <c r="A15" s="53">
        <v>2030</v>
      </c>
      <c r="B15" s="53">
        <v>0.77526333147507187</v>
      </c>
      <c r="C15" s="53">
        <v>0.77137024687530398</v>
      </c>
      <c r="D15" s="53">
        <v>0.7720679588248327</v>
      </c>
      <c r="E15" s="53">
        <v>0.74392725152313943</v>
      </c>
      <c r="F15" s="53">
        <v>0.74392725152313943</v>
      </c>
      <c r="G15" s="53">
        <v>0.77483669927012033</v>
      </c>
      <c r="H15" s="53">
        <v>0.74958568736954334</v>
      </c>
      <c r="J15" s="53">
        <v>2030</v>
      </c>
      <c r="K15" s="53">
        <v>0.573805087256123</v>
      </c>
      <c r="L15" s="53">
        <v>0.57092365115851351</v>
      </c>
      <c r="M15" s="53">
        <v>0.57144005719737168</v>
      </c>
      <c r="N15" s="53">
        <v>0.55061193292897093</v>
      </c>
      <c r="O15" s="53">
        <v>0.55061193292897093</v>
      </c>
      <c r="P15" s="53">
        <v>0.5734893187686303</v>
      </c>
      <c r="Q15" s="53">
        <v>0.55479997993540076</v>
      </c>
    </row>
    <row r="16" spans="1:22" x14ac:dyDescent="0.25">
      <c r="A16" s="53">
        <v>2031</v>
      </c>
      <c r="B16" s="53">
        <v>0.77449406905192142</v>
      </c>
      <c r="C16" s="53">
        <v>0.77060309112364012</v>
      </c>
      <c r="D16" s="53">
        <v>0.77130426175325728</v>
      </c>
      <c r="E16" s="53">
        <v>0.74374196279459537</v>
      </c>
      <c r="F16" s="53">
        <v>0.74374196279459537</v>
      </c>
      <c r="G16" s="53">
        <v>0.77407180314948931</v>
      </c>
      <c r="H16" s="53">
        <v>0.74931807049489785</v>
      </c>
      <c r="J16" s="53">
        <v>2031</v>
      </c>
      <c r="K16" s="53">
        <v>0.55438657997504626</v>
      </c>
      <c r="L16" s="53">
        <v>0.55160139925822183</v>
      </c>
      <c r="M16" s="53">
        <v>0.55210330056756085</v>
      </c>
      <c r="N16" s="53">
        <v>0.53237407439718198</v>
      </c>
      <c r="O16" s="53">
        <v>0.53237407439718198</v>
      </c>
      <c r="P16" s="53">
        <v>0.5540843200109693</v>
      </c>
      <c r="Q16" s="53">
        <v>0.53636547911036125</v>
      </c>
    </row>
    <row r="17" spans="1:17" x14ac:dyDescent="0.25">
      <c r="A17" s="53">
        <v>2032</v>
      </c>
      <c r="B17" s="53">
        <v>0.78684853135593846</v>
      </c>
      <c r="C17" s="53">
        <v>0.78275945348476017</v>
      </c>
      <c r="D17" s="53">
        <v>0.78347020009855617</v>
      </c>
      <c r="E17" s="53">
        <v>0.75568584724119647</v>
      </c>
      <c r="F17" s="53">
        <v>0.75568584724119647</v>
      </c>
      <c r="G17" s="53">
        <v>0.78640207654729666</v>
      </c>
      <c r="H17" s="53">
        <v>0.76140521551908413</v>
      </c>
      <c r="J17" s="53">
        <v>2032</v>
      </c>
      <c r="K17" s="53">
        <v>0.54470982932081535</v>
      </c>
      <c r="L17" s="53">
        <v>0.54187909275522661</v>
      </c>
      <c r="M17" s="53">
        <v>0.54237111968450613</v>
      </c>
      <c r="N17" s="53">
        <v>0.52313690941453039</v>
      </c>
      <c r="O17" s="53">
        <v>0.52313690941453039</v>
      </c>
      <c r="P17" s="53">
        <v>0.54440076307372498</v>
      </c>
      <c r="Q17" s="53">
        <v>0.52709624338329619</v>
      </c>
    </row>
    <row r="18" spans="1:17" x14ac:dyDescent="0.25">
      <c r="A18" s="53">
        <v>2033</v>
      </c>
      <c r="B18" s="53">
        <v>0.79718400962472735</v>
      </c>
      <c r="C18" s="53">
        <v>0.79315116484641801</v>
      </c>
      <c r="D18" s="53">
        <v>0.7938507691013259</v>
      </c>
      <c r="E18" s="53">
        <v>0.76574447177432259</v>
      </c>
      <c r="F18" s="53">
        <v>0.76574447177432259</v>
      </c>
      <c r="G18" s="53">
        <v>0.79674109118809044</v>
      </c>
      <c r="H18" s="53">
        <v>0.77146128396941949</v>
      </c>
      <c r="J18" s="53">
        <v>2033</v>
      </c>
      <c r="K18" s="53">
        <v>0.53371832415156373</v>
      </c>
      <c r="L18" s="53">
        <v>0.53101831621029061</v>
      </c>
      <c r="M18" s="53">
        <v>0.53148670444436286</v>
      </c>
      <c r="N18" s="53">
        <v>0.51266941041141378</v>
      </c>
      <c r="O18" s="53">
        <v>0.51266941041141378</v>
      </c>
      <c r="P18" s="53">
        <v>0.53342178824155595</v>
      </c>
      <c r="Q18" s="53">
        <v>0.51649684220560232</v>
      </c>
    </row>
    <row r="19" spans="1:17" x14ac:dyDescent="0.25">
      <c r="A19" s="53">
        <v>2034</v>
      </c>
      <c r="B19" s="53">
        <v>0.79727179563172346</v>
      </c>
      <c r="C19" s="53">
        <v>0.79353995919303666</v>
      </c>
      <c r="D19" s="53">
        <v>0.79418258025179567</v>
      </c>
      <c r="E19" s="53">
        <v>0.76617847371402248</v>
      </c>
      <c r="F19" s="53">
        <v>0.76617847371402248</v>
      </c>
      <c r="G19" s="53">
        <v>0.7968525611209466</v>
      </c>
      <c r="H19" s="53">
        <v>0.7717001597194576</v>
      </c>
      <c r="J19" s="53">
        <v>2034</v>
      </c>
      <c r="K19" s="53">
        <v>0.51622543257538833</v>
      </c>
      <c r="L19" s="53">
        <v>0.51380910618529541</v>
      </c>
      <c r="M19" s="53">
        <v>0.51422519682823242</v>
      </c>
      <c r="N19" s="53">
        <v>0.49609282077961703</v>
      </c>
      <c r="O19" s="53">
        <v>0.49609282077961703</v>
      </c>
      <c r="P19" s="53">
        <v>0.51595398246532287</v>
      </c>
      <c r="Q19" s="53">
        <v>0.49966805668074737</v>
      </c>
    </row>
    <row r="20" spans="1:17" x14ac:dyDescent="0.25">
      <c r="A20" s="53">
        <v>2035</v>
      </c>
      <c r="B20" s="53">
        <v>0.80723987071114001</v>
      </c>
      <c r="C20" s="53">
        <v>0.8041260269986481</v>
      </c>
      <c r="D20" s="53">
        <v>0.80465695040518825</v>
      </c>
      <c r="E20" s="53">
        <v>0.7753963886541998</v>
      </c>
      <c r="F20" s="53">
        <v>0.7753963886541998</v>
      </c>
      <c r="G20" s="53">
        <v>0.80686787195435217</v>
      </c>
      <c r="H20" s="53">
        <v>0.78073892044547577</v>
      </c>
      <c r="J20" s="53">
        <v>2035</v>
      </c>
      <c r="K20" s="53">
        <v>0.50549290181683482</v>
      </c>
      <c r="L20" s="53">
        <v>0.50354301560439474</v>
      </c>
      <c r="M20" s="53">
        <v>0.5038754793777438</v>
      </c>
      <c r="N20" s="53">
        <v>0.48555254117194424</v>
      </c>
      <c r="O20" s="53">
        <v>0.48555254117194424</v>
      </c>
      <c r="P20" s="53">
        <v>0.50525995652032063</v>
      </c>
      <c r="Q20" s="53">
        <v>0.48889802991228815</v>
      </c>
    </row>
    <row r="21" spans="1:17" x14ac:dyDescent="0.25">
      <c r="A21" s="53">
        <v>2036</v>
      </c>
      <c r="B21" s="53">
        <v>0.8135655327361262</v>
      </c>
      <c r="C21" s="53">
        <v>0.81064795765489317</v>
      </c>
      <c r="D21" s="53">
        <v>0.81116672862889383</v>
      </c>
      <c r="E21" s="53">
        <v>0.78170252917873695</v>
      </c>
      <c r="F21" s="53">
        <v>0.78170252917873695</v>
      </c>
      <c r="G21" s="53">
        <v>0.81321997184421657</v>
      </c>
      <c r="H21" s="53">
        <v>0.78695995712764988</v>
      </c>
      <c r="J21" s="53">
        <v>2036</v>
      </c>
      <c r="K21" s="53">
        <v>0.49270215266019718</v>
      </c>
      <c r="L21" s="53">
        <v>0.49093524456831084</v>
      </c>
      <c r="M21" s="53">
        <v>0.49124941664830069</v>
      </c>
      <c r="N21" s="53">
        <v>0.47340564880002561</v>
      </c>
      <c r="O21" s="53">
        <v>0.47340564880002561</v>
      </c>
      <c r="P21" s="53">
        <v>0.49249287806771724</v>
      </c>
      <c r="Q21" s="53">
        <v>0.47658959153562014</v>
      </c>
    </row>
    <row r="22" spans="1:17" x14ac:dyDescent="0.25">
      <c r="A22" s="53">
        <v>2037</v>
      </c>
      <c r="B22" s="53">
        <v>0.82256887541872226</v>
      </c>
      <c r="C22" s="53">
        <v>0.81867574346281136</v>
      </c>
      <c r="D22" s="53">
        <v>0.81934612145789676</v>
      </c>
      <c r="E22" s="53">
        <v>0.79056548598251863</v>
      </c>
      <c r="F22" s="53">
        <v>0.79056548598251863</v>
      </c>
      <c r="G22" s="53">
        <v>0.82214220558501128</v>
      </c>
      <c r="H22" s="53">
        <v>0.79629089747751269</v>
      </c>
      <c r="J22" s="53">
        <v>2037</v>
      </c>
      <c r="K22" s="53">
        <v>0.48177432589160762</v>
      </c>
      <c r="L22" s="53">
        <v>0.47949413868818191</v>
      </c>
      <c r="M22" s="53">
        <v>0.47988677560446502</v>
      </c>
      <c r="N22" s="53">
        <v>0.46303010661389066</v>
      </c>
      <c r="O22" s="53">
        <v>0.46303010661389066</v>
      </c>
      <c r="P22" s="53">
        <v>0.48152442758198616</v>
      </c>
      <c r="Q22" s="53">
        <v>0.46638345044427654</v>
      </c>
    </row>
    <row r="23" spans="1:17" x14ac:dyDescent="0.25">
      <c r="A23" s="53">
        <v>2038</v>
      </c>
      <c r="B23" s="53">
        <v>0.83724814639194278</v>
      </c>
      <c r="C23" s="53">
        <v>0.83316235169188391</v>
      </c>
      <c r="D23" s="53">
        <v>0.83386475688558903</v>
      </c>
      <c r="E23" s="53">
        <v>0.80491015758255424</v>
      </c>
      <c r="F23" s="53">
        <v>0.80491015758255424</v>
      </c>
      <c r="G23" s="53">
        <v>0.83680641460874683</v>
      </c>
      <c r="H23" s="53">
        <v>0.81075578149353011</v>
      </c>
      <c r="J23" s="53">
        <v>2038</v>
      </c>
      <c r="K23" s="53">
        <v>0.4742474843316502</v>
      </c>
      <c r="L23" s="53">
        <v>0.47193314315771173</v>
      </c>
      <c r="M23" s="53">
        <v>0.47233101074037726</v>
      </c>
      <c r="N23" s="53">
        <v>0.45593008356189296</v>
      </c>
      <c r="O23" s="53">
        <v>0.45593008356189296</v>
      </c>
      <c r="P23" s="53">
        <v>0.4739972715508482</v>
      </c>
      <c r="Q23" s="53">
        <v>0.45924125534062565</v>
      </c>
    </row>
    <row r="24" spans="1:17" x14ac:dyDescent="0.25">
      <c r="A24" s="53">
        <v>2039</v>
      </c>
      <c r="B24" s="53">
        <v>0.85321607985129577</v>
      </c>
      <c r="C24" s="53">
        <v>0.84887227400378895</v>
      </c>
      <c r="D24" s="53">
        <v>0.84962206276321051</v>
      </c>
      <c r="E24" s="53">
        <v>0.82059026586253181</v>
      </c>
      <c r="F24" s="53">
        <v>0.82059026586253181</v>
      </c>
      <c r="G24" s="53">
        <v>0.85275591515773963</v>
      </c>
      <c r="H24" s="53">
        <v>0.82658929831760175</v>
      </c>
      <c r="J24" s="53">
        <v>2039</v>
      </c>
      <c r="K24" s="53">
        <v>0.46740067365619609</v>
      </c>
      <c r="L24" s="53">
        <v>0.46502109147613419</v>
      </c>
      <c r="M24" s="53">
        <v>0.46543183358417622</v>
      </c>
      <c r="N24" s="53">
        <v>0.44952791223380495</v>
      </c>
      <c r="O24" s="53">
        <v>0.44952791223380495</v>
      </c>
      <c r="P24" s="53">
        <v>0.46714859063427461</v>
      </c>
      <c r="Q24" s="53">
        <v>0.45281424482527904</v>
      </c>
    </row>
    <row r="25" spans="1:17" x14ac:dyDescent="0.25">
      <c r="A25" s="53">
        <v>2040</v>
      </c>
      <c r="B25" s="53">
        <v>0.86028251944423073</v>
      </c>
      <c r="C25" s="53">
        <v>0.85610677889699804</v>
      </c>
      <c r="D25" s="53">
        <v>0.85681789353351534</v>
      </c>
      <c r="E25" s="53">
        <v>0.82797844063463766</v>
      </c>
      <c r="F25" s="53">
        <v>0.82797844063463766</v>
      </c>
      <c r="G25" s="53">
        <v>0.85983424744409565</v>
      </c>
      <c r="H25" s="53">
        <v>0.8338515124097885</v>
      </c>
      <c r="J25" s="53">
        <v>2040</v>
      </c>
      <c r="K25" s="53">
        <v>0.4557753800952058</v>
      </c>
      <c r="L25" s="53">
        <v>0.45356308391101335</v>
      </c>
      <c r="M25" s="53">
        <v>0.45393983054531589</v>
      </c>
      <c r="N25" s="53">
        <v>0.43866076545956312</v>
      </c>
      <c r="O25" s="53">
        <v>0.43866076545956312</v>
      </c>
      <c r="P25" s="53">
        <v>0.45553788678733337</v>
      </c>
      <c r="Q25" s="53">
        <v>0.4417723031929755</v>
      </c>
    </row>
    <row r="26" spans="1:17" x14ac:dyDescent="0.25">
      <c r="A26" s="53">
        <v>2041</v>
      </c>
      <c r="B26" s="53">
        <v>0.87748816983311539</v>
      </c>
      <c r="C26" s="53">
        <v>0.873228914474938</v>
      </c>
      <c r="D26" s="53">
        <v>0.8739542514041857</v>
      </c>
      <c r="E26" s="53">
        <v>0.84453800944733037</v>
      </c>
      <c r="F26" s="53">
        <v>0.84453800944733037</v>
      </c>
      <c r="G26" s="53">
        <v>0.87703093239297758</v>
      </c>
      <c r="H26" s="53">
        <v>0.85052854265798428</v>
      </c>
      <c r="J26" s="53">
        <v>2041</v>
      </c>
      <c r="K26" s="53">
        <v>0.44960434013260153</v>
      </c>
      <c r="L26" s="53">
        <v>0.44742199766850455</v>
      </c>
      <c r="M26" s="53">
        <v>0.44779364328454768</v>
      </c>
      <c r="N26" s="53">
        <v>0.43272145142045887</v>
      </c>
      <c r="O26" s="53">
        <v>0.43272145142045887</v>
      </c>
      <c r="P26" s="53">
        <v>0.44937006240143146</v>
      </c>
      <c r="Q26" s="53">
        <v>0.43579086001628153</v>
      </c>
    </row>
    <row r="27" spans="1:17" x14ac:dyDescent="0.25">
      <c r="A27" s="53">
        <v>2042</v>
      </c>
      <c r="B27" s="53">
        <v>0.89503793322977776</v>
      </c>
      <c r="C27" s="53">
        <v>0.89069349276443677</v>
      </c>
      <c r="D27" s="53">
        <v>0.89143333643226941</v>
      </c>
      <c r="E27" s="53">
        <v>0.86142876963627701</v>
      </c>
      <c r="F27" s="53">
        <v>0.86142876963627701</v>
      </c>
      <c r="G27" s="53">
        <v>0.89457155104083719</v>
      </c>
      <c r="H27" s="53">
        <v>0.86753911351114399</v>
      </c>
      <c r="J27" s="53">
        <v>2042</v>
      </c>
      <c r="K27" s="53">
        <v>0.4435168539025664</v>
      </c>
      <c r="L27" s="53">
        <v>0.44136405959562347</v>
      </c>
      <c r="M27" s="53">
        <v>0.44173067325941845</v>
      </c>
      <c r="N27" s="53">
        <v>0.42686255362559777</v>
      </c>
      <c r="O27" s="53">
        <v>0.42686255362559777</v>
      </c>
      <c r="P27" s="53">
        <v>0.44328574821030964</v>
      </c>
      <c r="Q27" s="53">
        <v>0.42989040349768587</v>
      </c>
    </row>
    <row r="28" spans="1:17" x14ac:dyDescent="0.25">
      <c r="A28" s="53">
        <v>2043</v>
      </c>
      <c r="B28" s="53">
        <v>0.91293869189437338</v>
      </c>
      <c r="C28" s="53">
        <v>0.90850736261972553</v>
      </c>
      <c r="D28" s="53">
        <v>0.90926200316091477</v>
      </c>
      <c r="E28" s="53">
        <v>0.87865734502900261</v>
      </c>
      <c r="F28" s="53">
        <v>0.87865734502900261</v>
      </c>
      <c r="G28" s="53">
        <v>0.91246298206165399</v>
      </c>
      <c r="H28" s="53">
        <v>0.8848898957813669</v>
      </c>
      <c r="J28" s="53">
        <v>2043</v>
      </c>
      <c r="K28" s="53">
        <v>0.43751179011665159</v>
      </c>
      <c r="L28" s="53">
        <v>0.4353881438951025</v>
      </c>
      <c r="M28" s="53">
        <v>0.43574979373753076</v>
      </c>
      <c r="N28" s="53">
        <v>0.4210829832670307</v>
      </c>
      <c r="O28" s="53">
        <v>0.4210829832670307</v>
      </c>
      <c r="P28" s="53">
        <v>0.43728381351500567</v>
      </c>
      <c r="Q28" s="53">
        <v>0.42406983710603446</v>
      </c>
    </row>
    <row r="29" spans="1:17" x14ac:dyDescent="0.25">
      <c r="A29" s="53">
        <v>2044</v>
      </c>
      <c r="B29" s="53">
        <v>0.93119746573226081</v>
      </c>
      <c r="C29" s="53">
        <v>0.92667750987212005</v>
      </c>
      <c r="D29" s="53">
        <v>0.92744724322413308</v>
      </c>
      <c r="E29" s="53">
        <v>0.89623049192958271</v>
      </c>
      <c r="F29" s="53">
        <v>0.89623049192958271</v>
      </c>
      <c r="G29" s="53">
        <v>0.93071224170288713</v>
      </c>
      <c r="H29" s="53">
        <v>0.90258769369699421</v>
      </c>
      <c r="J29" s="53">
        <v>2044</v>
      </c>
      <c r="K29" s="53">
        <v>0.43158803280366009</v>
      </c>
      <c r="L29" s="53">
        <v>0.42949314001257682</v>
      </c>
      <c r="M29" s="53">
        <v>0.42984989324205153</v>
      </c>
      <c r="N29" s="53">
        <v>0.41538166627888901</v>
      </c>
      <c r="O29" s="53">
        <v>0.41538166627888901</v>
      </c>
      <c r="P29" s="53">
        <v>0.43136314292582761</v>
      </c>
      <c r="Q29" s="53">
        <v>0.41832807915682307</v>
      </c>
    </row>
    <row r="30" spans="1:17" x14ac:dyDescent="0.25">
      <c r="A30" s="53">
        <v>2045</v>
      </c>
      <c r="B30" s="53">
        <v>0.94982141504690609</v>
      </c>
      <c r="C30" s="53">
        <v>0.94521106006956246</v>
      </c>
      <c r="D30" s="53">
        <v>0.94599618808861574</v>
      </c>
      <c r="E30" s="53">
        <v>0.91415510176817438</v>
      </c>
      <c r="F30" s="53">
        <v>0.91415510176817438</v>
      </c>
      <c r="G30" s="53">
        <v>0.94932648653694485</v>
      </c>
      <c r="H30" s="53">
        <v>0.92063944757093408</v>
      </c>
      <c r="J30" s="53">
        <v>2045</v>
      </c>
      <c r="K30" s="53">
        <v>0.42574448110225666</v>
      </c>
      <c r="L30" s="53">
        <v>0.42367795243020157</v>
      </c>
      <c r="M30" s="53">
        <v>0.42402987534515729</v>
      </c>
      <c r="N30" s="53">
        <v>0.40975754313778229</v>
      </c>
      <c r="O30" s="53">
        <v>0.40975754313778229</v>
      </c>
      <c r="P30" s="53">
        <v>0.4255226361550718</v>
      </c>
      <c r="Q30" s="53">
        <v>0.41266406261117949</v>
      </c>
    </row>
    <row r="31" spans="1:17" x14ac:dyDescent="0.25">
      <c r="A31" s="53">
        <v>2046</v>
      </c>
      <c r="B31" s="53">
        <v>0.96881784334784427</v>
      </c>
      <c r="C31" s="53">
        <v>0.96411528127095369</v>
      </c>
      <c r="D31" s="53">
        <v>0.96491611185038806</v>
      </c>
      <c r="E31" s="53">
        <v>0.93243820380353792</v>
      </c>
      <c r="F31" s="53">
        <v>0.93243820380353792</v>
      </c>
      <c r="G31" s="53">
        <v>0.96831301626768373</v>
      </c>
      <c r="H31" s="53">
        <v>0.93905223652235281</v>
      </c>
      <c r="J31" s="53">
        <v>2046</v>
      </c>
      <c r="K31" s="53">
        <v>0.41998004905638475</v>
      </c>
      <c r="L31" s="53">
        <v>0.41794150046306155</v>
      </c>
      <c r="M31" s="53">
        <v>0.4182886584642751</v>
      </c>
      <c r="N31" s="53">
        <v>0.40420956866589747</v>
      </c>
      <c r="O31" s="53">
        <v>0.40420956866589747</v>
      </c>
      <c r="P31" s="53">
        <v>0.41976120781254667</v>
      </c>
      <c r="Q31" s="53">
        <v>0.4070767348775659</v>
      </c>
    </row>
    <row r="32" spans="1:17" x14ac:dyDescent="0.25">
      <c r="A32" s="53">
        <v>2047</v>
      </c>
      <c r="B32" s="53">
        <v>0.9881942002148012</v>
      </c>
      <c r="C32" s="53">
        <v>0.9833975868963728</v>
      </c>
      <c r="D32" s="53">
        <v>0.98421443408739584</v>
      </c>
      <c r="E32" s="53">
        <v>0.95108696787960867</v>
      </c>
      <c r="F32" s="53">
        <v>0.95108696787960867</v>
      </c>
      <c r="G32" s="53">
        <v>0.98767927659303745</v>
      </c>
      <c r="H32" s="53">
        <v>0.95783328125279987</v>
      </c>
      <c r="J32" s="53">
        <v>2047</v>
      </c>
      <c r="K32" s="53">
        <v>0.41429366541345503</v>
      </c>
      <c r="L32" s="53">
        <v>0.41228271805833927</v>
      </c>
      <c r="M32" s="53">
        <v>0.41262517566108381</v>
      </c>
      <c r="N32" s="53">
        <v>0.3987367118367654</v>
      </c>
      <c r="O32" s="53">
        <v>0.3987367118367654</v>
      </c>
      <c r="P32" s="53">
        <v>0.41407778720386618</v>
      </c>
      <c r="Q32" s="53">
        <v>0.40156505761616751</v>
      </c>
    </row>
    <row r="33" spans="1:17" x14ac:dyDescent="0.25">
      <c r="A33" s="53">
        <v>2048</v>
      </c>
      <c r="B33" s="53">
        <v>1.0079580842190972</v>
      </c>
      <c r="C33" s="53">
        <v>1.0030655386343004</v>
      </c>
      <c r="D33" s="53">
        <v>1.0038987227691438</v>
      </c>
      <c r="E33" s="53">
        <v>0.97010870723720088</v>
      </c>
      <c r="F33" s="53">
        <v>0.97010870723720088</v>
      </c>
      <c r="G33" s="53">
        <v>1.0074328621248982</v>
      </c>
      <c r="H33" s="53">
        <v>0.9769899468778559</v>
      </c>
      <c r="J33" s="53">
        <v>2048</v>
      </c>
      <c r="K33" s="53">
        <v>0.40868427342526498</v>
      </c>
      <c r="L33" s="53">
        <v>0.40670055359720114</v>
      </c>
      <c r="M33" s="53">
        <v>0.40703837444323537</v>
      </c>
      <c r="N33" s="53">
        <v>0.39333795558365631</v>
      </c>
      <c r="O33" s="53">
        <v>0.39333795558365631</v>
      </c>
      <c r="P33" s="53">
        <v>0.4084713181314733</v>
      </c>
      <c r="Q33" s="53">
        <v>0.39612800654592917</v>
      </c>
    </row>
    <row r="34" spans="1:17" x14ac:dyDescent="0.25">
      <c r="A34" s="53">
        <v>2049</v>
      </c>
      <c r="B34" s="53">
        <v>1.0281172459034791</v>
      </c>
      <c r="C34" s="53">
        <v>1.0231268494069865</v>
      </c>
      <c r="D34" s="53">
        <v>1.0239766972245268</v>
      </c>
      <c r="E34" s="53">
        <v>0.98951088138194487</v>
      </c>
      <c r="F34" s="53">
        <v>0.98951088138194487</v>
      </c>
      <c r="G34" s="53">
        <v>1.0275815193673963</v>
      </c>
      <c r="H34" s="53">
        <v>0.99652974581541298</v>
      </c>
      <c r="J34" s="53">
        <v>2049</v>
      </c>
      <c r="K34" s="53">
        <v>0.40315083065161544</v>
      </c>
      <c r="L34" s="53">
        <v>0.40119396969936683</v>
      </c>
      <c r="M34" s="53">
        <v>0.40152721656876228</v>
      </c>
      <c r="N34" s="53">
        <v>0.38801229661057013</v>
      </c>
      <c r="O34" s="53">
        <v>0.38801229661057013</v>
      </c>
      <c r="P34" s="53">
        <v>0.40294075869835871</v>
      </c>
      <c r="Q34" s="53">
        <v>0.39076457125420488</v>
      </c>
    </row>
    <row r="35" spans="1:17" x14ac:dyDescent="0.25">
      <c r="A35" s="53">
        <v>2050</v>
      </c>
      <c r="B35" s="53">
        <v>1.0486795908215487</v>
      </c>
      <c r="C35" s="53">
        <v>1.0435893863951262</v>
      </c>
      <c r="D35" s="53">
        <v>1.0444562311690173</v>
      </c>
      <c r="E35" s="53">
        <v>1.0093010990095839</v>
      </c>
      <c r="F35" s="53">
        <v>1.0093010990095839</v>
      </c>
      <c r="G35" s="53">
        <v>1.0481331497547441</v>
      </c>
      <c r="H35" s="53">
        <v>1.0164603407317212</v>
      </c>
      <c r="J35" s="53">
        <v>2050</v>
      </c>
      <c r="K35" s="53">
        <v>0.39769230876658401</v>
      </c>
      <c r="L35" s="53">
        <v>0.39576194303032325</v>
      </c>
      <c r="M35" s="53">
        <v>0.39609067785313118</v>
      </c>
      <c r="N35" s="53">
        <v>0.38275874520578496</v>
      </c>
      <c r="O35" s="53">
        <v>0.38275874520578496</v>
      </c>
      <c r="P35" s="53">
        <v>0.39748508111443515</v>
      </c>
      <c r="Q35" s="53">
        <v>0.38547375500898362</v>
      </c>
    </row>
    <row r="36" spans="1:17" x14ac:dyDescent="0.25">
      <c r="A36" s="53">
        <v>2051</v>
      </c>
      <c r="B36" s="53">
        <v>1.0696531826379798</v>
      </c>
      <c r="C36" s="53">
        <v>1.0644611741230288</v>
      </c>
      <c r="D36" s="53">
        <v>1.0653453557923978</v>
      </c>
      <c r="E36" s="53">
        <v>1.0294871209897756</v>
      </c>
      <c r="F36" s="53">
        <v>1.0294871209897756</v>
      </c>
      <c r="G36" s="53">
        <v>1.0690958127498391</v>
      </c>
      <c r="H36" s="53">
        <v>1.0367895475463555</v>
      </c>
      <c r="J36" s="53">
        <v>2051</v>
      </c>
      <c r="K36" s="53">
        <v>0.39230769336742327</v>
      </c>
      <c r="L36" s="53">
        <v>0.39040346411115057</v>
      </c>
      <c r="M36" s="53">
        <v>0.3907277479789108</v>
      </c>
      <c r="N36" s="53">
        <v>0.37757632505793098</v>
      </c>
      <c r="O36" s="53">
        <v>0.37757632505793098</v>
      </c>
      <c r="P36" s="53">
        <v>0.39210327150553559</v>
      </c>
      <c r="Q36" s="53">
        <v>0.3802545745736588</v>
      </c>
    </row>
    <row r="37" spans="1:17" x14ac:dyDescent="0.25">
      <c r="A37" s="53">
        <v>2052</v>
      </c>
      <c r="B37" s="53">
        <v>1.0910462462907395</v>
      </c>
      <c r="C37" s="53">
        <v>1.0857503976054894</v>
      </c>
      <c r="D37" s="53">
        <v>1.0866522629082458</v>
      </c>
      <c r="E37" s="53">
        <v>1.0500768634095712</v>
      </c>
      <c r="F37" s="53">
        <v>1.0500768634095712</v>
      </c>
      <c r="G37" s="53">
        <v>1.090477729004836</v>
      </c>
      <c r="H37" s="53">
        <v>1.0575253384972827</v>
      </c>
      <c r="J37" s="53">
        <v>2052</v>
      </c>
      <c r="K37" s="53">
        <v>0.38699598378604622</v>
      </c>
      <c r="L37" s="53">
        <v>0.38511753713092223</v>
      </c>
      <c r="M37" s="53">
        <v>0.38543743030801647</v>
      </c>
      <c r="N37" s="53">
        <v>0.37246407307455476</v>
      </c>
      <c r="O37" s="53">
        <v>0.37246407307455476</v>
      </c>
      <c r="P37" s="53">
        <v>0.38679432972499644</v>
      </c>
      <c r="Q37" s="53">
        <v>0.37510606002430558</v>
      </c>
    </row>
    <row r="38" spans="1:17" x14ac:dyDescent="0.25">
      <c r="A38" s="53">
        <v>2053</v>
      </c>
      <c r="B38" s="53">
        <v>1.1128671712165543</v>
      </c>
      <c r="C38" s="53">
        <v>1.1074654055575992</v>
      </c>
      <c r="D38" s="53">
        <v>1.1083853081664108</v>
      </c>
      <c r="E38" s="53">
        <v>1.0710784006777627</v>
      </c>
      <c r="F38" s="53">
        <v>1.0710784006777627</v>
      </c>
      <c r="G38" s="53">
        <v>1.1122872835849327</v>
      </c>
      <c r="H38" s="53">
        <v>1.0786758452672283</v>
      </c>
      <c r="J38" s="53">
        <v>2053</v>
      </c>
      <c r="K38" s="53">
        <v>0.38175619290306301</v>
      </c>
      <c r="L38" s="53">
        <v>0.37990317976164478</v>
      </c>
      <c r="M38" s="53">
        <v>0.380218741696496</v>
      </c>
      <c r="N38" s="53">
        <v>0.36742103920313918</v>
      </c>
      <c r="O38" s="53">
        <v>0.36742103920313918</v>
      </c>
      <c r="P38" s="53">
        <v>0.38155726916779148</v>
      </c>
      <c r="Q38" s="53">
        <v>0.37002725456943103</v>
      </c>
    </row>
    <row r="39" spans="1:17" x14ac:dyDescent="0.25">
      <c r="A39" s="53">
        <v>2054</v>
      </c>
      <c r="B39" s="53">
        <v>1.1351245146408855</v>
      </c>
      <c r="C39" s="53">
        <v>1.1296147136687511</v>
      </c>
      <c r="D39" s="53">
        <v>1.1305530143297391</v>
      </c>
      <c r="E39" s="53">
        <v>1.0924999686913179</v>
      </c>
      <c r="F39" s="53">
        <v>1.0924999686913179</v>
      </c>
      <c r="G39" s="53">
        <v>1.1345330292566314</v>
      </c>
      <c r="H39" s="53">
        <v>1.1002493621725729</v>
      </c>
      <c r="J39" s="53">
        <v>2054</v>
      </c>
      <c r="K39" s="53">
        <v>0.37658734696433682</v>
      </c>
      <c r="L39" s="53">
        <v>0.37475942297570369</v>
      </c>
      <c r="M39" s="53">
        <v>0.37507071231182387</v>
      </c>
      <c r="N39" s="53">
        <v>0.36244628625454728</v>
      </c>
      <c r="O39" s="53">
        <v>0.36244628625454728</v>
      </c>
      <c r="P39" s="53">
        <v>0.37639111658718305</v>
      </c>
      <c r="Q39" s="53">
        <v>0.365017214372166</v>
      </c>
    </row>
    <row r="40" spans="1:17" x14ac:dyDescent="0.25">
      <c r="A40" s="53">
        <v>2055</v>
      </c>
      <c r="B40" s="53">
        <v>1.1578270049337032</v>
      </c>
      <c r="C40" s="53">
        <v>1.152207007942126</v>
      </c>
      <c r="D40" s="53">
        <v>1.1531640746163339</v>
      </c>
      <c r="E40" s="53">
        <v>1.1143499680651443</v>
      </c>
      <c r="F40" s="53">
        <v>1.1143499680651443</v>
      </c>
      <c r="G40" s="53">
        <v>1.157223689841764</v>
      </c>
      <c r="H40" s="53">
        <v>1.1222543494160244</v>
      </c>
      <c r="J40" s="53">
        <v>2055</v>
      </c>
      <c r="K40" s="53">
        <v>0.37148848540002277</v>
      </c>
      <c r="L40" s="53">
        <v>0.36968531086578121</v>
      </c>
      <c r="M40" s="53">
        <v>0.36999238545266966</v>
      </c>
      <c r="N40" s="53">
        <v>0.35753888972885711</v>
      </c>
      <c r="O40" s="53">
        <v>0.35753888972885711</v>
      </c>
      <c r="P40" s="53">
        <v>0.37129491191385566</v>
      </c>
      <c r="Q40" s="53">
        <v>0.360075008374864</v>
      </c>
    </row>
    <row r="41" spans="1:17" x14ac:dyDescent="0.25">
      <c r="A41" s="53">
        <v>2056</v>
      </c>
      <c r="B41" s="53">
        <v>1.1809835450323773</v>
      </c>
      <c r="C41" s="53">
        <v>1.1752511481009686</v>
      </c>
      <c r="D41" s="53">
        <v>1.1762273561086605</v>
      </c>
      <c r="E41" s="53">
        <v>1.1366369674264472</v>
      </c>
      <c r="F41" s="53">
        <v>1.1366369674264472</v>
      </c>
      <c r="G41" s="53">
        <v>1.1803681636385994</v>
      </c>
      <c r="H41" s="53">
        <v>1.144699436404345</v>
      </c>
      <c r="J41" s="53">
        <v>2056</v>
      </c>
      <c r="K41" s="53">
        <v>0.36645866064605731</v>
      </c>
      <c r="L41" s="53">
        <v>0.3646799004672116</v>
      </c>
      <c r="M41" s="53">
        <v>0.36498281737110538</v>
      </c>
      <c r="N41" s="53">
        <v>0.35269793764355345</v>
      </c>
      <c r="O41" s="53">
        <v>0.35269793764355345</v>
      </c>
      <c r="P41" s="53">
        <v>0.36626770807749787</v>
      </c>
      <c r="Q41" s="53">
        <v>0.35519971812607476</v>
      </c>
    </row>
    <row r="42" spans="1:17" x14ac:dyDescent="0.25">
      <c r="A42" s="53">
        <v>2057</v>
      </c>
      <c r="B42" s="53">
        <v>1.2046032159330249</v>
      </c>
      <c r="C42" s="53">
        <v>1.1987561710629879</v>
      </c>
      <c r="D42" s="53">
        <v>1.1997519032308337</v>
      </c>
      <c r="E42" s="53">
        <v>1.1593697067749762</v>
      </c>
      <c r="F42" s="53">
        <v>1.1593697067749762</v>
      </c>
      <c r="G42" s="53">
        <v>1.2039755269113714</v>
      </c>
      <c r="H42" s="53">
        <v>1.167593425132432</v>
      </c>
      <c r="J42" s="53">
        <v>2057</v>
      </c>
      <c r="K42" s="53">
        <v>0.36149693796806431</v>
      </c>
      <c r="L42" s="53">
        <v>0.35974226158274264</v>
      </c>
      <c r="M42" s="53">
        <v>0.360041077097222</v>
      </c>
      <c r="N42" s="53">
        <v>0.34792253036404697</v>
      </c>
      <c r="O42" s="53">
        <v>0.34792253036404697</v>
      </c>
      <c r="P42" s="53">
        <v>0.3613085708308007</v>
      </c>
      <c r="Q42" s="53">
        <v>0.35039043760986105</v>
      </c>
    </row>
    <row r="43" spans="1:17" x14ac:dyDescent="0.25">
      <c r="A43" s="53">
        <v>2058</v>
      </c>
      <c r="B43" s="53">
        <v>1.2286952802516855</v>
      </c>
      <c r="C43" s="53">
        <v>1.2227312944842477</v>
      </c>
      <c r="D43" s="53">
        <v>1.2237469412954505</v>
      </c>
      <c r="E43" s="53">
        <v>1.1825571009104758</v>
      </c>
      <c r="F43" s="53">
        <v>1.1825571009104758</v>
      </c>
      <c r="G43" s="53">
        <v>1.2280550374495989</v>
      </c>
      <c r="H43" s="53">
        <v>1.1909452936350806</v>
      </c>
      <c r="J43" s="53">
        <v>2058</v>
      </c>
      <c r="K43" s="53">
        <v>0.3566023952876457</v>
      </c>
      <c r="L43" s="53">
        <v>0.35487147660966878</v>
      </c>
      <c r="M43" s="53">
        <v>0.35516624626611848</v>
      </c>
      <c r="N43" s="53">
        <v>0.34321178043648742</v>
      </c>
      <c r="O43" s="53">
        <v>0.34321178043648742</v>
      </c>
      <c r="P43" s="53">
        <v>0.35641657857583819</v>
      </c>
      <c r="Q43" s="53">
        <v>0.34564627307742579</v>
      </c>
    </row>
    <row r="44" spans="1:17" x14ac:dyDescent="0.25">
      <c r="A44" s="53">
        <v>2059</v>
      </c>
      <c r="B44" s="53">
        <v>1.2532691858567193</v>
      </c>
      <c r="C44" s="53">
        <v>1.2471859203739326</v>
      </c>
      <c r="D44" s="53">
        <v>1.2482218801213596</v>
      </c>
      <c r="E44" s="53">
        <v>1.2062082429286853</v>
      </c>
      <c r="F44" s="53">
        <v>1.2062082429286853</v>
      </c>
      <c r="G44" s="53">
        <v>1.252616138198591</v>
      </c>
      <c r="H44" s="53">
        <v>1.2147641995077822</v>
      </c>
      <c r="J44" s="53">
        <v>2059</v>
      </c>
      <c r="K44" s="53">
        <v>0.35177412301102384</v>
      </c>
      <c r="L44" s="53">
        <v>0.35006664036930574</v>
      </c>
      <c r="M44" s="53">
        <v>0.35035741894723493</v>
      </c>
      <c r="N44" s="53">
        <v>0.33856481242284059</v>
      </c>
      <c r="O44" s="53">
        <v>0.33856481242284059</v>
      </c>
      <c r="P44" s="53">
        <v>0.3515908221927998</v>
      </c>
      <c r="Q44" s="53">
        <v>0.34096634288101968</v>
      </c>
    </row>
    <row r="45" spans="1:17" x14ac:dyDescent="0.25">
      <c r="A45" s="53">
        <v>2060</v>
      </c>
      <c r="B45" s="53">
        <v>1.2783345695738537</v>
      </c>
      <c r="C45" s="53">
        <v>1.2721296387814114</v>
      </c>
      <c r="D45" s="53">
        <v>1.2731863177237868</v>
      </c>
      <c r="E45" s="53">
        <v>1.2303324077872591</v>
      </c>
      <c r="F45" s="53">
        <v>1.2303324077872591</v>
      </c>
      <c r="G45" s="53">
        <v>1.2776684609625628</v>
      </c>
      <c r="H45" s="53">
        <v>1.2390594834979378</v>
      </c>
      <c r="J45" s="53">
        <v>2060</v>
      </c>
      <c r="K45" s="53">
        <v>0.34701122386000416</v>
      </c>
      <c r="L45" s="53">
        <v>0.3453268599387736</v>
      </c>
      <c r="M45" s="53">
        <v>0.34561370147599574</v>
      </c>
      <c r="N45" s="53">
        <v>0.3339807627381986</v>
      </c>
      <c r="O45" s="53">
        <v>0.3339807627381986</v>
      </c>
      <c r="P45" s="53">
        <v>0.34683040487104044</v>
      </c>
      <c r="Q45" s="53">
        <v>0.33634977731009674</v>
      </c>
    </row>
    <row r="46" spans="1:17" x14ac:dyDescent="0.25">
      <c r="A46" s="53">
        <v>2061</v>
      </c>
      <c r="B46" s="53">
        <v>1.3039012609653309</v>
      </c>
      <c r="C46" s="53">
        <v>1.2975722315570397</v>
      </c>
      <c r="D46" s="53">
        <v>1.2986500440782625</v>
      </c>
      <c r="E46" s="53">
        <v>1.2549390559430043</v>
      </c>
      <c r="F46" s="53">
        <v>1.2549390559430043</v>
      </c>
      <c r="G46" s="53">
        <v>1.3032218301818141</v>
      </c>
      <c r="H46" s="53">
        <v>1.2638406731678966</v>
      </c>
      <c r="J46" s="53">
        <v>2061</v>
      </c>
      <c r="K46" s="53">
        <v>0.34231281270522662</v>
      </c>
      <c r="L46" s="53">
        <v>0.34065125448505718</v>
      </c>
      <c r="M46" s="53">
        <v>0.34093421228773274</v>
      </c>
      <c r="N46" s="53">
        <v>0.32945877949029267</v>
      </c>
      <c r="O46" s="53">
        <v>0.32945877949029267</v>
      </c>
      <c r="P46" s="53">
        <v>0.34213444194241904</v>
      </c>
      <c r="Q46" s="53">
        <v>0.33179571842968925</v>
      </c>
    </row>
    <row r="47" spans="1:17" x14ac:dyDescent="0.25">
      <c r="A47" s="53">
        <v>2062</v>
      </c>
      <c r="B47" s="53">
        <v>1.3299792861846376</v>
      </c>
      <c r="C47" s="53">
        <v>1.3235236761881806</v>
      </c>
      <c r="D47" s="53">
        <v>1.3246230449598277</v>
      </c>
      <c r="E47" s="53">
        <v>1.2800378370618644</v>
      </c>
      <c r="F47" s="53">
        <v>1.2800378370618644</v>
      </c>
      <c r="G47" s="53">
        <v>1.3292862667854504</v>
      </c>
      <c r="H47" s="53">
        <v>1.2891174866312545</v>
      </c>
      <c r="J47" s="53">
        <v>2062</v>
      </c>
      <c r="K47" s="53">
        <v>0.33767801640167422</v>
      </c>
      <c r="L47" s="53">
        <v>0.33603895510131365</v>
      </c>
      <c r="M47" s="53">
        <v>0.3363180817538563</v>
      </c>
      <c r="N47" s="53">
        <v>0.32499802232117847</v>
      </c>
      <c r="O47" s="53">
        <v>0.32499802232117847</v>
      </c>
      <c r="P47" s="53">
        <v>0.33750206071689304</v>
      </c>
      <c r="Q47" s="53">
        <v>0.32730331992097006</v>
      </c>
    </row>
    <row r="48" spans="1:17" x14ac:dyDescent="0.25">
      <c r="A48" s="53">
        <v>2063</v>
      </c>
      <c r="B48" s="53">
        <v>1.3565788719083303</v>
      </c>
      <c r="C48" s="53">
        <v>1.3499941497119441</v>
      </c>
      <c r="D48" s="53">
        <v>1.3511155058590243</v>
      </c>
      <c r="E48" s="53">
        <v>1.3056385938031017</v>
      </c>
      <c r="F48" s="53">
        <v>1.3056385938031017</v>
      </c>
      <c r="G48" s="53">
        <v>1.3558719921211595</v>
      </c>
      <c r="H48" s="53">
        <v>1.3148998363638795</v>
      </c>
      <c r="J48" s="53">
        <v>2063</v>
      </c>
      <c r="K48" s="53">
        <v>0.33310597362640981</v>
      </c>
      <c r="L48" s="53">
        <v>0.33148910464539649</v>
      </c>
      <c r="M48" s="53">
        <v>0.33176445202024513</v>
      </c>
      <c r="N48" s="53">
        <v>0.32059766225106584</v>
      </c>
      <c r="O48" s="53">
        <v>0.32059766225106584</v>
      </c>
      <c r="P48" s="53">
        <v>0.33293240032033944</v>
      </c>
      <c r="Q48" s="53">
        <v>0.32287174692397436</v>
      </c>
    </row>
    <row r="49" spans="1:17" x14ac:dyDescent="0.25">
      <c r="A49" s="53">
        <v>2064</v>
      </c>
      <c r="B49" s="53">
        <v>1.3837104493464969</v>
      </c>
      <c r="C49" s="53">
        <v>1.3769940327061829</v>
      </c>
      <c r="D49" s="53">
        <v>1.3781378159762048</v>
      </c>
      <c r="E49" s="53">
        <v>1.3317513656791637</v>
      </c>
      <c r="F49" s="53">
        <v>1.3317513656791637</v>
      </c>
      <c r="G49" s="53">
        <v>1.3829894319635827</v>
      </c>
      <c r="H49" s="53">
        <v>1.3411978330911571</v>
      </c>
      <c r="J49" s="53">
        <v>2064</v>
      </c>
      <c r="K49" s="53">
        <v>0.32859583471850862</v>
      </c>
      <c r="L49" s="53">
        <v>0.32700085758056507</v>
      </c>
      <c r="M49" s="53">
        <v>0.3272724768478239</v>
      </c>
      <c r="N49" s="53">
        <v>0.31625688152426218</v>
      </c>
      <c r="O49" s="53">
        <v>0.31625688152426218</v>
      </c>
      <c r="P49" s="53">
        <v>0.32842461153457075</v>
      </c>
      <c r="Q49" s="53">
        <v>0.31850017588245044</v>
      </c>
    </row>
    <row r="50" spans="1:17" x14ac:dyDescent="0.25">
      <c r="A50" s="53">
        <v>2065</v>
      </c>
      <c r="B50" s="53">
        <v>1.4113846583334269</v>
      </c>
      <c r="C50" s="53">
        <v>1.4045339133603065</v>
      </c>
      <c r="D50" s="53">
        <v>1.405700572295729</v>
      </c>
      <c r="E50" s="53">
        <v>1.3583863929927471</v>
      </c>
      <c r="F50" s="53">
        <v>1.3583863929927471</v>
      </c>
      <c r="G50" s="53">
        <v>1.4106492206028545</v>
      </c>
      <c r="H50" s="53">
        <v>1.3680217897529803</v>
      </c>
      <c r="J50" s="53">
        <v>2065</v>
      </c>
      <c r="K50" s="53">
        <v>0.32414676152115945</v>
      </c>
      <c r="L50" s="53">
        <v>0.32257337981835249</v>
      </c>
      <c r="M50" s="53">
        <v>0.32284132145530031</v>
      </c>
      <c r="N50" s="53">
        <v>0.31197487345720265</v>
      </c>
      <c r="O50" s="53">
        <v>0.31197487345720265</v>
      </c>
      <c r="P50" s="53">
        <v>0.32397785663951861</v>
      </c>
      <c r="Q50" s="53">
        <v>0.31418779439081196</v>
      </c>
    </row>
    <row r="51" spans="1:17" x14ac:dyDescent="0.25">
      <c r="A51" s="53">
        <v>2066</v>
      </c>
      <c r="B51" s="53">
        <v>1.4396123515000954</v>
      </c>
      <c r="C51" s="53">
        <v>1.4326245916275127</v>
      </c>
      <c r="D51" s="53">
        <v>1.4338145837416436</v>
      </c>
      <c r="E51" s="53">
        <v>1.3855541208526021</v>
      </c>
      <c r="F51" s="53">
        <v>1.3855541208526021</v>
      </c>
      <c r="G51" s="53">
        <v>1.4388622050149116</v>
      </c>
      <c r="H51" s="53">
        <v>1.3953822255480399</v>
      </c>
      <c r="J51" s="53">
        <v>2066</v>
      </c>
      <c r="K51" s="53">
        <v>0.31975792722590202</v>
      </c>
      <c r="L51" s="53">
        <v>0.31820584856355855</v>
      </c>
      <c r="M51" s="53">
        <v>0.31847016236402936</v>
      </c>
      <c r="N51" s="53">
        <v>0.3077508422885365</v>
      </c>
      <c r="O51" s="53">
        <v>0.3077508422885365</v>
      </c>
      <c r="P51" s="53">
        <v>0.31959130925755225</v>
      </c>
      <c r="Q51" s="53">
        <v>0.30993380104316076</v>
      </c>
    </row>
  </sheetData>
  <mergeCells count="5">
    <mergeCell ref="A1:H3"/>
    <mergeCell ref="J1:Q3"/>
    <mergeCell ref="R5:V6"/>
    <mergeCell ref="R7:V8"/>
    <mergeCell ref="R10:V11"/>
  </mergeCells>
  <pageMargins left="0.7" right="0.7" top="0.75" bottom="0.75" header="0.3" footer="0.3"/>
  <pageSetup scale="74" orientation="portrait" r:id="rId1"/>
  <colBreaks count="1" manualBreakCount="1">
    <brk id="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36BDC-1CF1-4C28-8EAB-EA17B0624D5F}">
  <sheetPr>
    <tabColor rgb="FF00B050"/>
  </sheetPr>
  <dimension ref="A1:V51"/>
  <sheetViews>
    <sheetView view="pageBreakPreview" zoomScale="60" zoomScaleNormal="100" workbookViewId="0">
      <selection activeCell="J5" sqref="J5"/>
    </sheetView>
  </sheetViews>
  <sheetFormatPr defaultColWidth="8.7109375" defaultRowHeight="15" x14ac:dyDescent="0.25"/>
  <cols>
    <col min="1" max="4" width="8.7109375" style="40"/>
    <col min="5" max="5" width="8.42578125" style="40" customWidth="1"/>
    <col min="6" max="6" width="8.7109375" style="40"/>
    <col min="7" max="7" width="10.85546875" style="40" bestFit="1" customWidth="1"/>
    <col min="8" max="16384" width="8.7109375" style="40"/>
  </cols>
  <sheetData>
    <row r="1" spans="1:22" ht="14.45" customHeight="1" x14ac:dyDescent="0.25">
      <c r="A1" s="238" t="s">
        <v>151</v>
      </c>
      <c r="B1" s="238"/>
      <c r="C1" s="238"/>
      <c r="D1" s="238"/>
      <c r="E1" s="238"/>
      <c r="F1" s="238"/>
      <c r="G1" s="238"/>
      <c r="H1" s="238"/>
      <c r="J1" s="238" t="s">
        <v>151</v>
      </c>
      <c r="K1" s="238"/>
      <c r="L1" s="238"/>
      <c r="M1" s="238"/>
      <c r="N1" s="238"/>
      <c r="O1" s="238"/>
      <c r="P1" s="238"/>
      <c r="Q1" s="238"/>
    </row>
    <row r="2" spans="1:22" ht="14.45" customHeight="1" x14ac:dyDescent="0.25">
      <c r="A2" s="238"/>
      <c r="B2" s="238"/>
      <c r="C2" s="238"/>
      <c r="D2" s="238"/>
      <c r="E2" s="238"/>
      <c r="F2" s="238"/>
      <c r="G2" s="238"/>
      <c r="H2" s="238"/>
      <c r="J2" s="238"/>
      <c r="K2" s="238"/>
      <c r="L2" s="238"/>
      <c r="M2" s="238"/>
      <c r="N2" s="238"/>
      <c r="O2" s="238"/>
      <c r="P2" s="238"/>
      <c r="Q2" s="238"/>
    </row>
    <row r="3" spans="1:22" ht="14.45" customHeight="1" thickBot="1" x14ac:dyDescent="0.3">
      <c r="A3" s="239"/>
      <c r="B3" s="239"/>
      <c r="C3" s="239"/>
      <c r="D3" s="239"/>
      <c r="E3" s="239"/>
      <c r="F3" s="239"/>
      <c r="G3" s="239"/>
      <c r="H3" s="239"/>
      <c r="J3" s="239"/>
      <c r="K3" s="239"/>
      <c r="L3" s="239"/>
      <c r="M3" s="239"/>
      <c r="N3" s="239"/>
      <c r="O3" s="239"/>
      <c r="P3" s="239"/>
      <c r="Q3" s="239"/>
    </row>
    <row r="4" spans="1:22" ht="15.75" thickBot="1" x14ac:dyDescent="0.3">
      <c r="A4" s="40" t="s">
        <v>127</v>
      </c>
      <c r="J4" s="40" t="s">
        <v>198</v>
      </c>
    </row>
    <row r="5" spans="1:22" x14ac:dyDescent="0.25">
      <c r="A5" s="88"/>
      <c r="B5" s="53" t="s">
        <v>27</v>
      </c>
      <c r="C5" s="53" t="s">
        <v>28</v>
      </c>
      <c r="D5" s="53" t="s">
        <v>29</v>
      </c>
      <c r="E5" s="53" t="s">
        <v>30</v>
      </c>
      <c r="F5" s="53" t="s">
        <v>31</v>
      </c>
      <c r="G5" s="53" t="s">
        <v>32</v>
      </c>
      <c r="H5" s="53" t="s">
        <v>33</v>
      </c>
      <c r="J5" s="88"/>
      <c r="K5" s="53" t="s">
        <v>27</v>
      </c>
      <c r="L5" s="53" t="s">
        <v>28</v>
      </c>
      <c r="M5" s="53" t="s">
        <v>29</v>
      </c>
      <c r="N5" s="53" t="s">
        <v>30</v>
      </c>
      <c r="O5" s="53" t="s">
        <v>31</v>
      </c>
      <c r="P5" s="53" t="s">
        <v>32</v>
      </c>
      <c r="Q5" s="53" t="s">
        <v>33</v>
      </c>
      <c r="R5" s="171" t="s">
        <v>69</v>
      </c>
      <c r="S5" s="171"/>
      <c r="T5" s="171"/>
      <c r="U5" s="171"/>
      <c r="V5" s="172"/>
    </row>
    <row r="6" spans="1:22" x14ac:dyDescent="0.25">
      <c r="A6" s="53">
        <v>2021</v>
      </c>
      <c r="B6" s="53">
        <v>0.56010108788861523</v>
      </c>
      <c r="C6" s="53">
        <v>0.55113700675161703</v>
      </c>
      <c r="D6" s="53">
        <v>0.55274957678315217</v>
      </c>
      <c r="E6" s="53">
        <v>0.5136194966037525</v>
      </c>
      <c r="F6" s="53">
        <v>0.5136194966037525</v>
      </c>
      <c r="G6" s="53">
        <v>0.55928868225512995</v>
      </c>
      <c r="H6" s="53">
        <v>0.52392329701881857</v>
      </c>
      <c r="J6" s="53">
        <v>2021</v>
      </c>
      <c r="K6" s="53">
        <v>0.56010108788861523</v>
      </c>
      <c r="L6" s="53">
        <v>0.55113700675161703</v>
      </c>
      <c r="M6" s="53">
        <v>0.55274957678315217</v>
      </c>
      <c r="N6" s="53">
        <v>0.5136194966037525</v>
      </c>
      <c r="O6" s="53">
        <v>0.5136194966037525</v>
      </c>
      <c r="P6" s="53">
        <v>0.55928868225512995</v>
      </c>
      <c r="Q6" s="53">
        <v>0.52392329701881857</v>
      </c>
      <c r="R6" s="173"/>
      <c r="S6" s="173"/>
      <c r="T6" s="173"/>
      <c r="U6" s="173"/>
      <c r="V6" s="174"/>
    </row>
    <row r="7" spans="1:22" x14ac:dyDescent="0.25">
      <c r="A7" s="53">
        <v>2022</v>
      </c>
      <c r="B7" s="53">
        <v>0.51213713612031142</v>
      </c>
      <c r="C7" s="53">
        <v>0.50732366881172919</v>
      </c>
      <c r="D7" s="53">
        <v>0.50819104530045978</v>
      </c>
      <c r="E7" s="53">
        <v>0.47974713854172918</v>
      </c>
      <c r="F7" s="53">
        <v>0.47974713854172918</v>
      </c>
      <c r="G7" s="53">
        <v>0.51162889548828416</v>
      </c>
      <c r="H7" s="53">
        <v>0.4860462236653037</v>
      </c>
      <c r="J7" s="53">
        <v>2022</v>
      </c>
      <c r="K7" s="53">
        <v>0.4952970368668389</v>
      </c>
      <c r="L7" s="53">
        <v>0.49064184604615974</v>
      </c>
      <c r="M7" s="53">
        <v>0.4914807014511216</v>
      </c>
      <c r="N7" s="53">
        <v>0.46397208756453495</v>
      </c>
      <c r="O7" s="53">
        <v>0.46397208756453495</v>
      </c>
      <c r="P7" s="53">
        <v>0.4948055082091723</v>
      </c>
      <c r="Q7" s="53">
        <v>0.47006404609797264</v>
      </c>
      <c r="R7" s="175">
        <v>3.4000000000000002E-2</v>
      </c>
      <c r="S7" s="175"/>
      <c r="T7" s="175"/>
      <c r="U7" s="175"/>
      <c r="V7" s="176"/>
    </row>
    <row r="8" spans="1:22" ht="15.75" thickBot="1" x14ac:dyDescent="0.3">
      <c r="A8" s="53">
        <v>2023</v>
      </c>
      <c r="B8" s="53">
        <v>0.47983807115301225</v>
      </c>
      <c r="C8" s="53">
        <v>0.47748806552469797</v>
      </c>
      <c r="D8" s="53">
        <v>0.47791022047120962</v>
      </c>
      <c r="E8" s="53">
        <v>0.45710214950171418</v>
      </c>
      <c r="F8" s="53">
        <v>0.45710214950171418</v>
      </c>
      <c r="G8" s="53">
        <v>0.47951171342592713</v>
      </c>
      <c r="H8" s="53">
        <v>0.46083589983924761</v>
      </c>
      <c r="J8" s="53">
        <v>2023</v>
      </c>
      <c r="K8" s="53">
        <v>0.44880080283233903</v>
      </c>
      <c r="L8" s="53">
        <v>0.44660280213991033</v>
      </c>
      <c r="M8" s="53">
        <v>0.44699765092391536</v>
      </c>
      <c r="N8" s="53">
        <v>0.42753550417498865</v>
      </c>
      <c r="O8" s="53">
        <v>0.42753550417498865</v>
      </c>
      <c r="P8" s="53">
        <v>0.44849555483570885</v>
      </c>
      <c r="Q8" s="53">
        <v>0.43102774509916947</v>
      </c>
      <c r="R8" s="177"/>
      <c r="S8" s="177"/>
      <c r="T8" s="177"/>
      <c r="U8" s="177"/>
      <c r="V8" s="178"/>
    </row>
    <row r="9" spans="1:22" ht="14.45" customHeight="1" x14ac:dyDescent="0.25">
      <c r="A9" s="53">
        <v>2024</v>
      </c>
      <c r="B9" s="53">
        <v>0.49957547791829721</v>
      </c>
      <c r="C9" s="53">
        <v>0.49619108822839408</v>
      </c>
      <c r="D9" s="53">
        <v>0.49681026221451702</v>
      </c>
      <c r="E9" s="53">
        <v>0.47405033570625782</v>
      </c>
      <c r="F9" s="53">
        <v>0.47405033570625782</v>
      </c>
      <c r="G9" s="53">
        <v>0.49919274619113924</v>
      </c>
      <c r="H9" s="53">
        <v>0.47872025931406831</v>
      </c>
      <c r="J9" s="53">
        <v>2024</v>
      </c>
      <c r="K9" s="53">
        <v>0.45189703958599731</v>
      </c>
      <c r="L9" s="53">
        <v>0.44883564896681499</v>
      </c>
      <c r="M9" s="53">
        <v>0.44939573028322299</v>
      </c>
      <c r="N9" s="53">
        <v>0.42880796353947725</v>
      </c>
      <c r="O9" s="53">
        <v>0.42880796353947725</v>
      </c>
      <c r="P9" s="53">
        <v>0.45155083497407555</v>
      </c>
      <c r="Q9" s="53">
        <v>0.43303219940921195</v>
      </c>
      <c r="R9" s="2"/>
      <c r="S9" s="2"/>
      <c r="T9" s="2"/>
      <c r="U9" s="2"/>
      <c r="V9" s="33"/>
    </row>
    <row r="10" spans="1:22" ht="15" customHeight="1" x14ac:dyDescent="0.25">
      <c r="A10" s="53">
        <v>2025</v>
      </c>
      <c r="B10" s="53">
        <v>0.53103977452989537</v>
      </c>
      <c r="C10" s="53">
        <v>0.52595189075807491</v>
      </c>
      <c r="D10" s="53">
        <v>0.52688051341987918</v>
      </c>
      <c r="E10" s="53">
        <v>0.50187728775589568</v>
      </c>
      <c r="F10" s="53">
        <v>0.50187728775589568</v>
      </c>
      <c r="G10" s="53">
        <v>0.53050514009863448</v>
      </c>
      <c r="H10" s="53">
        <v>0.50772629296626426</v>
      </c>
      <c r="J10" s="53">
        <v>2025</v>
      </c>
      <c r="K10" s="53">
        <v>0.46456329744960778</v>
      </c>
      <c r="L10" s="53">
        <v>0.46011232376468997</v>
      </c>
      <c r="M10" s="53">
        <v>0.46092469983621137</v>
      </c>
      <c r="N10" s="53">
        <v>0.43905142118844992</v>
      </c>
      <c r="O10" s="53">
        <v>0.43905142118844992</v>
      </c>
      <c r="P10" s="53">
        <v>0.46409558948077151</v>
      </c>
      <c r="Q10" s="53">
        <v>0.44416823781434994</v>
      </c>
      <c r="R10" s="179" t="s">
        <v>71</v>
      </c>
      <c r="S10" s="179"/>
      <c r="T10" s="179"/>
      <c r="U10" s="179"/>
      <c r="V10" s="180"/>
    </row>
    <row r="11" spans="1:22" x14ac:dyDescent="0.25">
      <c r="A11" s="53">
        <v>2026</v>
      </c>
      <c r="B11" s="53">
        <v>0.54842265128281509</v>
      </c>
      <c r="C11" s="53">
        <v>0.54286069767727896</v>
      </c>
      <c r="D11" s="53">
        <v>0.54385421503727138</v>
      </c>
      <c r="E11" s="53">
        <v>0.51823719351705011</v>
      </c>
      <c r="F11" s="53">
        <v>0.51823719351705011</v>
      </c>
      <c r="G11" s="53">
        <v>0.5478605879600289</v>
      </c>
      <c r="H11" s="53">
        <v>0.52451647778978416</v>
      </c>
      <c r="J11" s="53">
        <v>2026</v>
      </c>
      <c r="K11" s="53">
        <v>0.46399434781205973</v>
      </c>
      <c r="L11" s="53">
        <v>0.45928864313387929</v>
      </c>
      <c r="M11" s="53">
        <v>0.46012921096675663</v>
      </c>
      <c r="N11" s="53">
        <v>0.43845586621091975</v>
      </c>
      <c r="O11" s="53">
        <v>0.43845586621091975</v>
      </c>
      <c r="P11" s="53">
        <v>0.46351881274020368</v>
      </c>
      <c r="Q11" s="53">
        <v>0.44376847028377975</v>
      </c>
      <c r="R11" s="179"/>
      <c r="S11" s="179"/>
      <c r="T11" s="179"/>
      <c r="U11" s="179"/>
      <c r="V11" s="180"/>
    </row>
    <row r="12" spans="1:22" x14ac:dyDescent="0.25">
      <c r="A12" s="53">
        <v>2027</v>
      </c>
      <c r="B12" s="53">
        <v>0.55712056621490347</v>
      </c>
      <c r="C12" s="53">
        <v>0.55198376238104507</v>
      </c>
      <c r="D12" s="53">
        <v>0.55289369423037293</v>
      </c>
      <c r="E12" s="53">
        <v>0.52789637423739089</v>
      </c>
      <c r="F12" s="53">
        <v>0.52789637423739089</v>
      </c>
      <c r="G12" s="53">
        <v>0.55659045953396191</v>
      </c>
      <c r="H12" s="53">
        <v>0.53383333452080917</v>
      </c>
      <c r="J12" s="53">
        <v>2027</v>
      </c>
      <c r="K12" s="53">
        <v>0.45585419764833052</v>
      </c>
      <c r="L12" s="53">
        <v>0.4516510974000853</v>
      </c>
      <c r="M12" s="53">
        <v>0.45239563328377769</v>
      </c>
      <c r="N12" s="53">
        <v>0.43194201168050728</v>
      </c>
      <c r="O12" s="53">
        <v>0.43194201168050728</v>
      </c>
      <c r="P12" s="53">
        <v>0.45542044709169532</v>
      </c>
      <c r="Q12" s="53">
        <v>0.4367998260039937</v>
      </c>
      <c r="R12" s="2"/>
      <c r="S12" s="2"/>
      <c r="T12" s="2"/>
      <c r="U12" s="2"/>
      <c r="V12" s="33"/>
    </row>
    <row r="13" spans="1:22" ht="15.75" thickBot="1" x14ac:dyDescent="0.3">
      <c r="A13" s="53">
        <v>2028</v>
      </c>
      <c r="B13" s="53">
        <v>0.55581689550284774</v>
      </c>
      <c r="C13" s="53">
        <v>0.55157982694613283</v>
      </c>
      <c r="D13" s="53">
        <v>0.55232625455088502</v>
      </c>
      <c r="E13" s="53">
        <v>0.52514575601025526</v>
      </c>
      <c r="F13" s="53">
        <v>0.52514575601025526</v>
      </c>
      <c r="G13" s="53">
        <v>0.55535551331514355</v>
      </c>
      <c r="H13" s="53">
        <v>0.53087709543365746</v>
      </c>
      <c r="J13" s="53">
        <v>2028</v>
      </c>
      <c r="K13" s="53">
        <v>0.43983316421622626</v>
      </c>
      <c r="L13" s="53">
        <v>0.43648025557782472</v>
      </c>
      <c r="M13" s="53">
        <v>0.43707092422772154</v>
      </c>
      <c r="N13" s="53">
        <v>0.41556224974368283</v>
      </c>
      <c r="O13" s="53">
        <v>0.41556224974368283</v>
      </c>
      <c r="P13" s="53">
        <v>0.43946805982812132</v>
      </c>
      <c r="Q13" s="53">
        <v>0.42009761593026052</v>
      </c>
      <c r="R13" s="34" t="s">
        <v>72</v>
      </c>
      <c r="S13" s="60">
        <v>44008</v>
      </c>
      <c r="T13" s="34"/>
      <c r="U13" s="34"/>
      <c r="V13" s="35"/>
    </row>
    <row r="14" spans="1:22" x14ac:dyDescent="0.25">
      <c r="A14" s="53">
        <v>2029</v>
      </c>
      <c r="B14" s="53">
        <v>0.56699678427604794</v>
      </c>
      <c r="C14" s="53">
        <v>0.56296226245541869</v>
      </c>
      <c r="D14" s="53">
        <v>0.5636725184570418</v>
      </c>
      <c r="E14" s="53">
        <v>0.53578692622010993</v>
      </c>
      <c r="F14" s="53">
        <v>0.53578692622010993</v>
      </c>
      <c r="G14" s="53">
        <v>0.56655319386876435</v>
      </c>
      <c r="H14" s="53">
        <v>0.54149917355733224</v>
      </c>
      <c r="J14" s="53">
        <v>2029</v>
      </c>
      <c r="K14" s="53">
        <v>0.43392661222703716</v>
      </c>
      <c r="L14" s="53">
        <v>0.43083896440586472</v>
      </c>
      <c r="M14" s="53">
        <v>0.43138252830101403</v>
      </c>
      <c r="N14" s="53">
        <v>0.41004148915426419</v>
      </c>
      <c r="O14" s="53">
        <v>0.41004148915426419</v>
      </c>
      <c r="P14" s="53">
        <v>0.43358712937989058</v>
      </c>
      <c r="Q14" s="53">
        <v>0.4144131120699191</v>
      </c>
    </row>
    <row r="15" spans="1:22" x14ac:dyDescent="0.25">
      <c r="A15" s="53">
        <v>2030</v>
      </c>
      <c r="B15" s="53">
        <v>0.57927382841525521</v>
      </c>
      <c r="C15" s="53">
        <v>0.57538074381548721</v>
      </c>
      <c r="D15" s="53">
        <v>0.57607845576501604</v>
      </c>
      <c r="E15" s="53">
        <v>0.54793774846332277</v>
      </c>
      <c r="F15" s="53">
        <v>0.54793774846332277</v>
      </c>
      <c r="G15" s="53">
        <v>0.57884719621030367</v>
      </c>
      <c r="H15" s="53">
        <v>0.55359618430972657</v>
      </c>
      <c r="J15" s="53">
        <v>2030</v>
      </c>
      <c r="K15" s="53">
        <v>0.42874499046223985</v>
      </c>
      <c r="L15" s="53">
        <v>0.42586355436463025</v>
      </c>
      <c r="M15" s="53">
        <v>0.42637996040348841</v>
      </c>
      <c r="N15" s="53">
        <v>0.40555183613508772</v>
      </c>
      <c r="O15" s="53">
        <v>0.40555183613508772</v>
      </c>
      <c r="P15" s="53">
        <v>0.42842922197474709</v>
      </c>
      <c r="Q15" s="53">
        <v>0.40973988314151744</v>
      </c>
    </row>
    <row r="16" spans="1:22" x14ac:dyDescent="0.25">
      <c r="A16" s="53">
        <v>2031</v>
      </c>
      <c r="B16" s="53">
        <v>0.58181648543950693</v>
      </c>
      <c r="C16" s="53">
        <v>0.57792550751122573</v>
      </c>
      <c r="D16" s="53">
        <v>0.57862667814084301</v>
      </c>
      <c r="E16" s="53">
        <v>0.55106437918218087</v>
      </c>
      <c r="F16" s="53">
        <v>0.55106437918218087</v>
      </c>
      <c r="G16" s="53">
        <v>0.58139421953707493</v>
      </c>
      <c r="H16" s="53">
        <v>0.55664048688248335</v>
      </c>
      <c r="J16" s="53">
        <v>2031</v>
      </c>
      <c r="K16" s="53">
        <v>0.41646703883833869</v>
      </c>
      <c r="L16" s="53">
        <v>0.41368185812151437</v>
      </c>
      <c r="M16" s="53">
        <v>0.41418375943085339</v>
      </c>
      <c r="N16" s="53">
        <v>0.39445453326047442</v>
      </c>
      <c r="O16" s="53">
        <v>0.39445453326047442</v>
      </c>
      <c r="P16" s="53">
        <v>0.41616477887426184</v>
      </c>
      <c r="Q16" s="53">
        <v>0.39844593797365369</v>
      </c>
    </row>
    <row r="17" spans="1:17" x14ac:dyDescent="0.25">
      <c r="A17" s="53">
        <v>2032</v>
      </c>
      <c r="B17" s="53">
        <v>0.5975491055798744</v>
      </c>
      <c r="C17" s="53">
        <v>0.59346002770869621</v>
      </c>
      <c r="D17" s="53">
        <v>0.59417077432249221</v>
      </c>
      <c r="E17" s="53">
        <v>0.56638642146513252</v>
      </c>
      <c r="F17" s="53">
        <v>0.56638642146513252</v>
      </c>
      <c r="G17" s="53">
        <v>0.5971026507712327</v>
      </c>
      <c r="H17" s="53">
        <v>0.57210578974302018</v>
      </c>
      <c r="J17" s="53">
        <v>2032</v>
      </c>
      <c r="K17" s="53">
        <v>0.41366394971890763</v>
      </c>
      <c r="L17" s="53">
        <v>0.41083321315331894</v>
      </c>
      <c r="M17" s="53">
        <v>0.41132524008259846</v>
      </c>
      <c r="N17" s="53">
        <v>0.39209102981262273</v>
      </c>
      <c r="O17" s="53">
        <v>0.39209102981262273</v>
      </c>
      <c r="P17" s="53">
        <v>0.41335488347181731</v>
      </c>
      <c r="Q17" s="53">
        <v>0.39605036378138858</v>
      </c>
    </row>
    <row r="18" spans="1:17" x14ac:dyDescent="0.25">
      <c r="A18" s="53">
        <v>2033</v>
      </c>
      <c r="B18" s="53">
        <v>0.61133030484174089</v>
      </c>
      <c r="C18" s="53">
        <v>0.60729746006343155</v>
      </c>
      <c r="D18" s="53">
        <v>0.60799706431833944</v>
      </c>
      <c r="E18" s="53">
        <v>0.57989076699133602</v>
      </c>
      <c r="F18" s="53">
        <v>0.57989076699133602</v>
      </c>
      <c r="G18" s="53">
        <v>0.61088738640510387</v>
      </c>
      <c r="H18" s="53">
        <v>0.58560757918643291</v>
      </c>
      <c r="J18" s="53">
        <v>2033</v>
      </c>
      <c r="K18" s="53">
        <v>0.40928842257735859</v>
      </c>
      <c r="L18" s="53">
        <v>0.40658841463608553</v>
      </c>
      <c r="M18" s="53">
        <v>0.40705680287015777</v>
      </c>
      <c r="N18" s="53">
        <v>0.38823950883720865</v>
      </c>
      <c r="O18" s="53">
        <v>0.38823950883720865</v>
      </c>
      <c r="P18" s="53">
        <v>0.40899188666735076</v>
      </c>
      <c r="Q18" s="53">
        <v>0.39206694063139713</v>
      </c>
    </row>
    <row r="19" spans="1:17" x14ac:dyDescent="0.25">
      <c r="A19" s="53">
        <v>2034</v>
      </c>
      <c r="B19" s="53">
        <v>0.61493272626167594</v>
      </c>
      <c r="C19" s="53">
        <v>0.61120088982298904</v>
      </c>
      <c r="D19" s="53">
        <v>0.61184351088174815</v>
      </c>
      <c r="E19" s="53">
        <v>0.58383940434397497</v>
      </c>
      <c r="F19" s="53">
        <v>0.58383940434397497</v>
      </c>
      <c r="G19" s="53">
        <v>0.61451349175089898</v>
      </c>
      <c r="H19" s="53">
        <v>0.58936109034941009</v>
      </c>
      <c r="J19" s="53">
        <v>2034</v>
      </c>
      <c r="K19" s="53">
        <v>0.39816272738918074</v>
      </c>
      <c r="L19" s="53">
        <v>0.39574640099908776</v>
      </c>
      <c r="M19" s="53">
        <v>0.39616249164202477</v>
      </c>
      <c r="N19" s="53">
        <v>0.37803011559340943</v>
      </c>
      <c r="O19" s="53">
        <v>0.37803011559340943</v>
      </c>
      <c r="P19" s="53">
        <v>0.39789127727911516</v>
      </c>
      <c r="Q19" s="53">
        <v>0.38160535149453978</v>
      </c>
    </row>
    <row r="20" spans="1:17" x14ac:dyDescent="0.25">
      <c r="A20" s="53">
        <v>2035</v>
      </c>
      <c r="B20" s="53">
        <v>0.6284857294622902</v>
      </c>
      <c r="C20" s="53">
        <v>0.6253718857497983</v>
      </c>
      <c r="D20" s="53">
        <v>0.62590280915633845</v>
      </c>
      <c r="E20" s="53">
        <v>0.59664224740534999</v>
      </c>
      <c r="F20" s="53">
        <v>0.59664224740534999</v>
      </c>
      <c r="G20" s="53">
        <v>0.62811373070550236</v>
      </c>
      <c r="H20" s="53">
        <v>0.60198477919662596</v>
      </c>
      <c r="J20" s="53">
        <v>2035</v>
      </c>
      <c r="K20" s="53">
        <v>0.39355721473034899</v>
      </c>
      <c r="L20" s="53">
        <v>0.39160732851790886</v>
      </c>
      <c r="M20" s="53">
        <v>0.39193979229125792</v>
      </c>
      <c r="N20" s="53">
        <v>0.37361685408545836</v>
      </c>
      <c r="O20" s="53">
        <v>0.37361685408545836</v>
      </c>
      <c r="P20" s="53">
        <v>0.39332426943383475</v>
      </c>
      <c r="Q20" s="53">
        <v>0.37696234282580227</v>
      </c>
    </row>
    <row r="21" spans="1:17" x14ac:dyDescent="0.25">
      <c r="A21" s="53">
        <v>2036</v>
      </c>
      <c r="B21" s="53">
        <v>0.63846801817089804</v>
      </c>
      <c r="C21" s="53">
        <v>0.63555044308966513</v>
      </c>
      <c r="D21" s="53">
        <v>0.63606921406366568</v>
      </c>
      <c r="E21" s="53">
        <v>0.60660501461350902</v>
      </c>
      <c r="F21" s="53">
        <v>0.60660501461350902</v>
      </c>
      <c r="G21" s="53">
        <v>0.63812245727898842</v>
      </c>
      <c r="H21" s="53">
        <v>0.61186244256242195</v>
      </c>
      <c r="J21" s="53">
        <v>2036</v>
      </c>
      <c r="K21" s="53">
        <v>0.38666162011502181</v>
      </c>
      <c r="L21" s="53">
        <v>0.38489471202313552</v>
      </c>
      <c r="M21" s="53">
        <v>0.38520888410312532</v>
      </c>
      <c r="N21" s="53">
        <v>0.36736511625485035</v>
      </c>
      <c r="O21" s="53">
        <v>0.36736511625485035</v>
      </c>
      <c r="P21" s="53">
        <v>0.38645234552254187</v>
      </c>
      <c r="Q21" s="53">
        <v>0.37054905899044488</v>
      </c>
    </row>
    <row r="22" spans="1:17" x14ac:dyDescent="0.25">
      <c r="A22" s="53">
        <v>2037</v>
      </c>
      <c r="B22" s="53">
        <v>0.65120112007078834</v>
      </c>
      <c r="C22" s="53">
        <v>0.64730798811487755</v>
      </c>
      <c r="D22" s="53">
        <v>0.64797836610996273</v>
      </c>
      <c r="E22" s="53">
        <v>0.61919773063458461</v>
      </c>
      <c r="F22" s="53">
        <v>0.61919773063458461</v>
      </c>
      <c r="G22" s="53">
        <v>0.65077445023707736</v>
      </c>
      <c r="H22" s="53">
        <v>0.62492314212957889</v>
      </c>
      <c r="J22" s="53">
        <v>2037</v>
      </c>
      <c r="K22" s="53">
        <v>0.38140512000561788</v>
      </c>
      <c r="L22" s="53">
        <v>0.37912493280219223</v>
      </c>
      <c r="M22" s="53">
        <v>0.37951756971847517</v>
      </c>
      <c r="N22" s="53">
        <v>0.3626609007279008</v>
      </c>
      <c r="O22" s="53">
        <v>0.3626609007279008</v>
      </c>
      <c r="P22" s="53">
        <v>0.38115522169599636</v>
      </c>
      <c r="Q22" s="53">
        <v>0.36601424455828685</v>
      </c>
    </row>
    <row r="23" spans="1:17" x14ac:dyDescent="0.25">
      <c r="A23" s="53">
        <v>2038</v>
      </c>
      <c r="B23" s="53">
        <v>0.66968474544564871</v>
      </c>
      <c r="C23" s="53">
        <v>0.66559895074558995</v>
      </c>
      <c r="D23" s="53">
        <v>0.66630135593929529</v>
      </c>
      <c r="E23" s="53">
        <v>0.63734675663626039</v>
      </c>
      <c r="F23" s="53">
        <v>0.63734675663626039</v>
      </c>
      <c r="G23" s="53">
        <v>0.66924301366245287</v>
      </c>
      <c r="H23" s="53">
        <v>0.64319238054723638</v>
      </c>
      <c r="J23" s="53">
        <v>2038</v>
      </c>
      <c r="K23" s="53">
        <v>0.3793335430977513</v>
      </c>
      <c r="L23" s="53">
        <v>0.37701920192381294</v>
      </c>
      <c r="M23" s="53">
        <v>0.37741706950647858</v>
      </c>
      <c r="N23" s="53">
        <v>0.36101614232799423</v>
      </c>
      <c r="O23" s="53">
        <v>0.36101614232799423</v>
      </c>
      <c r="P23" s="53">
        <v>0.37908333031694941</v>
      </c>
      <c r="Q23" s="53">
        <v>0.36432731410672697</v>
      </c>
    </row>
    <row r="24" spans="1:17" x14ac:dyDescent="0.25">
      <c r="A24" s="53">
        <v>2039</v>
      </c>
      <c r="B24" s="53">
        <v>0.68953312039467474</v>
      </c>
      <c r="C24" s="53">
        <v>0.68518931454716814</v>
      </c>
      <c r="D24" s="53">
        <v>0.68593910330658958</v>
      </c>
      <c r="E24" s="53">
        <v>0.65690730640591066</v>
      </c>
      <c r="F24" s="53">
        <v>0.65690730640591066</v>
      </c>
      <c r="G24" s="53">
        <v>0.68907295570111848</v>
      </c>
      <c r="H24" s="53">
        <v>0.66290633886098072</v>
      </c>
      <c r="J24" s="53">
        <v>2039</v>
      </c>
      <c r="K24" s="53">
        <v>0.37773344008811988</v>
      </c>
      <c r="L24" s="53">
        <v>0.37535385790805809</v>
      </c>
      <c r="M24" s="53">
        <v>0.37576460001610007</v>
      </c>
      <c r="N24" s="53">
        <v>0.35986067866572868</v>
      </c>
      <c r="O24" s="53">
        <v>0.35986067866572868</v>
      </c>
      <c r="P24" s="53">
        <v>0.37748135706619829</v>
      </c>
      <c r="Q24" s="53">
        <v>0.36314701125720283</v>
      </c>
    </row>
    <row r="25" spans="1:17" x14ac:dyDescent="0.25">
      <c r="A25" s="53">
        <v>2040</v>
      </c>
      <c r="B25" s="53">
        <v>0.70055761030707575</v>
      </c>
      <c r="C25" s="53">
        <v>0.6963818697598434</v>
      </c>
      <c r="D25" s="53">
        <v>0.69709298439636069</v>
      </c>
      <c r="E25" s="53">
        <v>0.66825353149748312</v>
      </c>
      <c r="F25" s="53">
        <v>0.66825353149748312</v>
      </c>
      <c r="G25" s="53">
        <v>0.70010933830694089</v>
      </c>
      <c r="H25" s="53">
        <v>0.67412660327263374</v>
      </c>
      <c r="J25" s="53">
        <v>2040</v>
      </c>
      <c r="K25" s="53">
        <v>0.37115355002513856</v>
      </c>
      <c r="L25" s="53">
        <v>0.36894125384094628</v>
      </c>
      <c r="M25" s="53">
        <v>0.36931800047524882</v>
      </c>
      <c r="N25" s="53">
        <v>0.3540389353894961</v>
      </c>
      <c r="O25" s="53">
        <v>0.3540389353894961</v>
      </c>
      <c r="P25" s="53">
        <v>0.37091605671726624</v>
      </c>
      <c r="Q25" s="53">
        <v>0.35715047312290837</v>
      </c>
    </row>
    <row r="26" spans="1:17" x14ac:dyDescent="0.25">
      <c r="A26" s="53">
        <v>2041</v>
      </c>
      <c r="B26" s="53">
        <v>0.71456876251321733</v>
      </c>
      <c r="C26" s="53">
        <v>0.71030950715504027</v>
      </c>
      <c r="D26" s="53">
        <v>0.71103484408428796</v>
      </c>
      <c r="E26" s="53">
        <v>0.68161860212743275</v>
      </c>
      <c r="F26" s="53">
        <v>0.68161860212743275</v>
      </c>
      <c r="G26" s="53">
        <v>0.71411152507307973</v>
      </c>
      <c r="H26" s="53">
        <v>0.68760913533808643</v>
      </c>
      <c r="J26" s="53">
        <v>2041</v>
      </c>
      <c r="K26" s="53">
        <v>0.36612826017953715</v>
      </c>
      <c r="L26" s="53">
        <v>0.36394591771544027</v>
      </c>
      <c r="M26" s="53">
        <v>0.36431756333148346</v>
      </c>
      <c r="N26" s="53">
        <v>0.34924537146739465</v>
      </c>
      <c r="O26" s="53">
        <v>0.34924537146739465</v>
      </c>
      <c r="P26" s="53">
        <v>0.36589398244836718</v>
      </c>
      <c r="Q26" s="53">
        <v>0.35231478006321726</v>
      </c>
    </row>
    <row r="27" spans="1:17" x14ac:dyDescent="0.25">
      <c r="A27" s="53">
        <v>2042</v>
      </c>
      <c r="B27" s="53">
        <v>0.72886013776348169</v>
      </c>
      <c r="C27" s="53">
        <v>0.72451569729814114</v>
      </c>
      <c r="D27" s="53">
        <v>0.72525554096597378</v>
      </c>
      <c r="E27" s="53">
        <v>0.69525097416998138</v>
      </c>
      <c r="F27" s="53">
        <v>0.69525097416998138</v>
      </c>
      <c r="G27" s="53">
        <v>0.72839375557454134</v>
      </c>
      <c r="H27" s="53">
        <v>0.70136131804484814</v>
      </c>
      <c r="J27" s="53">
        <v>2042</v>
      </c>
      <c r="K27" s="53">
        <v>0.36117101100882776</v>
      </c>
      <c r="L27" s="53">
        <v>0.35901821670188505</v>
      </c>
      <c r="M27" s="53">
        <v>0.35938483036568003</v>
      </c>
      <c r="N27" s="53">
        <v>0.34451671073185935</v>
      </c>
      <c r="O27" s="53">
        <v>0.34451671073185935</v>
      </c>
      <c r="P27" s="53">
        <v>0.36093990531657111</v>
      </c>
      <c r="Q27" s="53">
        <v>0.34754456060394739</v>
      </c>
    </row>
    <row r="28" spans="1:17" x14ac:dyDescent="0.25">
      <c r="A28" s="53">
        <v>2043</v>
      </c>
      <c r="B28" s="53">
        <v>0.74343734051875132</v>
      </c>
      <c r="C28" s="53">
        <v>0.73900601124410392</v>
      </c>
      <c r="D28" s="53">
        <v>0.73976065178529327</v>
      </c>
      <c r="E28" s="53">
        <v>0.709155993653381</v>
      </c>
      <c r="F28" s="53">
        <v>0.709155993653381</v>
      </c>
      <c r="G28" s="53">
        <v>0.74296163068603216</v>
      </c>
      <c r="H28" s="53">
        <v>0.71538854440574506</v>
      </c>
      <c r="J28" s="53">
        <v>2043</v>
      </c>
      <c r="K28" s="53">
        <v>0.35628088126596164</v>
      </c>
      <c r="L28" s="53">
        <v>0.35415723504441271</v>
      </c>
      <c r="M28" s="53">
        <v>0.35451888488684108</v>
      </c>
      <c r="N28" s="53">
        <v>0.33985207441634097</v>
      </c>
      <c r="O28" s="53">
        <v>0.33985207441634097</v>
      </c>
      <c r="P28" s="53">
        <v>0.35605290466431583</v>
      </c>
      <c r="Q28" s="53">
        <v>0.34283892825534462</v>
      </c>
    </row>
    <row r="29" spans="1:17" x14ac:dyDescent="0.25">
      <c r="A29" s="53">
        <v>2044</v>
      </c>
      <c r="B29" s="53">
        <v>0.75830608732912641</v>
      </c>
      <c r="C29" s="53">
        <v>0.75378613146898599</v>
      </c>
      <c r="D29" s="53">
        <v>0.75455586482099912</v>
      </c>
      <c r="E29" s="53">
        <v>0.72333911352644864</v>
      </c>
      <c r="F29" s="53">
        <v>0.72333911352644864</v>
      </c>
      <c r="G29" s="53">
        <v>0.75782086329975284</v>
      </c>
      <c r="H29" s="53">
        <v>0.72969631529386003</v>
      </c>
      <c r="J29" s="53">
        <v>2044</v>
      </c>
      <c r="K29" s="53">
        <v>0.3514569621772542</v>
      </c>
      <c r="L29" s="53">
        <v>0.34936206938617104</v>
      </c>
      <c r="M29" s="53">
        <v>0.34971882261564585</v>
      </c>
      <c r="N29" s="53">
        <v>0.33525059565248327</v>
      </c>
      <c r="O29" s="53">
        <v>0.33525059565248327</v>
      </c>
      <c r="P29" s="53">
        <v>0.35123207229942172</v>
      </c>
      <c r="Q29" s="53">
        <v>0.33819700853041729</v>
      </c>
    </row>
    <row r="30" spans="1:17" x14ac:dyDescent="0.25">
      <c r="A30" s="53">
        <v>2045</v>
      </c>
      <c r="B30" s="53">
        <v>0.77347220907570891</v>
      </c>
      <c r="C30" s="53">
        <v>0.76886185409836572</v>
      </c>
      <c r="D30" s="53">
        <v>0.76964698211741911</v>
      </c>
      <c r="E30" s="53">
        <v>0.73780589579697764</v>
      </c>
      <c r="F30" s="53">
        <v>0.73780589579697764</v>
      </c>
      <c r="G30" s="53">
        <v>0.77297728056574788</v>
      </c>
      <c r="H30" s="53">
        <v>0.74429024159973722</v>
      </c>
      <c r="J30" s="53">
        <v>2045</v>
      </c>
      <c r="K30" s="53">
        <v>0.34669835727350035</v>
      </c>
      <c r="L30" s="53">
        <v>0.34463182860144542</v>
      </c>
      <c r="M30" s="53">
        <v>0.3449837515164012</v>
      </c>
      <c r="N30" s="53">
        <v>0.33071141930902614</v>
      </c>
      <c r="O30" s="53">
        <v>0.33071141930902614</v>
      </c>
      <c r="P30" s="53">
        <v>0.34647651232631554</v>
      </c>
      <c r="Q30" s="53">
        <v>0.3336179387824233</v>
      </c>
    </row>
    <row r="31" spans="1:17" x14ac:dyDescent="0.25">
      <c r="A31" s="53">
        <v>2046</v>
      </c>
      <c r="B31" s="53">
        <v>0.7889416532572231</v>
      </c>
      <c r="C31" s="53">
        <v>0.78423909118033308</v>
      </c>
      <c r="D31" s="53">
        <v>0.78503992175976756</v>
      </c>
      <c r="E31" s="53">
        <v>0.7525620137129172</v>
      </c>
      <c r="F31" s="53">
        <v>0.7525620137129172</v>
      </c>
      <c r="G31" s="53">
        <v>0.7884368261770629</v>
      </c>
      <c r="H31" s="53">
        <v>0.75917604643173198</v>
      </c>
      <c r="J31" s="53">
        <v>2046</v>
      </c>
      <c r="K31" s="53">
        <v>0.34200418222337559</v>
      </c>
      <c r="L31" s="53">
        <v>0.33996563363005255</v>
      </c>
      <c r="M31" s="53">
        <v>0.34031279163126621</v>
      </c>
      <c r="N31" s="53">
        <v>0.32623370183288847</v>
      </c>
      <c r="O31" s="53">
        <v>0.32623370183288847</v>
      </c>
      <c r="P31" s="53">
        <v>0.34178534097953761</v>
      </c>
      <c r="Q31" s="53">
        <v>0.32910086804455685</v>
      </c>
    </row>
    <row r="32" spans="1:17" x14ac:dyDescent="0.25">
      <c r="A32" s="53">
        <v>2047</v>
      </c>
      <c r="B32" s="53">
        <v>0.80472048632236759</v>
      </c>
      <c r="C32" s="53">
        <v>0.79992387300393974</v>
      </c>
      <c r="D32" s="53">
        <v>0.8007407201949629</v>
      </c>
      <c r="E32" s="53">
        <v>0.7676132539871755</v>
      </c>
      <c r="F32" s="53">
        <v>0.7676132539871755</v>
      </c>
      <c r="G32" s="53">
        <v>0.80420556270060417</v>
      </c>
      <c r="H32" s="53">
        <v>0.7743595673603666</v>
      </c>
      <c r="J32" s="53">
        <v>2047</v>
      </c>
      <c r="K32" s="53">
        <v>0.33737356466909391</v>
      </c>
      <c r="L32" s="53">
        <v>0.33536261731397837</v>
      </c>
      <c r="M32" s="53">
        <v>0.33570507491672297</v>
      </c>
      <c r="N32" s="53">
        <v>0.32181661109240445</v>
      </c>
      <c r="O32" s="53">
        <v>0.32181661109240445</v>
      </c>
      <c r="P32" s="53">
        <v>0.33715768645950517</v>
      </c>
      <c r="Q32" s="53">
        <v>0.32464495687180656</v>
      </c>
    </row>
    <row r="33" spans="1:17" x14ac:dyDescent="0.25">
      <c r="A33" s="53">
        <v>2048</v>
      </c>
      <c r="B33" s="53">
        <v>0.82081489604881497</v>
      </c>
      <c r="C33" s="53">
        <v>0.81592235046401851</v>
      </c>
      <c r="D33" s="53">
        <v>0.81675553459886219</v>
      </c>
      <c r="E33" s="53">
        <v>0.78296551906691902</v>
      </c>
      <c r="F33" s="53">
        <v>0.78296551906691902</v>
      </c>
      <c r="G33" s="53">
        <v>0.82028967395461627</v>
      </c>
      <c r="H33" s="53">
        <v>0.78984675870757393</v>
      </c>
      <c r="J33" s="53">
        <v>2048</v>
      </c>
      <c r="K33" s="53">
        <v>0.33280564406428986</v>
      </c>
      <c r="L33" s="53">
        <v>0.33082192423622614</v>
      </c>
      <c r="M33" s="53">
        <v>0.33115974508226048</v>
      </c>
      <c r="N33" s="53">
        <v>0.3174593262226813</v>
      </c>
      <c r="O33" s="53">
        <v>0.3174593262226813</v>
      </c>
      <c r="P33" s="53">
        <v>0.33259268877049825</v>
      </c>
      <c r="Q33" s="53">
        <v>0.32024937718495416</v>
      </c>
    </row>
    <row r="34" spans="1:17" x14ac:dyDescent="0.25">
      <c r="A34" s="53">
        <v>2049</v>
      </c>
      <c r="B34" s="53">
        <v>0.83723119396979129</v>
      </c>
      <c r="C34" s="53">
        <v>0.83224079747329893</v>
      </c>
      <c r="D34" s="53">
        <v>0.83309064529083943</v>
      </c>
      <c r="E34" s="53">
        <v>0.79862482944825741</v>
      </c>
      <c r="F34" s="53">
        <v>0.79862482944825741</v>
      </c>
      <c r="G34" s="53">
        <v>0.8366954674337086</v>
      </c>
      <c r="H34" s="53">
        <v>0.80564369388172541</v>
      </c>
      <c r="J34" s="53">
        <v>2049</v>
      </c>
      <c r="K34" s="53">
        <v>0.32829957151409644</v>
      </c>
      <c r="L34" s="53">
        <v>0.32634271056184794</v>
      </c>
      <c r="M34" s="53">
        <v>0.3266759574312435</v>
      </c>
      <c r="N34" s="53">
        <v>0.3131610374730513</v>
      </c>
      <c r="O34" s="53">
        <v>0.3131610374730513</v>
      </c>
      <c r="P34" s="53">
        <v>0.32808949956083977</v>
      </c>
      <c r="Q34" s="53">
        <v>0.315913312116686</v>
      </c>
    </row>
    <row r="35" spans="1:17" x14ac:dyDescent="0.25">
      <c r="A35" s="53">
        <v>2050</v>
      </c>
      <c r="B35" s="53">
        <v>0.85397581784918708</v>
      </c>
      <c r="C35" s="53">
        <v>0.84888561342276492</v>
      </c>
      <c r="D35" s="53">
        <v>0.84975245819665624</v>
      </c>
      <c r="E35" s="53">
        <v>0.81459732603722257</v>
      </c>
      <c r="F35" s="53">
        <v>0.81459732603722257</v>
      </c>
      <c r="G35" s="53">
        <v>0.85342937678238273</v>
      </c>
      <c r="H35" s="53">
        <v>0.8217565677593599</v>
      </c>
      <c r="J35" s="53">
        <v>2050</v>
      </c>
      <c r="K35" s="53">
        <v>0.32385450961738727</v>
      </c>
      <c r="L35" s="53">
        <v>0.32192414388112667</v>
      </c>
      <c r="M35" s="53">
        <v>0.32225287870393465</v>
      </c>
      <c r="N35" s="53">
        <v>0.30892094605658837</v>
      </c>
      <c r="O35" s="53">
        <v>0.30892094605658837</v>
      </c>
      <c r="P35" s="53">
        <v>0.32364728196523851</v>
      </c>
      <c r="Q35" s="53">
        <v>0.31163595585978704</v>
      </c>
    </row>
    <row r="36" spans="1:17" x14ac:dyDescent="0.25">
      <c r="A36" s="53">
        <v>2051</v>
      </c>
      <c r="B36" s="53">
        <v>0.87105533420617087</v>
      </c>
      <c r="C36" s="53">
        <v>0.86586332569122026</v>
      </c>
      <c r="D36" s="53">
        <v>0.86674750736058936</v>
      </c>
      <c r="E36" s="53">
        <v>0.83088927255796707</v>
      </c>
      <c r="F36" s="53">
        <v>0.83088927255796707</v>
      </c>
      <c r="G36" s="53">
        <v>0.87049796431803039</v>
      </c>
      <c r="H36" s="53">
        <v>0.83819169911454716</v>
      </c>
      <c r="J36" s="53">
        <v>2051</v>
      </c>
      <c r="K36" s="53">
        <v>0.31946963231115572</v>
      </c>
      <c r="L36" s="53">
        <v>0.31756540305488312</v>
      </c>
      <c r="M36" s="53">
        <v>0.31788968692264341</v>
      </c>
      <c r="N36" s="53">
        <v>0.30473826400166354</v>
      </c>
      <c r="O36" s="53">
        <v>0.30473826400166354</v>
      </c>
      <c r="P36" s="53">
        <v>0.31926521044926809</v>
      </c>
      <c r="Q36" s="53">
        <v>0.30741651351739141</v>
      </c>
    </row>
    <row r="37" spans="1:17" x14ac:dyDescent="0.25">
      <c r="A37" s="53">
        <v>2052</v>
      </c>
      <c r="B37" s="53">
        <v>0.88847644089029432</v>
      </c>
      <c r="C37" s="53">
        <v>0.88318059220504463</v>
      </c>
      <c r="D37" s="53">
        <v>0.88408245750780112</v>
      </c>
      <c r="E37" s="53">
        <v>0.8475070580091264</v>
      </c>
      <c r="F37" s="53">
        <v>0.8475070580091264</v>
      </c>
      <c r="G37" s="53">
        <v>0.88790792360439097</v>
      </c>
      <c r="H37" s="53">
        <v>0.85495553309683814</v>
      </c>
      <c r="J37" s="53">
        <v>2052</v>
      </c>
      <c r="K37" s="53">
        <v>0.31514412471700076</v>
      </c>
      <c r="L37" s="53">
        <v>0.31326567806187694</v>
      </c>
      <c r="M37" s="53">
        <v>0.31358557123897124</v>
      </c>
      <c r="N37" s="53">
        <v>0.30061221400550947</v>
      </c>
      <c r="O37" s="53">
        <v>0.30061221400550947</v>
      </c>
      <c r="P37" s="53">
        <v>0.3149424706559511</v>
      </c>
      <c r="Q37" s="53">
        <v>0.3032542009552604</v>
      </c>
    </row>
    <row r="38" spans="1:17" x14ac:dyDescent="0.25">
      <c r="A38" s="53">
        <v>2053</v>
      </c>
      <c r="B38" s="53">
        <v>0.90624596970810023</v>
      </c>
      <c r="C38" s="53">
        <v>0.90084420404914556</v>
      </c>
      <c r="D38" s="53">
        <v>0.90176410665795714</v>
      </c>
      <c r="E38" s="53">
        <v>0.86445719916930897</v>
      </c>
      <c r="F38" s="53">
        <v>0.86445719916930897</v>
      </c>
      <c r="G38" s="53">
        <v>0.90566608207647881</v>
      </c>
      <c r="H38" s="53">
        <v>0.87205464375877495</v>
      </c>
      <c r="J38" s="53">
        <v>2053</v>
      </c>
      <c r="K38" s="53">
        <v>0.3108771829896913</v>
      </c>
      <c r="L38" s="53">
        <v>0.30902416984827324</v>
      </c>
      <c r="M38" s="53">
        <v>0.30933973178312446</v>
      </c>
      <c r="N38" s="53">
        <v>0.29654202928976758</v>
      </c>
      <c r="O38" s="53">
        <v>0.29654202928976758</v>
      </c>
      <c r="P38" s="53">
        <v>0.31067825925441989</v>
      </c>
      <c r="Q38" s="53">
        <v>0.2991482446560596</v>
      </c>
    </row>
    <row r="39" spans="1:17" x14ac:dyDescent="0.25">
      <c r="A39" s="53">
        <v>2054</v>
      </c>
      <c r="B39" s="53">
        <v>0.92437088910226228</v>
      </c>
      <c r="C39" s="53">
        <v>0.91886108813012846</v>
      </c>
      <c r="D39" s="53">
        <v>0.91979938879111633</v>
      </c>
      <c r="E39" s="53">
        <v>0.88174634315269518</v>
      </c>
      <c r="F39" s="53">
        <v>0.88174634315269518</v>
      </c>
      <c r="G39" s="53">
        <v>0.92377940371800837</v>
      </c>
      <c r="H39" s="53">
        <v>0.88949573663395043</v>
      </c>
      <c r="J39" s="53">
        <v>2054</v>
      </c>
      <c r="K39" s="53">
        <v>0.30666801416778061</v>
      </c>
      <c r="L39" s="53">
        <v>0.30484009017914765</v>
      </c>
      <c r="M39" s="53">
        <v>0.30515137951526783</v>
      </c>
      <c r="N39" s="53">
        <v>0.29252695345799123</v>
      </c>
      <c r="O39" s="53">
        <v>0.29252695345799123</v>
      </c>
      <c r="P39" s="53">
        <v>0.30647178379062695</v>
      </c>
      <c r="Q39" s="53">
        <v>0.29509788157561001</v>
      </c>
    </row>
    <row r="40" spans="1:17" x14ac:dyDescent="0.25">
      <c r="A40" s="53">
        <v>2055</v>
      </c>
      <c r="B40" s="53">
        <v>0.9428583068843075</v>
      </c>
      <c r="C40" s="53">
        <v>0.93723830989273105</v>
      </c>
      <c r="D40" s="53">
        <v>0.93819537656693863</v>
      </c>
      <c r="E40" s="53">
        <v>0.89938127001574908</v>
      </c>
      <c r="F40" s="53">
        <v>0.89938127001574908</v>
      </c>
      <c r="G40" s="53">
        <v>0.9422549917923686</v>
      </c>
      <c r="H40" s="53">
        <v>0.90728565136662942</v>
      </c>
      <c r="J40" s="53">
        <v>2055</v>
      </c>
      <c r="K40" s="53">
        <v>0.30251583602624393</v>
      </c>
      <c r="L40" s="53">
        <v>0.30071266149200254</v>
      </c>
      <c r="M40" s="53">
        <v>0.30101973607889093</v>
      </c>
      <c r="N40" s="53">
        <v>0.28856624035507844</v>
      </c>
      <c r="O40" s="53">
        <v>0.28856624035507844</v>
      </c>
      <c r="P40" s="53">
        <v>0.30232226254007688</v>
      </c>
      <c r="Q40" s="53">
        <v>0.29110235900108533</v>
      </c>
    </row>
    <row r="41" spans="1:17" x14ac:dyDescent="0.25">
      <c r="A41" s="53">
        <v>2056</v>
      </c>
      <c r="B41" s="53">
        <v>0.96171547302199367</v>
      </c>
      <c r="C41" s="53">
        <v>0.95598307609058564</v>
      </c>
      <c r="D41" s="53">
        <v>0.95695928409827746</v>
      </c>
      <c r="E41" s="53">
        <v>0.91736889541606403</v>
      </c>
      <c r="F41" s="53">
        <v>0.91736889541606403</v>
      </c>
      <c r="G41" s="53">
        <v>0.96110009162821597</v>
      </c>
      <c r="H41" s="53">
        <v>0.92543136439396201</v>
      </c>
      <c r="J41" s="53">
        <v>2056</v>
      </c>
      <c r="K41" s="53">
        <v>0.29841987693111105</v>
      </c>
      <c r="L41" s="53">
        <v>0.29664111675226557</v>
      </c>
      <c r="M41" s="53">
        <v>0.29694403365615935</v>
      </c>
      <c r="N41" s="53">
        <v>0.2846591539286073</v>
      </c>
      <c r="O41" s="53">
        <v>0.2846591539286073</v>
      </c>
      <c r="P41" s="53">
        <v>0.29822892436255166</v>
      </c>
      <c r="Q41" s="53">
        <v>0.28716093441112867</v>
      </c>
    </row>
    <row r="42" spans="1:17" x14ac:dyDescent="0.25">
      <c r="A42" s="53">
        <v>2057</v>
      </c>
      <c r="B42" s="53">
        <v>0.98094978248243359</v>
      </c>
      <c r="C42" s="53">
        <v>0.97510273761239741</v>
      </c>
      <c r="D42" s="53">
        <v>0.97609846978024306</v>
      </c>
      <c r="E42" s="53">
        <v>0.93571627332438534</v>
      </c>
      <c r="F42" s="53">
        <v>0.93571627332438534</v>
      </c>
      <c r="G42" s="53">
        <v>0.98032209346078025</v>
      </c>
      <c r="H42" s="53">
        <v>0.94393999168184128</v>
      </c>
      <c r="J42" s="53">
        <v>2057</v>
      </c>
      <c r="K42" s="53">
        <v>0.29437937569606704</v>
      </c>
      <c r="L42" s="53">
        <v>0.29262469931074558</v>
      </c>
      <c r="M42" s="53">
        <v>0.29292351482522494</v>
      </c>
      <c r="N42" s="53">
        <v>0.2808049680920498</v>
      </c>
      <c r="O42" s="53">
        <v>0.2808049680920498</v>
      </c>
      <c r="P42" s="53">
        <v>0.29419100855880342</v>
      </c>
      <c r="Q42" s="53">
        <v>0.28327287533786394</v>
      </c>
    </row>
    <row r="43" spans="1:17" x14ac:dyDescent="0.25">
      <c r="A43" s="53">
        <v>2058</v>
      </c>
      <c r="B43" s="53">
        <v>1.0005687781320822</v>
      </c>
      <c r="C43" s="53">
        <v>0.99460479236464538</v>
      </c>
      <c r="D43" s="53">
        <v>0.99562043917584797</v>
      </c>
      <c r="E43" s="53">
        <v>0.95443059879087311</v>
      </c>
      <c r="F43" s="53">
        <v>0.95443059879087311</v>
      </c>
      <c r="G43" s="53">
        <v>0.99992853532999593</v>
      </c>
      <c r="H43" s="53">
        <v>0.96281879151547811</v>
      </c>
      <c r="J43" s="53">
        <v>2058</v>
      </c>
      <c r="K43" s="53">
        <v>0.29039358144099459</v>
      </c>
      <c r="L43" s="53">
        <v>0.28866266276301789</v>
      </c>
      <c r="M43" s="53">
        <v>0.28895743241946753</v>
      </c>
      <c r="N43" s="53">
        <v>0.27700296658983642</v>
      </c>
      <c r="O43" s="53">
        <v>0.27700296658983642</v>
      </c>
      <c r="P43" s="53">
        <v>0.29020776472918713</v>
      </c>
      <c r="Q43" s="53">
        <v>0.27943745923077484</v>
      </c>
    </row>
    <row r="44" spans="1:17" x14ac:dyDescent="0.25">
      <c r="A44" s="53">
        <v>2059</v>
      </c>
      <c r="B44" s="53">
        <v>1.0205801536947239</v>
      </c>
      <c r="C44" s="53">
        <v>1.0144968882119383</v>
      </c>
      <c r="D44" s="53">
        <v>1.015532847959365</v>
      </c>
      <c r="E44" s="53">
        <v>0.97351921076669057</v>
      </c>
      <c r="F44" s="53">
        <v>0.97351921076669057</v>
      </c>
      <c r="G44" s="53">
        <v>1.0199271060365958</v>
      </c>
      <c r="H44" s="53">
        <v>0.9820751673457877</v>
      </c>
      <c r="J44" s="53">
        <v>2059</v>
      </c>
      <c r="K44" s="53">
        <v>0.2864617534524318</v>
      </c>
      <c r="L44" s="53">
        <v>0.28475427081071397</v>
      </c>
      <c r="M44" s="53">
        <v>0.28504504938864306</v>
      </c>
      <c r="N44" s="53">
        <v>0.27325244286424871</v>
      </c>
      <c r="O44" s="53">
        <v>0.27325244286424871</v>
      </c>
      <c r="P44" s="53">
        <v>0.28627845263420781</v>
      </c>
      <c r="Q44" s="53">
        <v>0.27565397332242786</v>
      </c>
    </row>
    <row r="45" spans="1:17" x14ac:dyDescent="0.25">
      <c r="A45" s="53">
        <v>2060</v>
      </c>
      <c r="B45" s="53">
        <v>1.0409917567686184</v>
      </c>
      <c r="C45" s="53">
        <v>1.034786825976177</v>
      </c>
      <c r="D45" s="53">
        <v>1.0358435049185524</v>
      </c>
      <c r="E45" s="53">
        <v>0.99298959498202444</v>
      </c>
      <c r="F45" s="53">
        <v>0.99298959498202444</v>
      </c>
      <c r="G45" s="53">
        <v>1.0403256481573278</v>
      </c>
      <c r="H45" s="53">
        <v>1.0017166706927034</v>
      </c>
      <c r="J45" s="53">
        <v>2060</v>
      </c>
      <c r="K45" s="53">
        <v>0.28258316104591918</v>
      </c>
      <c r="L45" s="53">
        <v>0.28089879712468879</v>
      </c>
      <c r="M45" s="53">
        <v>0.28118563866191099</v>
      </c>
      <c r="N45" s="53">
        <v>0.26955269992411379</v>
      </c>
      <c r="O45" s="53">
        <v>0.26955269992411379</v>
      </c>
      <c r="P45" s="53">
        <v>0.28240234205695547</v>
      </c>
      <c r="Q45" s="53">
        <v>0.27192171449601193</v>
      </c>
    </row>
    <row r="46" spans="1:17" x14ac:dyDescent="0.25">
      <c r="A46" s="53">
        <v>2061</v>
      </c>
      <c r="B46" s="53">
        <v>1.0618115919039908</v>
      </c>
      <c r="C46" s="53">
        <v>1.0554825624957005</v>
      </c>
      <c r="D46" s="53">
        <v>1.0565603750169235</v>
      </c>
      <c r="E46" s="53">
        <v>1.012849386881665</v>
      </c>
      <c r="F46" s="53">
        <v>1.012849386881665</v>
      </c>
      <c r="G46" s="53">
        <v>1.0611321611204743</v>
      </c>
      <c r="H46" s="53">
        <v>1.0217510041065576</v>
      </c>
      <c r="J46" s="53">
        <v>2061</v>
      </c>
      <c r="K46" s="53">
        <v>0.27875708343021044</v>
      </c>
      <c r="L46" s="53">
        <v>0.27709552521004122</v>
      </c>
      <c r="M46" s="53">
        <v>0.27737848301271684</v>
      </c>
      <c r="N46" s="53">
        <v>0.26590305021527672</v>
      </c>
      <c r="O46" s="53">
        <v>0.26590305021527672</v>
      </c>
      <c r="P46" s="53">
        <v>0.27857871266740292</v>
      </c>
      <c r="Q46" s="53">
        <v>0.26823998915467334</v>
      </c>
    </row>
    <row r="47" spans="1:17" x14ac:dyDescent="0.25">
      <c r="A47" s="53">
        <v>2062</v>
      </c>
      <c r="B47" s="53">
        <v>1.0830478237420706</v>
      </c>
      <c r="C47" s="53">
        <v>1.0765922137456145</v>
      </c>
      <c r="D47" s="53">
        <v>1.0776915825172619</v>
      </c>
      <c r="E47" s="53">
        <v>1.0331063746192983</v>
      </c>
      <c r="F47" s="53">
        <v>1.0331063746192983</v>
      </c>
      <c r="G47" s="53">
        <v>1.0823548043428837</v>
      </c>
      <c r="H47" s="53">
        <v>1.0421860241886889</v>
      </c>
      <c r="J47" s="53">
        <v>2062</v>
      </c>
      <c r="K47" s="53">
        <v>0.27498280957332172</v>
      </c>
      <c r="L47" s="53">
        <v>0.27334374827296137</v>
      </c>
      <c r="M47" s="53">
        <v>0.27362287492550408</v>
      </c>
      <c r="N47" s="53">
        <v>0.26230281549282619</v>
      </c>
      <c r="O47" s="53">
        <v>0.26230281549282619</v>
      </c>
      <c r="P47" s="53">
        <v>0.27480685388854059</v>
      </c>
      <c r="Q47" s="53">
        <v>0.26460811309261784</v>
      </c>
    </row>
    <row r="48" spans="1:17" x14ac:dyDescent="0.25">
      <c r="A48" s="53">
        <v>2063</v>
      </c>
      <c r="B48" s="53">
        <v>1.104708780216912</v>
      </c>
      <c r="C48" s="53">
        <v>1.0981240580205269</v>
      </c>
      <c r="D48" s="53">
        <v>1.0992454141676071</v>
      </c>
      <c r="E48" s="53">
        <v>1.0537685021116843</v>
      </c>
      <c r="F48" s="53">
        <v>1.0537685021116843</v>
      </c>
      <c r="G48" s="53">
        <v>1.1040019004297414</v>
      </c>
      <c r="H48" s="53">
        <v>1.0630297446724626</v>
      </c>
      <c r="J48" s="53">
        <v>2063</v>
      </c>
      <c r="K48" s="53">
        <v>0.27125963807039472</v>
      </c>
      <c r="L48" s="53">
        <v>0.26964276908938167</v>
      </c>
      <c r="M48" s="53">
        <v>0.26991811646423031</v>
      </c>
      <c r="N48" s="53">
        <v>0.25875132669505096</v>
      </c>
      <c r="O48" s="53">
        <v>0.25875132669505096</v>
      </c>
      <c r="P48" s="53">
        <v>0.2710860647643244</v>
      </c>
      <c r="Q48" s="53">
        <v>0.26102541136795959</v>
      </c>
    </row>
    <row r="49" spans="1:17" x14ac:dyDescent="0.25">
      <c r="A49" s="53">
        <v>2064</v>
      </c>
      <c r="B49" s="53">
        <v>1.1268029558212502</v>
      </c>
      <c r="C49" s="53">
        <v>1.1200865391809376</v>
      </c>
      <c r="D49" s="53">
        <v>1.1212303224509592</v>
      </c>
      <c r="E49" s="53">
        <v>1.074843872153918</v>
      </c>
      <c r="F49" s="53">
        <v>1.074843872153918</v>
      </c>
      <c r="G49" s="53">
        <v>1.1260819384383363</v>
      </c>
      <c r="H49" s="53">
        <v>1.0842903395659118</v>
      </c>
      <c r="J49" s="53">
        <v>2064</v>
      </c>
      <c r="K49" s="53">
        <v>0.26758687701334871</v>
      </c>
      <c r="L49" s="53">
        <v>0.26599189987540545</v>
      </c>
      <c r="M49" s="53">
        <v>0.26626351914266427</v>
      </c>
      <c r="N49" s="53">
        <v>0.25524792381910244</v>
      </c>
      <c r="O49" s="53">
        <v>0.25524792381910244</v>
      </c>
      <c r="P49" s="53">
        <v>0.26741565382941085</v>
      </c>
      <c r="Q49" s="53">
        <v>0.25749121817729081</v>
      </c>
    </row>
    <row r="50" spans="1:17" x14ac:dyDescent="0.25">
      <c r="A50" s="53">
        <v>2065</v>
      </c>
      <c r="B50" s="53">
        <v>1.1493390149376752</v>
      </c>
      <c r="C50" s="53">
        <v>1.1424882699645564</v>
      </c>
      <c r="D50" s="53">
        <v>1.1436549288999784</v>
      </c>
      <c r="E50" s="53">
        <v>1.0963407495969963</v>
      </c>
      <c r="F50" s="53">
        <v>1.0963407495969963</v>
      </c>
      <c r="G50" s="53">
        <v>1.148603577207103</v>
      </c>
      <c r="H50" s="53">
        <v>1.10597614635723</v>
      </c>
      <c r="J50" s="53">
        <v>2065</v>
      </c>
      <c r="K50" s="53">
        <v>0.2639638438622976</v>
      </c>
      <c r="L50" s="53">
        <v>0.26239046215949097</v>
      </c>
      <c r="M50" s="53">
        <v>0.26265840379643868</v>
      </c>
      <c r="N50" s="53">
        <v>0.25179195579834096</v>
      </c>
      <c r="O50" s="53">
        <v>0.25179195579834096</v>
      </c>
      <c r="P50" s="53">
        <v>0.26379493898065681</v>
      </c>
      <c r="Q50" s="53">
        <v>0.25400487673195038</v>
      </c>
    </row>
    <row r="51" spans="1:17" x14ac:dyDescent="0.25">
      <c r="A51" s="53">
        <v>2066</v>
      </c>
      <c r="B51" s="53">
        <v>1.1723257952364288</v>
      </c>
      <c r="C51" s="53">
        <v>1.1653380353638476</v>
      </c>
      <c r="D51" s="53">
        <v>1.1665280274779781</v>
      </c>
      <c r="E51" s="53">
        <v>1.1182675645889364</v>
      </c>
      <c r="F51" s="53">
        <v>1.1182675645889364</v>
      </c>
      <c r="G51" s="53">
        <v>1.1715756487512452</v>
      </c>
      <c r="H51" s="53">
        <v>1.1280956692843747</v>
      </c>
      <c r="J51" s="53">
        <v>2066</v>
      </c>
      <c r="K51" s="53">
        <v>0.26038986531870756</v>
      </c>
      <c r="L51" s="53">
        <v>0.25883778665636442</v>
      </c>
      <c r="M51" s="53">
        <v>0.25910210045683513</v>
      </c>
      <c r="N51" s="53">
        <v>0.24838278038134221</v>
      </c>
      <c r="O51" s="53">
        <v>0.24838278038134221</v>
      </c>
      <c r="P51" s="53">
        <v>0.26022324735035784</v>
      </c>
      <c r="Q51" s="53">
        <v>0.25056573913596658</v>
      </c>
    </row>
  </sheetData>
  <mergeCells count="5">
    <mergeCell ref="A1:H3"/>
    <mergeCell ref="J1:Q3"/>
    <mergeCell ref="R5:V6"/>
    <mergeCell ref="R7:V8"/>
    <mergeCell ref="R10:V11"/>
  </mergeCells>
  <pageMargins left="0.7" right="0.7" top="0.75" bottom="0.75" header="0.3" footer="0.3"/>
  <pageSetup scale="74" orientation="portrait" r:id="rId1"/>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A88EA-11D2-430D-8A1B-1E93DE84C4C8}">
  <sheetPr>
    <tabColor rgb="FF00B050"/>
  </sheetPr>
  <dimension ref="A1:V51"/>
  <sheetViews>
    <sheetView view="pageBreakPreview" zoomScale="60" zoomScaleNormal="100" workbookViewId="0">
      <selection activeCell="V34" sqref="V34"/>
    </sheetView>
  </sheetViews>
  <sheetFormatPr defaultColWidth="8.7109375" defaultRowHeight="15" x14ac:dyDescent="0.25"/>
  <cols>
    <col min="1" max="4" width="8.7109375" style="40"/>
    <col min="5" max="5" width="8.42578125" style="40" customWidth="1"/>
    <col min="6" max="6" width="8.7109375" style="40"/>
    <col min="7" max="7" width="10.85546875" style="40" bestFit="1" customWidth="1"/>
    <col min="8" max="16384" width="8.7109375" style="40"/>
  </cols>
  <sheetData>
    <row r="1" spans="1:22" ht="14.45" customHeight="1" x14ac:dyDescent="0.25">
      <c r="A1" s="238" t="s">
        <v>200</v>
      </c>
      <c r="B1" s="238"/>
      <c r="C1" s="238"/>
      <c r="D1" s="238"/>
      <c r="E1" s="238"/>
      <c r="F1" s="238"/>
      <c r="G1" s="238"/>
      <c r="H1" s="238"/>
      <c r="J1" s="238" t="s">
        <v>200</v>
      </c>
      <c r="K1" s="238"/>
      <c r="L1" s="238"/>
      <c r="M1" s="238"/>
      <c r="N1" s="238"/>
      <c r="O1" s="238"/>
      <c r="P1" s="238"/>
      <c r="Q1" s="238"/>
    </row>
    <row r="2" spans="1:22" ht="14.45" customHeight="1" x14ac:dyDescent="0.25">
      <c r="A2" s="238"/>
      <c r="B2" s="238"/>
      <c r="C2" s="238"/>
      <c r="D2" s="238"/>
      <c r="E2" s="238"/>
      <c r="F2" s="238"/>
      <c r="G2" s="238"/>
      <c r="H2" s="238"/>
      <c r="J2" s="238"/>
      <c r="K2" s="238"/>
      <c r="L2" s="238"/>
      <c r="M2" s="238"/>
      <c r="N2" s="238"/>
      <c r="O2" s="238"/>
      <c r="P2" s="238"/>
      <c r="Q2" s="238"/>
    </row>
    <row r="3" spans="1:22" ht="14.45" customHeight="1" thickBot="1" x14ac:dyDescent="0.3">
      <c r="A3" s="239"/>
      <c r="B3" s="239"/>
      <c r="C3" s="239"/>
      <c r="D3" s="239"/>
      <c r="E3" s="239"/>
      <c r="F3" s="239"/>
      <c r="G3" s="239"/>
      <c r="H3" s="239"/>
      <c r="J3" s="239"/>
      <c r="K3" s="239"/>
      <c r="L3" s="239"/>
      <c r="M3" s="239"/>
      <c r="N3" s="239"/>
      <c r="O3" s="239"/>
      <c r="P3" s="239"/>
      <c r="Q3" s="239"/>
    </row>
    <row r="4" spans="1:22" ht="15.75" thickBot="1" x14ac:dyDescent="0.3">
      <c r="A4" s="40" t="s">
        <v>127</v>
      </c>
      <c r="J4" s="40" t="s">
        <v>198</v>
      </c>
    </row>
    <row r="5" spans="1:22" x14ac:dyDescent="0.25">
      <c r="A5" s="88"/>
      <c r="B5" s="53" t="s">
        <v>27</v>
      </c>
      <c r="C5" s="53" t="s">
        <v>28</v>
      </c>
      <c r="D5" s="53" t="s">
        <v>29</v>
      </c>
      <c r="E5" s="53" t="s">
        <v>30</v>
      </c>
      <c r="F5" s="53" t="s">
        <v>31</v>
      </c>
      <c r="G5" s="53" t="s">
        <v>32</v>
      </c>
      <c r="H5" s="53" t="s">
        <v>33</v>
      </c>
      <c r="J5" s="88"/>
      <c r="K5" s="53" t="s">
        <v>27</v>
      </c>
      <c r="L5" s="53" t="s">
        <v>28</v>
      </c>
      <c r="M5" s="53" t="s">
        <v>29</v>
      </c>
      <c r="N5" s="53" t="s">
        <v>30</v>
      </c>
      <c r="O5" s="53" t="s">
        <v>31</v>
      </c>
      <c r="P5" s="53" t="s">
        <v>32</v>
      </c>
      <c r="Q5" s="53" t="s">
        <v>33</v>
      </c>
      <c r="R5" s="171" t="s">
        <v>69</v>
      </c>
      <c r="S5" s="171"/>
      <c r="T5" s="171"/>
      <c r="U5" s="171"/>
      <c r="V5" s="172"/>
    </row>
    <row r="6" spans="1:22" x14ac:dyDescent="0.25">
      <c r="A6" s="53">
        <v>2021</v>
      </c>
      <c r="B6" s="53">
        <v>0.65360867560061542</v>
      </c>
      <c r="C6" s="53">
        <v>0.64464459446361688</v>
      </c>
      <c r="D6" s="53">
        <v>0.64625716449515225</v>
      </c>
      <c r="E6" s="53">
        <v>0.60712708431575246</v>
      </c>
      <c r="F6" s="53">
        <v>0.60712708431575246</v>
      </c>
      <c r="G6" s="53">
        <v>0.65279626996712992</v>
      </c>
      <c r="H6" s="53">
        <v>0.61743088473081842</v>
      </c>
      <c r="J6" s="53">
        <v>2021</v>
      </c>
      <c r="K6" s="53">
        <v>0.65360867560061542</v>
      </c>
      <c r="L6" s="53">
        <v>0.64464459446361688</v>
      </c>
      <c r="M6" s="53">
        <v>0.64625716449515225</v>
      </c>
      <c r="N6" s="53">
        <v>0.60712708431575246</v>
      </c>
      <c r="O6" s="53">
        <v>0.60712708431575246</v>
      </c>
      <c r="P6" s="53">
        <v>0.65279626996712992</v>
      </c>
      <c r="Q6" s="53">
        <v>0.61743088473081842</v>
      </c>
      <c r="R6" s="173"/>
      <c r="S6" s="173"/>
      <c r="T6" s="173"/>
      <c r="U6" s="173"/>
      <c r="V6" s="174"/>
    </row>
    <row r="7" spans="1:22" x14ac:dyDescent="0.25">
      <c r="A7" s="53">
        <v>2022</v>
      </c>
      <c r="B7" s="53">
        <v>0.60867523003455148</v>
      </c>
      <c r="C7" s="53">
        <v>0.60386176272596925</v>
      </c>
      <c r="D7" s="53">
        <v>0.60472913921469984</v>
      </c>
      <c r="E7" s="53">
        <v>0.57628523245596919</v>
      </c>
      <c r="F7" s="53">
        <v>0.57628523245596919</v>
      </c>
      <c r="G7" s="53">
        <v>0.60816698940252412</v>
      </c>
      <c r="H7" s="53">
        <v>0.58258431757954376</v>
      </c>
      <c r="J7" s="53">
        <v>2022</v>
      </c>
      <c r="K7" s="53">
        <v>0.58866076405662615</v>
      </c>
      <c r="L7" s="53">
        <v>0.58400557323594704</v>
      </c>
      <c r="M7" s="53">
        <v>0.58484442864090891</v>
      </c>
      <c r="N7" s="53">
        <v>0.55733581475432226</v>
      </c>
      <c r="O7" s="53">
        <v>0.55733581475432226</v>
      </c>
      <c r="P7" s="53">
        <v>0.58816923539895949</v>
      </c>
      <c r="Q7" s="53">
        <v>0.56342777328775995</v>
      </c>
      <c r="R7" s="175">
        <v>3.4000000000000002E-2</v>
      </c>
      <c r="S7" s="175"/>
      <c r="T7" s="175"/>
      <c r="U7" s="175"/>
      <c r="V7" s="176"/>
    </row>
    <row r="8" spans="1:22" ht="15.75" thickBot="1" x14ac:dyDescent="0.3">
      <c r="A8" s="53">
        <v>2023</v>
      </c>
      <c r="B8" s="53">
        <v>0.57949629025473703</v>
      </c>
      <c r="C8" s="53">
        <v>0.5771462846264227</v>
      </c>
      <c r="D8" s="53">
        <v>0.57756843957293436</v>
      </c>
      <c r="E8" s="53">
        <v>0.55676036860343892</v>
      </c>
      <c r="F8" s="53">
        <v>0.55676036860343892</v>
      </c>
      <c r="G8" s="53">
        <v>0.57916993252765192</v>
      </c>
      <c r="H8" s="53">
        <v>0.56049411894097223</v>
      </c>
      <c r="J8" s="53">
        <v>2023</v>
      </c>
      <c r="K8" s="53">
        <v>0.54201284962600127</v>
      </c>
      <c r="L8" s="53">
        <v>0.53981484893357257</v>
      </c>
      <c r="M8" s="53">
        <v>0.54020969771757754</v>
      </c>
      <c r="N8" s="53">
        <v>0.52074755096865089</v>
      </c>
      <c r="O8" s="53">
        <v>0.52074755096865089</v>
      </c>
      <c r="P8" s="53">
        <v>0.54170760162937115</v>
      </c>
      <c r="Q8" s="53">
        <v>0.52423979189283154</v>
      </c>
      <c r="R8" s="177"/>
      <c r="S8" s="177"/>
      <c r="T8" s="177"/>
      <c r="U8" s="177"/>
      <c r="V8" s="178"/>
    </row>
    <row r="9" spans="1:22" ht="14.45" customHeight="1" x14ac:dyDescent="0.25">
      <c r="A9" s="53">
        <v>2024</v>
      </c>
      <c r="B9" s="53">
        <v>0.60244595879398644</v>
      </c>
      <c r="C9" s="53">
        <v>0.59906156910408337</v>
      </c>
      <c r="D9" s="53">
        <v>0.59968074309020625</v>
      </c>
      <c r="E9" s="53">
        <v>0.57692081658194705</v>
      </c>
      <c r="F9" s="53">
        <v>0.57692081658194705</v>
      </c>
      <c r="G9" s="53">
        <v>0.60206322706682858</v>
      </c>
      <c r="H9" s="53">
        <v>0.58159074018975765</v>
      </c>
      <c r="J9" s="53">
        <v>2024</v>
      </c>
      <c r="K9" s="53">
        <v>0.54494977700661706</v>
      </c>
      <c r="L9" s="53">
        <v>0.54188838638743475</v>
      </c>
      <c r="M9" s="53">
        <v>0.5424484677038427</v>
      </c>
      <c r="N9" s="53">
        <v>0.52186070096009696</v>
      </c>
      <c r="O9" s="53">
        <v>0.52186070096009696</v>
      </c>
      <c r="P9" s="53">
        <v>0.54460357239469537</v>
      </c>
      <c r="Q9" s="53">
        <v>0.52608493682983171</v>
      </c>
      <c r="R9" s="2"/>
      <c r="S9" s="2"/>
      <c r="T9" s="2"/>
      <c r="U9" s="2"/>
      <c r="V9" s="33"/>
    </row>
    <row r="10" spans="1:22" ht="15" customHeight="1" x14ac:dyDescent="0.25">
      <c r="A10" s="53">
        <v>2025</v>
      </c>
      <c r="B10" s="53">
        <v>0.63721723984982659</v>
      </c>
      <c r="C10" s="53">
        <v>0.63212935607800624</v>
      </c>
      <c r="D10" s="53">
        <v>0.63305797873981051</v>
      </c>
      <c r="E10" s="53">
        <v>0.60805475307582701</v>
      </c>
      <c r="F10" s="53">
        <v>0.60805475307582701</v>
      </c>
      <c r="G10" s="53">
        <v>0.63668260541856569</v>
      </c>
      <c r="H10" s="53">
        <v>0.61390375828619548</v>
      </c>
      <c r="J10" s="53">
        <v>2025</v>
      </c>
      <c r="K10" s="53">
        <v>0.55744928409257588</v>
      </c>
      <c r="L10" s="53">
        <v>0.55299831040765812</v>
      </c>
      <c r="M10" s="53">
        <v>0.55381068647917953</v>
      </c>
      <c r="N10" s="53">
        <v>0.53193740783141807</v>
      </c>
      <c r="O10" s="53">
        <v>0.53193740783141807</v>
      </c>
      <c r="P10" s="53">
        <v>0.55698157612373955</v>
      </c>
      <c r="Q10" s="53">
        <v>0.53705422445731799</v>
      </c>
      <c r="R10" s="179" t="s">
        <v>71</v>
      </c>
      <c r="S10" s="179"/>
      <c r="T10" s="179"/>
      <c r="U10" s="179"/>
      <c r="V10" s="180"/>
    </row>
    <row r="11" spans="1:22" x14ac:dyDescent="0.25">
      <c r="A11" s="53">
        <v>2026</v>
      </c>
      <c r="B11" s="53">
        <v>0.65800448010654145</v>
      </c>
      <c r="C11" s="53">
        <v>0.65244252650100543</v>
      </c>
      <c r="D11" s="53">
        <v>0.65343604386099785</v>
      </c>
      <c r="E11" s="53">
        <v>0.62781902234077636</v>
      </c>
      <c r="F11" s="53">
        <v>0.62781902234077636</v>
      </c>
      <c r="G11" s="53">
        <v>0.65744241678375526</v>
      </c>
      <c r="H11" s="53">
        <v>0.63409830661351052</v>
      </c>
      <c r="J11" s="53">
        <v>2026</v>
      </c>
      <c r="K11" s="53">
        <v>0.55670632657184538</v>
      </c>
      <c r="L11" s="53">
        <v>0.55200062189366506</v>
      </c>
      <c r="M11" s="53">
        <v>0.55284118972654239</v>
      </c>
      <c r="N11" s="53">
        <v>0.53116784497070524</v>
      </c>
      <c r="O11" s="53">
        <v>0.53116784497070524</v>
      </c>
      <c r="P11" s="53">
        <v>0.55623079149998933</v>
      </c>
      <c r="Q11" s="53">
        <v>0.5364804490435654</v>
      </c>
      <c r="R11" s="179"/>
      <c r="S11" s="179"/>
      <c r="T11" s="179"/>
      <c r="U11" s="179"/>
      <c r="V11" s="180"/>
    </row>
    <row r="12" spans="1:22" x14ac:dyDescent="0.25">
      <c r="A12" s="53">
        <v>2027</v>
      </c>
      <c r="B12" s="53">
        <v>0.67020686616743574</v>
      </c>
      <c r="C12" s="53">
        <v>0.66507006233357724</v>
      </c>
      <c r="D12" s="53">
        <v>0.66597999418290499</v>
      </c>
      <c r="E12" s="53">
        <v>0.64098267418992305</v>
      </c>
      <c r="F12" s="53">
        <v>0.64098267418992305</v>
      </c>
      <c r="G12" s="53">
        <v>0.66967675948649408</v>
      </c>
      <c r="H12" s="53">
        <v>0.64691963447334122</v>
      </c>
      <c r="J12" s="53">
        <v>2027</v>
      </c>
      <c r="K12" s="53">
        <v>0.54838509249595468</v>
      </c>
      <c r="L12" s="53">
        <v>0.54418199224770936</v>
      </c>
      <c r="M12" s="53">
        <v>0.54492652813140163</v>
      </c>
      <c r="N12" s="53">
        <v>0.52447290652813128</v>
      </c>
      <c r="O12" s="53">
        <v>0.52447290652813128</v>
      </c>
      <c r="P12" s="53">
        <v>0.54795134193931938</v>
      </c>
      <c r="Q12" s="53">
        <v>0.5293307208516177</v>
      </c>
      <c r="R12" s="2"/>
      <c r="S12" s="2"/>
      <c r="T12" s="2"/>
      <c r="U12" s="2"/>
      <c r="V12" s="33"/>
    </row>
    <row r="13" spans="1:22" ht="15.75" thickBot="1" x14ac:dyDescent="0.3">
      <c r="A13" s="53">
        <v>2028</v>
      </c>
      <c r="B13" s="53">
        <v>0.67251057687057014</v>
      </c>
      <c r="C13" s="53">
        <v>0.66827350831385535</v>
      </c>
      <c r="D13" s="53">
        <v>0.66901993591860753</v>
      </c>
      <c r="E13" s="53">
        <v>0.64183943737797766</v>
      </c>
      <c r="F13" s="53">
        <v>0.64183943737797766</v>
      </c>
      <c r="G13" s="53">
        <v>0.67204919468286595</v>
      </c>
      <c r="H13" s="53">
        <v>0.64757077680137998</v>
      </c>
      <c r="J13" s="53">
        <v>2028</v>
      </c>
      <c r="K13" s="53">
        <v>0.532176077026696</v>
      </c>
      <c r="L13" s="53">
        <v>0.52882316838829457</v>
      </c>
      <c r="M13" s="53">
        <v>0.52941383703819134</v>
      </c>
      <c r="N13" s="53">
        <v>0.50790516255415252</v>
      </c>
      <c r="O13" s="53">
        <v>0.50790516255415252</v>
      </c>
      <c r="P13" s="53">
        <v>0.53181097263859101</v>
      </c>
      <c r="Q13" s="53">
        <v>0.51244052874073032</v>
      </c>
      <c r="R13" s="34" t="s">
        <v>72</v>
      </c>
      <c r="S13" s="60">
        <v>44008</v>
      </c>
      <c r="T13" s="34"/>
      <c r="U13" s="34"/>
      <c r="V13" s="35"/>
    </row>
    <row r="14" spans="1:22" x14ac:dyDescent="0.25">
      <c r="A14" s="53">
        <v>2029</v>
      </c>
      <c r="B14" s="53">
        <v>0.68740363607266797</v>
      </c>
      <c r="C14" s="53">
        <v>0.68336911425203894</v>
      </c>
      <c r="D14" s="53">
        <v>0.68407937025366172</v>
      </c>
      <c r="E14" s="53">
        <v>0.65619377801672985</v>
      </c>
      <c r="F14" s="53">
        <v>0.65619377801672985</v>
      </c>
      <c r="G14" s="53">
        <v>0.68696004566538427</v>
      </c>
      <c r="H14" s="53">
        <v>0.66190602535395227</v>
      </c>
      <c r="J14" s="53">
        <v>2029</v>
      </c>
      <c r="K14" s="53">
        <v>0.52607481965601077</v>
      </c>
      <c r="L14" s="53">
        <v>0.52298717183483845</v>
      </c>
      <c r="M14" s="53">
        <v>0.52353073572998754</v>
      </c>
      <c r="N14" s="53">
        <v>0.50218969658323775</v>
      </c>
      <c r="O14" s="53">
        <v>0.50218969658323775</v>
      </c>
      <c r="P14" s="53">
        <v>0.52573533680886408</v>
      </c>
      <c r="Q14" s="53">
        <v>0.50656131949889271</v>
      </c>
    </row>
    <row r="15" spans="1:22" x14ac:dyDescent="0.25">
      <c r="A15" s="53">
        <v>2030</v>
      </c>
      <c r="B15" s="53">
        <v>0.70350259646938929</v>
      </c>
      <c r="C15" s="53">
        <v>0.69960951186962128</v>
      </c>
      <c r="D15" s="53">
        <v>0.70030722381915012</v>
      </c>
      <c r="E15" s="53">
        <v>0.67216651651745674</v>
      </c>
      <c r="F15" s="53">
        <v>0.67216651651745674</v>
      </c>
      <c r="G15" s="53">
        <v>0.70307596426443775</v>
      </c>
      <c r="H15" s="53">
        <v>0.67782495236386064</v>
      </c>
      <c r="J15" s="53">
        <v>2030</v>
      </c>
      <c r="K15" s="53">
        <v>0.52069194087119919</v>
      </c>
      <c r="L15" s="53">
        <v>0.51781050477358959</v>
      </c>
      <c r="M15" s="53">
        <v>0.51832691081244775</v>
      </c>
      <c r="N15" s="53">
        <v>0.497498786544047</v>
      </c>
      <c r="O15" s="53">
        <v>0.497498786544047</v>
      </c>
      <c r="P15" s="53">
        <v>0.52037617238370648</v>
      </c>
      <c r="Q15" s="53">
        <v>0.50168683355047683</v>
      </c>
    </row>
    <row r="16" spans="1:22" x14ac:dyDescent="0.25">
      <c r="A16" s="53">
        <v>2031</v>
      </c>
      <c r="B16" s="53">
        <v>0.70997895255684507</v>
      </c>
      <c r="C16" s="53">
        <v>0.70608797462856376</v>
      </c>
      <c r="D16" s="53">
        <v>0.70678914525818093</v>
      </c>
      <c r="E16" s="53">
        <v>0.67922684629951902</v>
      </c>
      <c r="F16" s="53">
        <v>0.67922684629951902</v>
      </c>
      <c r="G16" s="53">
        <v>0.70955668665441285</v>
      </c>
      <c r="H16" s="53">
        <v>0.6848029539998215</v>
      </c>
      <c r="J16" s="53">
        <v>2031</v>
      </c>
      <c r="K16" s="53">
        <v>0.50820634926756059</v>
      </c>
      <c r="L16" s="53">
        <v>0.50542116855073616</v>
      </c>
      <c r="M16" s="53">
        <v>0.50592306986007518</v>
      </c>
      <c r="N16" s="53">
        <v>0.48619384368969631</v>
      </c>
      <c r="O16" s="53">
        <v>0.48619384368969631</v>
      </c>
      <c r="P16" s="53">
        <v>0.50790408930348352</v>
      </c>
      <c r="Q16" s="53">
        <v>0.49018524840287553</v>
      </c>
    </row>
    <row r="17" spans="1:17" x14ac:dyDescent="0.25">
      <c r="A17" s="53">
        <v>2032</v>
      </c>
      <c r="B17" s="53">
        <v>0.72976017383423353</v>
      </c>
      <c r="C17" s="53">
        <v>0.72567109596305523</v>
      </c>
      <c r="D17" s="53">
        <v>0.72638184257685123</v>
      </c>
      <c r="E17" s="53">
        <v>0.69859748971949165</v>
      </c>
      <c r="F17" s="53">
        <v>0.69859748971949165</v>
      </c>
      <c r="G17" s="53">
        <v>0.72931371902559172</v>
      </c>
      <c r="H17" s="53">
        <v>0.7043168579973792</v>
      </c>
      <c r="J17" s="53">
        <v>2032</v>
      </c>
      <c r="K17" s="53">
        <v>0.50518940290753056</v>
      </c>
      <c r="L17" s="53">
        <v>0.50235866634194182</v>
      </c>
      <c r="M17" s="53">
        <v>0.50285069327122134</v>
      </c>
      <c r="N17" s="53">
        <v>0.48361648300124566</v>
      </c>
      <c r="O17" s="53">
        <v>0.48361648300124566</v>
      </c>
      <c r="P17" s="53">
        <v>0.50488033666044019</v>
      </c>
      <c r="Q17" s="53">
        <v>0.4875758169700114</v>
      </c>
    </row>
    <row r="18" spans="1:17" x14ac:dyDescent="0.25">
      <c r="A18" s="53">
        <v>2033</v>
      </c>
      <c r="B18" s="53">
        <v>0.7477080800507282</v>
      </c>
      <c r="C18" s="53">
        <v>0.74367523527241897</v>
      </c>
      <c r="D18" s="53">
        <v>0.74437483952732686</v>
      </c>
      <c r="E18" s="53">
        <v>0.71626854220032343</v>
      </c>
      <c r="F18" s="53">
        <v>0.71626854220032343</v>
      </c>
      <c r="G18" s="53">
        <v>0.74726516161409129</v>
      </c>
      <c r="H18" s="53">
        <v>0.72198535439542044</v>
      </c>
      <c r="J18" s="53">
        <v>2033</v>
      </c>
      <c r="K18" s="53">
        <v>0.5005939640298569</v>
      </c>
      <c r="L18" s="53">
        <v>0.49789395608858394</v>
      </c>
      <c r="M18" s="53">
        <v>0.49836234432265619</v>
      </c>
      <c r="N18" s="53">
        <v>0.47954505028970706</v>
      </c>
      <c r="O18" s="53">
        <v>0.47954505028970706</v>
      </c>
      <c r="P18" s="53">
        <v>0.50029742811984923</v>
      </c>
      <c r="Q18" s="53">
        <v>0.4833724820838956</v>
      </c>
    </row>
    <row r="19" spans="1:17" x14ac:dyDescent="0.25">
      <c r="A19" s="53">
        <v>2034</v>
      </c>
      <c r="B19" s="53">
        <v>0.75559860470412255</v>
      </c>
      <c r="C19" s="53">
        <v>0.75186676826543586</v>
      </c>
      <c r="D19" s="53">
        <v>0.75250938932419487</v>
      </c>
      <c r="E19" s="53">
        <v>0.72450528278642179</v>
      </c>
      <c r="F19" s="53">
        <v>0.72450528278642179</v>
      </c>
      <c r="G19" s="53">
        <v>0.75517937019334569</v>
      </c>
      <c r="H19" s="53">
        <v>0.7300269687918568</v>
      </c>
      <c r="J19" s="53">
        <v>2034</v>
      </c>
      <c r="K19" s="53">
        <v>0.48924246248756303</v>
      </c>
      <c r="L19" s="53">
        <v>0.48682613609747022</v>
      </c>
      <c r="M19" s="53">
        <v>0.48724222674040718</v>
      </c>
      <c r="N19" s="53">
        <v>0.4691098506917919</v>
      </c>
      <c r="O19" s="53">
        <v>0.4691098506917919</v>
      </c>
      <c r="P19" s="53">
        <v>0.48897101237749757</v>
      </c>
      <c r="Q19" s="53">
        <v>0.47268508659292219</v>
      </c>
    </row>
    <row r="20" spans="1:17" x14ac:dyDescent="0.25">
      <c r="A20" s="53">
        <v>2035</v>
      </c>
      <c r="B20" s="53">
        <v>0.77356448689609736</v>
      </c>
      <c r="C20" s="53">
        <v>0.77045064318360557</v>
      </c>
      <c r="D20" s="53">
        <v>0.77098156659014572</v>
      </c>
      <c r="E20" s="53">
        <v>0.74172100483915726</v>
      </c>
      <c r="F20" s="53">
        <v>0.74172100483915726</v>
      </c>
      <c r="G20" s="53">
        <v>0.77319248813930952</v>
      </c>
      <c r="H20" s="53">
        <v>0.74706353663043323</v>
      </c>
      <c r="J20" s="53">
        <v>2035</v>
      </c>
      <c r="K20" s="53">
        <v>0.48440540589141007</v>
      </c>
      <c r="L20" s="53">
        <v>0.48245551967896999</v>
      </c>
      <c r="M20" s="53">
        <v>0.4827879834523191</v>
      </c>
      <c r="N20" s="53">
        <v>0.46446504524651955</v>
      </c>
      <c r="O20" s="53">
        <v>0.46446504524651955</v>
      </c>
      <c r="P20" s="53">
        <v>0.48417246059489583</v>
      </c>
      <c r="Q20" s="53">
        <v>0.46781053398686345</v>
      </c>
    </row>
    <row r="21" spans="1:17" x14ac:dyDescent="0.25">
      <c r="A21" s="53">
        <v>2036</v>
      </c>
      <c r="B21" s="53">
        <v>0.78808790121145589</v>
      </c>
      <c r="C21" s="53">
        <v>0.78517032613022308</v>
      </c>
      <c r="D21" s="53">
        <v>0.78568909710422341</v>
      </c>
      <c r="E21" s="53">
        <v>0.75622489765406686</v>
      </c>
      <c r="F21" s="53">
        <v>0.75622489765406686</v>
      </c>
      <c r="G21" s="53">
        <v>0.78774234031954637</v>
      </c>
      <c r="H21" s="53">
        <v>0.76148232560297968</v>
      </c>
      <c r="J21" s="53">
        <v>2036</v>
      </c>
      <c r="K21" s="53">
        <v>0.4772726839919863</v>
      </c>
      <c r="L21" s="53">
        <v>0.47550577590010012</v>
      </c>
      <c r="M21" s="53">
        <v>0.47581994798008975</v>
      </c>
      <c r="N21" s="53">
        <v>0.45797618013181485</v>
      </c>
      <c r="O21" s="53">
        <v>0.45797618013181485</v>
      </c>
      <c r="P21" s="53">
        <v>0.47706340939950642</v>
      </c>
      <c r="Q21" s="53">
        <v>0.46116012286740932</v>
      </c>
    </row>
    <row r="22" spans="1:17" x14ac:dyDescent="0.25">
      <c r="A22" s="53">
        <v>2037</v>
      </c>
      <c r="B22" s="53">
        <v>0.80549393999168362</v>
      </c>
      <c r="C22" s="53">
        <v>0.80160080803577283</v>
      </c>
      <c r="D22" s="53">
        <v>0.80227118603085812</v>
      </c>
      <c r="E22" s="53">
        <v>0.77349055055547999</v>
      </c>
      <c r="F22" s="53">
        <v>0.77349055055547999</v>
      </c>
      <c r="G22" s="53">
        <v>0.80506727015797264</v>
      </c>
      <c r="H22" s="53">
        <v>0.77921596205047405</v>
      </c>
      <c r="J22" s="53">
        <v>2037</v>
      </c>
      <c r="K22" s="53">
        <v>0.47177362473352313</v>
      </c>
      <c r="L22" s="53">
        <v>0.46949343753009753</v>
      </c>
      <c r="M22" s="53">
        <v>0.46988607444638053</v>
      </c>
      <c r="N22" s="53">
        <v>0.45302940545580617</v>
      </c>
      <c r="O22" s="53">
        <v>0.45302940545580617</v>
      </c>
      <c r="P22" s="53">
        <v>0.47152372642390167</v>
      </c>
      <c r="Q22" s="53">
        <v>0.45638274928619205</v>
      </c>
    </row>
    <row r="23" spans="1:17" x14ac:dyDescent="0.25">
      <c r="A23" s="53">
        <v>2038</v>
      </c>
      <c r="B23" s="53">
        <v>0.82878597446497648</v>
      </c>
      <c r="C23" s="53">
        <v>0.82470017976491761</v>
      </c>
      <c r="D23" s="53">
        <v>0.82540258495862273</v>
      </c>
      <c r="E23" s="53">
        <v>0.79644798565558805</v>
      </c>
      <c r="F23" s="53">
        <v>0.79644798565558805</v>
      </c>
      <c r="G23" s="53">
        <v>0.82834424268178064</v>
      </c>
      <c r="H23" s="53">
        <v>0.80229360956656381</v>
      </c>
      <c r="J23" s="53">
        <v>2038</v>
      </c>
      <c r="K23" s="53">
        <v>0.46945420558192691</v>
      </c>
      <c r="L23" s="53">
        <v>0.46713986440798849</v>
      </c>
      <c r="M23" s="53">
        <v>0.46753773199065402</v>
      </c>
      <c r="N23" s="53">
        <v>0.45113680481216978</v>
      </c>
      <c r="O23" s="53">
        <v>0.45113680481216978</v>
      </c>
      <c r="P23" s="53">
        <v>0.46920399280112501</v>
      </c>
      <c r="Q23" s="53">
        <v>0.45444797659090241</v>
      </c>
    </row>
    <row r="24" spans="1:17" x14ac:dyDescent="0.25">
      <c r="A24" s="53">
        <v>2039</v>
      </c>
      <c r="B24" s="53">
        <v>0.85358199051190375</v>
      </c>
      <c r="C24" s="53">
        <v>0.84923818466439704</v>
      </c>
      <c r="D24" s="53">
        <v>0.84998797342381871</v>
      </c>
      <c r="E24" s="53">
        <v>0.82095617652313968</v>
      </c>
      <c r="F24" s="53">
        <v>0.82095617652313968</v>
      </c>
      <c r="G24" s="53">
        <v>0.8531218258183475</v>
      </c>
      <c r="H24" s="53">
        <v>0.82695520897820973</v>
      </c>
      <c r="J24" s="53">
        <v>2039</v>
      </c>
      <c r="K24" s="53">
        <v>0.46760112333512849</v>
      </c>
      <c r="L24" s="53">
        <v>0.46522154115506664</v>
      </c>
      <c r="M24" s="53">
        <v>0.46563228326310874</v>
      </c>
      <c r="N24" s="53">
        <v>0.4497283619127373</v>
      </c>
      <c r="O24" s="53">
        <v>0.4497283619127373</v>
      </c>
      <c r="P24" s="53">
        <v>0.46734904031320695</v>
      </c>
      <c r="Q24" s="53">
        <v>0.45301469450421145</v>
      </c>
    </row>
    <row r="25" spans="1:17" x14ac:dyDescent="0.25">
      <c r="A25" s="53">
        <v>2040</v>
      </c>
      <c r="B25" s="53">
        <v>0.86969721475710204</v>
      </c>
      <c r="C25" s="53">
        <v>0.86552147420986958</v>
      </c>
      <c r="D25" s="53">
        <v>0.86623258884638688</v>
      </c>
      <c r="E25" s="53">
        <v>0.83739313594750919</v>
      </c>
      <c r="F25" s="53">
        <v>0.83739313594750919</v>
      </c>
      <c r="G25" s="53">
        <v>0.86924894275696718</v>
      </c>
      <c r="H25" s="53">
        <v>0.84326620772265992</v>
      </c>
      <c r="J25" s="53">
        <v>2040</v>
      </c>
      <c r="K25" s="53">
        <v>0.46076326051555488</v>
      </c>
      <c r="L25" s="53">
        <v>0.45855096433136255</v>
      </c>
      <c r="M25" s="53">
        <v>0.45892771096566509</v>
      </c>
      <c r="N25" s="53">
        <v>0.44364864587991237</v>
      </c>
      <c r="O25" s="53">
        <v>0.44364864587991237</v>
      </c>
      <c r="P25" s="53">
        <v>0.46052576720768262</v>
      </c>
      <c r="Q25" s="53">
        <v>0.4467601836133247</v>
      </c>
    </row>
    <row r="26" spans="1:17" x14ac:dyDescent="0.25">
      <c r="A26" s="53">
        <v>2041</v>
      </c>
      <c r="B26" s="53">
        <v>0.88709115905224412</v>
      </c>
      <c r="C26" s="53">
        <v>0.88283190369406694</v>
      </c>
      <c r="D26" s="53">
        <v>0.88355724062331464</v>
      </c>
      <c r="E26" s="53">
        <v>0.85414099866645943</v>
      </c>
      <c r="F26" s="53">
        <v>0.85414099866645943</v>
      </c>
      <c r="G26" s="53">
        <v>0.88663392161210652</v>
      </c>
      <c r="H26" s="53">
        <v>0.86013153187711311</v>
      </c>
      <c r="J26" s="53">
        <v>2041</v>
      </c>
      <c r="K26" s="53">
        <v>0.4545246863886519</v>
      </c>
      <c r="L26" s="53">
        <v>0.45234234392455502</v>
      </c>
      <c r="M26" s="53">
        <v>0.45271398954059816</v>
      </c>
      <c r="N26" s="53">
        <v>0.4376417976765094</v>
      </c>
      <c r="O26" s="53">
        <v>0.4376417976765094</v>
      </c>
      <c r="P26" s="53">
        <v>0.45429040865748194</v>
      </c>
      <c r="Q26" s="53">
        <v>0.44071120627233196</v>
      </c>
    </row>
    <row r="27" spans="1:17" x14ac:dyDescent="0.25">
      <c r="A27" s="53">
        <v>2042</v>
      </c>
      <c r="B27" s="53">
        <v>0.90483298223328901</v>
      </c>
      <c r="C27" s="53">
        <v>0.90048854176794835</v>
      </c>
      <c r="D27" s="53">
        <v>0.90122838543578099</v>
      </c>
      <c r="E27" s="53">
        <v>0.87122381863978859</v>
      </c>
      <c r="F27" s="53">
        <v>0.87122381863978859</v>
      </c>
      <c r="G27" s="53">
        <v>0.90436660004434866</v>
      </c>
      <c r="H27" s="53">
        <v>0.87733416251465535</v>
      </c>
      <c r="J27" s="53">
        <v>2042</v>
      </c>
      <c r="K27" s="53">
        <v>0.44837058038338973</v>
      </c>
      <c r="L27" s="53">
        <v>0.44621778607644697</v>
      </c>
      <c r="M27" s="53">
        <v>0.44658439974024194</v>
      </c>
      <c r="N27" s="53">
        <v>0.43171628010642127</v>
      </c>
      <c r="O27" s="53">
        <v>0.43171628010642127</v>
      </c>
      <c r="P27" s="53">
        <v>0.44813947469113313</v>
      </c>
      <c r="Q27" s="53">
        <v>0.43474412997850931</v>
      </c>
    </row>
    <row r="28" spans="1:17" x14ac:dyDescent="0.25">
      <c r="A28" s="53">
        <v>2043</v>
      </c>
      <c r="B28" s="53">
        <v>0.92292964187795479</v>
      </c>
      <c r="C28" s="53">
        <v>0.91849831260330728</v>
      </c>
      <c r="D28" s="53">
        <v>0.91925295314449662</v>
      </c>
      <c r="E28" s="53">
        <v>0.88864829501258435</v>
      </c>
      <c r="F28" s="53">
        <v>0.88864829501258435</v>
      </c>
      <c r="G28" s="53">
        <v>0.92245393204523563</v>
      </c>
      <c r="H28" s="53">
        <v>0.89488084576494842</v>
      </c>
      <c r="J28" s="53">
        <v>2043</v>
      </c>
      <c r="K28" s="53">
        <v>0.44229979883081</v>
      </c>
      <c r="L28" s="53">
        <v>0.44017615260926102</v>
      </c>
      <c r="M28" s="53">
        <v>0.44053780245168939</v>
      </c>
      <c r="N28" s="53">
        <v>0.42587099198118927</v>
      </c>
      <c r="O28" s="53">
        <v>0.42587099198118927</v>
      </c>
      <c r="P28" s="53">
        <v>0.44207182222916419</v>
      </c>
      <c r="Q28" s="53">
        <v>0.42885784582019293</v>
      </c>
    </row>
    <row r="29" spans="1:17" x14ac:dyDescent="0.25">
      <c r="A29" s="53">
        <v>2044</v>
      </c>
      <c r="B29" s="53">
        <v>0.94138823471551392</v>
      </c>
      <c r="C29" s="53">
        <v>0.93686827885537349</v>
      </c>
      <c r="D29" s="53">
        <v>0.93763801220738652</v>
      </c>
      <c r="E29" s="53">
        <v>0.90642126091283604</v>
      </c>
      <c r="F29" s="53">
        <v>0.90642126091283604</v>
      </c>
      <c r="G29" s="53">
        <v>0.94090301068614035</v>
      </c>
      <c r="H29" s="53">
        <v>0.91277846268024743</v>
      </c>
      <c r="J29" s="53">
        <v>2044</v>
      </c>
      <c r="K29" s="53">
        <v>0.43631121354683378</v>
      </c>
      <c r="L29" s="53">
        <v>0.43421632075575067</v>
      </c>
      <c r="M29" s="53">
        <v>0.43457307398522538</v>
      </c>
      <c r="N29" s="53">
        <v>0.4201048470220628</v>
      </c>
      <c r="O29" s="53">
        <v>0.4201048470220628</v>
      </c>
      <c r="P29" s="53">
        <v>0.43608632366900135</v>
      </c>
      <c r="Q29" s="53">
        <v>0.42305125989999681</v>
      </c>
    </row>
    <row r="30" spans="1:17" x14ac:dyDescent="0.25">
      <c r="A30" s="53">
        <v>2045</v>
      </c>
      <c r="B30" s="53">
        <v>0.96021599940982416</v>
      </c>
      <c r="C30" s="53">
        <v>0.95560564443248097</v>
      </c>
      <c r="D30" s="53">
        <v>0.95639077245153425</v>
      </c>
      <c r="E30" s="53">
        <v>0.92454968613109278</v>
      </c>
      <c r="F30" s="53">
        <v>0.92454968613109278</v>
      </c>
      <c r="G30" s="53">
        <v>0.95972107089986314</v>
      </c>
      <c r="H30" s="53">
        <v>0.93103403193385237</v>
      </c>
      <c r="J30" s="53">
        <v>2045</v>
      </c>
      <c r="K30" s="53">
        <v>0.43040371162260205</v>
      </c>
      <c r="L30" s="53">
        <v>0.42833718295054718</v>
      </c>
      <c r="M30" s="53">
        <v>0.42868910586550291</v>
      </c>
      <c r="N30" s="53">
        <v>0.41441677365812785</v>
      </c>
      <c r="O30" s="53">
        <v>0.41441677365812785</v>
      </c>
      <c r="P30" s="53">
        <v>0.43018186667541725</v>
      </c>
      <c r="Q30" s="53">
        <v>0.417323293131525</v>
      </c>
    </row>
    <row r="31" spans="1:17" x14ac:dyDescent="0.25">
      <c r="A31" s="53">
        <v>2046</v>
      </c>
      <c r="B31" s="53">
        <v>0.97942031939802066</v>
      </c>
      <c r="C31" s="53">
        <v>0.97471775732113064</v>
      </c>
      <c r="D31" s="53">
        <v>0.975518587900565</v>
      </c>
      <c r="E31" s="53">
        <v>0.94304067985371465</v>
      </c>
      <c r="F31" s="53">
        <v>0.94304067985371465</v>
      </c>
      <c r="G31" s="53">
        <v>0.97891549231786046</v>
      </c>
      <c r="H31" s="53">
        <v>0.94965471257252942</v>
      </c>
      <c r="J31" s="53">
        <v>2046</v>
      </c>
      <c r="K31" s="53">
        <v>0.42457619521765388</v>
      </c>
      <c r="L31" s="53">
        <v>0.42253764662433091</v>
      </c>
      <c r="M31" s="53">
        <v>0.42288480462554451</v>
      </c>
      <c r="N31" s="53">
        <v>0.40880571482716671</v>
      </c>
      <c r="O31" s="53">
        <v>0.40880571482716671</v>
      </c>
      <c r="P31" s="53">
        <v>0.42435735397381591</v>
      </c>
      <c r="Q31" s="53">
        <v>0.41167288103883509</v>
      </c>
    </row>
    <row r="32" spans="1:17" x14ac:dyDescent="0.25">
      <c r="A32" s="53">
        <v>2047</v>
      </c>
      <c r="B32" s="53">
        <v>0.9990087257859811</v>
      </c>
      <c r="C32" s="53">
        <v>0.99421211246755326</v>
      </c>
      <c r="D32" s="53">
        <v>0.9950289596585763</v>
      </c>
      <c r="E32" s="53">
        <v>0.9619014934507889</v>
      </c>
      <c r="F32" s="53">
        <v>0.9619014934507889</v>
      </c>
      <c r="G32" s="53">
        <v>0.99849380216421768</v>
      </c>
      <c r="H32" s="53">
        <v>0.96864780682398</v>
      </c>
      <c r="J32" s="53">
        <v>2047</v>
      </c>
      <c r="K32" s="53">
        <v>0.4188275813559062</v>
      </c>
      <c r="L32" s="53">
        <v>0.41681663400079066</v>
      </c>
      <c r="M32" s="53">
        <v>0.4171590916035352</v>
      </c>
      <c r="N32" s="53">
        <v>0.40327062777921668</v>
      </c>
      <c r="O32" s="53">
        <v>0.40327062777921668</v>
      </c>
      <c r="P32" s="53">
        <v>0.41861170314631746</v>
      </c>
      <c r="Q32" s="53">
        <v>0.40609897355861879</v>
      </c>
    </row>
    <row r="33" spans="1:17" x14ac:dyDescent="0.25">
      <c r="A33" s="53">
        <v>2048</v>
      </c>
      <c r="B33" s="53">
        <v>1.0189889003017008</v>
      </c>
      <c r="C33" s="53">
        <v>1.0140963547169044</v>
      </c>
      <c r="D33" s="53">
        <v>1.0149295388517479</v>
      </c>
      <c r="E33" s="53">
        <v>0.9811395233198047</v>
      </c>
      <c r="F33" s="53">
        <v>0.9811395233198047</v>
      </c>
      <c r="G33" s="53">
        <v>1.0184636782075021</v>
      </c>
      <c r="H33" s="53">
        <v>0.9880207629604596</v>
      </c>
      <c r="J33" s="53">
        <v>2048</v>
      </c>
      <c r="K33" s="53">
        <v>0.41315680172439478</v>
      </c>
      <c r="L33" s="53">
        <v>0.41117308189633112</v>
      </c>
      <c r="M33" s="53">
        <v>0.41151090274236535</v>
      </c>
      <c r="N33" s="53">
        <v>0.39781048388278623</v>
      </c>
      <c r="O33" s="53">
        <v>0.39781048388278623</v>
      </c>
      <c r="P33" s="53">
        <v>0.41294384643060317</v>
      </c>
      <c r="Q33" s="53">
        <v>0.40060053484505903</v>
      </c>
    </row>
    <row r="34" spans="1:17" x14ac:dyDescent="0.25">
      <c r="A34" s="53">
        <v>2049</v>
      </c>
      <c r="B34" s="53">
        <v>1.0393686783077347</v>
      </c>
      <c r="C34" s="53">
        <v>1.0343782818112426</v>
      </c>
      <c r="D34" s="53">
        <v>1.0352281296287829</v>
      </c>
      <c r="E34" s="53">
        <v>1.0007623137862007</v>
      </c>
      <c r="F34" s="53">
        <v>1.0007623137862007</v>
      </c>
      <c r="G34" s="53">
        <v>1.0388329517716521</v>
      </c>
      <c r="H34" s="53">
        <v>1.0077811782196688</v>
      </c>
      <c r="J34" s="53">
        <v>2049</v>
      </c>
      <c r="K34" s="53">
        <v>0.40756280247474153</v>
      </c>
      <c r="L34" s="53">
        <v>0.40560594152249313</v>
      </c>
      <c r="M34" s="53">
        <v>0.40593918839188858</v>
      </c>
      <c r="N34" s="53">
        <v>0.39242426843369632</v>
      </c>
      <c r="O34" s="53">
        <v>0.39242426843369632</v>
      </c>
      <c r="P34" s="53">
        <v>0.40735273052148491</v>
      </c>
      <c r="Q34" s="53">
        <v>0.39517654307733108</v>
      </c>
    </row>
    <row r="35" spans="1:17" x14ac:dyDescent="0.25">
      <c r="A35" s="53">
        <v>2050</v>
      </c>
      <c r="B35" s="53">
        <v>1.0601560518738895</v>
      </c>
      <c r="C35" s="53">
        <v>1.0550658474474675</v>
      </c>
      <c r="D35" s="53">
        <v>1.0559326922213585</v>
      </c>
      <c r="E35" s="53">
        <v>1.0207775600619247</v>
      </c>
      <c r="F35" s="53">
        <v>1.0207775600619247</v>
      </c>
      <c r="G35" s="53">
        <v>1.0596096108070852</v>
      </c>
      <c r="H35" s="53">
        <v>1.0279368017840622</v>
      </c>
      <c r="J35" s="53">
        <v>2050</v>
      </c>
      <c r="K35" s="53">
        <v>0.40204454402730805</v>
      </c>
      <c r="L35" s="53">
        <v>0.40011417829104745</v>
      </c>
      <c r="M35" s="53">
        <v>0.40044291311385538</v>
      </c>
      <c r="N35" s="53">
        <v>0.38711098046650899</v>
      </c>
      <c r="O35" s="53">
        <v>0.38711098046650899</v>
      </c>
      <c r="P35" s="53">
        <v>0.40183731637515924</v>
      </c>
      <c r="Q35" s="53">
        <v>0.38982599026970771</v>
      </c>
    </row>
    <row r="36" spans="1:17" x14ac:dyDescent="0.25">
      <c r="A36" s="53">
        <v>2051</v>
      </c>
      <c r="B36" s="53">
        <v>1.0813591729113674</v>
      </c>
      <c r="C36" s="53">
        <v>1.0761671643964168</v>
      </c>
      <c r="D36" s="53">
        <v>1.0770513460657858</v>
      </c>
      <c r="E36" s="53">
        <v>1.0411931112631632</v>
      </c>
      <c r="F36" s="53">
        <v>1.0411931112631632</v>
      </c>
      <c r="G36" s="53">
        <v>1.0808018030232269</v>
      </c>
      <c r="H36" s="53">
        <v>1.0484955378197436</v>
      </c>
      <c r="J36" s="53">
        <v>2051</v>
      </c>
      <c r="K36" s="53">
        <v>0.3966010008780021</v>
      </c>
      <c r="L36" s="53">
        <v>0.39469677162172956</v>
      </c>
      <c r="M36" s="53">
        <v>0.39502105548948979</v>
      </c>
      <c r="N36" s="53">
        <v>0.38186963256850981</v>
      </c>
      <c r="O36" s="53">
        <v>0.38186963256850981</v>
      </c>
      <c r="P36" s="53">
        <v>0.39639657901611453</v>
      </c>
      <c r="Q36" s="53">
        <v>0.38454788208423779</v>
      </c>
    </row>
    <row r="37" spans="1:17" x14ac:dyDescent="0.25">
      <c r="A37" s="53">
        <v>2052</v>
      </c>
      <c r="B37" s="53">
        <v>1.1029863563695947</v>
      </c>
      <c r="C37" s="53">
        <v>1.0976905076843451</v>
      </c>
      <c r="D37" s="53">
        <v>1.0985923729871014</v>
      </c>
      <c r="E37" s="53">
        <v>1.0620169734884264</v>
      </c>
      <c r="F37" s="53">
        <v>1.0620169734884264</v>
      </c>
      <c r="G37" s="53">
        <v>1.1024178390836914</v>
      </c>
      <c r="H37" s="53">
        <v>1.0694654485761386</v>
      </c>
      <c r="J37" s="53">
        <v>2052</v>
      </c>
      <c r="K37" s="53">
        <v>0.39123116140770031</v>
      </c>
      <c r="L37" s="53">
        <v>0.38935271475257649</v>
      </c>
      <c r="M37" s="53">
        <v>0.38967260792967073</v>
      </c>
      <c r="N37" s="53">
        <v>0.37669925069620885</v>
      </c>
      <c r="O37" s="53">
        <v>0.37669925069620885</v>
      </c>
      <c r="P37" s="53">
        <v>0.39102950734665065</v>
      </c>
      <c r="Q37" s="53">
        <v>0.37934123764595989</v>
      </c>
    </row>
    <row r="38" spans="1:17" x14ac:dyDescent="0.25">
      <c r="A38" s="53">
        <v>2053</v>
      </c>
      <c r="B38" s="53">
        <v>1.1250460834969866</v>
      </c>
      <c r="C38" s="53">
        <v>1.119644317838032</v>
      </c>
      <c r="D38" s="53">
        <v>1.1205642204468436</v>
      </c>
      <c r="E38" s="53">
        <v>1.0832573129581948</v>
      </c>
      <c r="F38" s="53">
        <v>1.0832573129581948</v>
      </c>
      <c r="G38" s="53">
        <v>1.1244661958653652</v>
      </c>
      <c r="H38" s="53">
        <v>1.0908547575476613</v>
      </c>
      <c r="J38" s="53">
        <v>2053</v>
      </c>
      <c r="K38" s="53">
        <v>0.38593402769424984</v>
      </c>
      <c r="L38" s="53">
        <v>0.38408101455283178</v>
      </c>
      <c r="M38" s="53">
        <v>0.38439657648768299</v>
      </c>
      <c r="N38" s="53">
        <v>0.37159887399432595</v>
      </c>
      <c r="O38" s="53">
        <v>0.37159887399432595</v>
      </c>
      <c r="P38" s="53">
        <v>0.38573510395897842</v>
      </c>
      <c r="Q38" s="53">
        <v>0.37420508936061808</v>
      </c>
    </row>
    <row r="39" spans="1:17" x14ac:dyDescent="0.25">
      <c r="A39" s="53">
        <v>2054</v>
      </c>
      <c r="B39" s="53">
        <v>1.1475470051669263</v>
      </c>
      <c r="C39" s="53">
        <v>1.1420372041947926</v>
      </c>
      <c r="D39" s="53">
        <v>1.1429755048557804</v>
      </c>
      <c r="E39" s="53">
        <v>1.1049224592173588</v>
      </c>
      <c r="F39" s="53">
        <v>1.1049224592173588</v>
      </c>
      <c r="G39" s="53">
        <v>1.1469555197826726</v>
      </c>
      <c r="H39" s="53">
        <v>1.1126718526986146</v>
      </c>
      <c r="J39" s="53">
        <v>2054</v>
      </c>
      <c r="K39" s="53">
        <v>0.38070861532701622</v>
      </c>
      <c r="L39" s="53">
        <v>0.37888069133838331</v>
      </c>
      <c r="M39" s="53">
        <v>0.37919198067450349</v>
      </c>
      <c r="N39" s="53">
        <v>0.36656755461722673</v>
      </c>
      <c r="O39" s="53">
        <v>0.36656755461722673</v>
      </c>
      <c r="P39" s="53">
        <v>0.38051238494986261</v>
      </c>
      <c r="Q39" s="53">
        <v>0.36913848273484573</v>
      </c>
    </row>
    <row r="40" spans="1:17" x14ac:dyDescent="0.25">
      <c r="A40" s="53">
        <v>2055</v>
      </c>
      <c r="B40" s="53">
        <v>1.1704979452702649</v>
      </c>
      <c r="C40" s="53">
        <v>1.1648779482786884</v>
      </c>
      <c r="D40" s="53">
        <v>1.165835014952896</v>
      </c>
      <c r="E40" s="53">
        <v>1.127020908401706</v>
      </c>
      <c r="F40" s="53">
        <v>1.127020908401706</v>
      </c>
      <c r="G40" s="53">
        <v>1.1698946301783262</v>
      </c>
      <c r="H40" s="53">
        <v>1.1349252897525868</v>
      </c>
      <c r="J40" s="53">
        <v>2055</v>
      </c>
      <c r="K40" s="53">
        <v>0.37555395322394253</v>
      </c>
      <c r="L40" s="53">
        <v>0.37375077868970119</v>
      </c>
      <c r="M40" s="53">
        <v>0.37405785327658952</v>
      </c>
      <c r="N40" s="53">
        <v>0.36160435755277687</v>
      </c>
      <c r="O40" s="53">
        <v>0.36160435755277687</v>
      </c>
      <c r="P40" s="53">
        <v>0.37536037973777558</v>
      </c>
      <c r="Q40" s="53">
        <v>0.36414047619878398</v>
      </c>
    </row>
    <row r="41" spans="1:17" x14ac:dyDescent="0.25">
      <c r="A41" s="53">
        <v>2056</v>
      </c>
      <c r="B41" s="53">
        <v>1.1939079041756702</v>
      </c>
      <c r="C41" s="53">
        <v>1.1881755072442621</v>
      </c>
      <c r="D41" s="53">
        <v>1.189151715251954</v>
      </c>
      <c r="E41" s="53">
        <v>1.1495613265697402</v>
      </c>
      <c r="F41" s="53">
        <v>1.1495613265697402</v>
      </c>
      <c r="G41" s="53">
        <v>1.1932925227818927</v>
      </c>
      <c r="H41" s="53">
        <v>1.1576237955476385</v>
      </c>
      <c r="J41" s="53">
        <v>2056</v>
      </c>
      <c r="K41" s="53">
        <v>0.37046908345108448</v>
      </c>
      <c r="L41" s="53">
        <v>0.36869032327223905</v>
      </c>
      <c r="M41" s="53">
        <v>0.36899324017613283</v>
      </c>
      <c r="N41" s="53">
        <v>0.35670836044858067</v>
      </c>
      <c r="O41" s="53">
        <v>0.35670836044858067</v>
      </c>
      <c r="P41" s="53">
        <v>0.3702781308825252</v>
      </c>
      <c r="Q41" s="53">
        <v>0.35921014093110215</v>
      </c>
    </row>
    <row r="42" spans="1:17" x14ac:dyDescent="0.25">
      <c r="A42" s="53">
        <v>2057</v>
      </c>
      <c r="B42" s="53">
        <v>1.2177860622591836</v>
      </c>
      <c r="C42" s="53">
        <v>1.2119390173891473</v>
      </c>
      <c r="D42" s="53">
        <v>1.2129347495569931</v>
      </c>
      <c r="E42" s="53">
        <v>1.1725525531011349</v>
      </c>
      <c r="F42" s="53">
        <v>1.1725525531011349</v>
      </c>
      <c r="G42" s="53">
        <v>1.2171583732375306</v>
      </c>
      <c r="H42" s="53">
        <v>1.1807762714585912</v>
      </c>
      <c r="J42" s="53">
        <v>2057</v>
      </c>
      <c r="K42" s="53">
        <v>0.36545306104459019</v>
      </c>
      <c r="L42" s="53">
        <v>0.36369838465926874</v>
      </c>
      <c r="M42" s="53">
        <v>0.36399720017374809</v>
      </c>
      <c r="N42" s="53">
        <v>0.35187865344057284</v>
      </c>
      <c r="O42" s="53">
        <v>0.35187865344057284</v>
      </c>
      <c r="P42" s="53">
        <v>0.36526469390732669</v>
      </c>
      <c r="Q42" s="53">
        <v>0.35434656068638709</v>
      </c>
    </row>
    <row r="43" spans="1:17" x14ac:dyDescent="0.25">
      <c r="A43" s="53">
        <v>2058</v>
      </c>
      <c r="B43" s="53">
        <v>1.2421417835043673</v>
      </c>
      <c r="C43" s="53">
        <v>1.2361777977369304</v>
      </c>
      <c r="D43" s="53">
        <v>1.237193444548133</v>
      </c>
      <c r="E43" s="53">
        <v>1.1960036041631577</v>
      </c>
      <c r="F43" s="53">
        <v>1.1960036041631577</v>
      </c>
      <c r="G43" s="53">
        <v>1.2415015407022814</v>
      </c>
      <c r="H43" s="53">
        <v>1.2043917968877631</v>
      </c>
      <c r="J43" s="53">
        <v>2058</v>
      </c>
      <c r="K43" s="53">
        <v>0.36050495383508901</v>
      </c>
      <c r="L43" s="53">
        <v>0.35877403515711231</v>
      </c>
      <c r="M43" s="53">
        <v>0.35906880481356196</v>
      </c>
      <c r="N43" s="53">
        <v>0.34711433898393068</v>
      </c>
      <c r="O43" s="53">
        <v>0.34711433898393068</v>
      </c>
      <c r="P43" s="53">
        <v>0.36031913712328173</v>
      </c>
      <c r="Q43" s="53">
        <v>0.34954883162486927</v>
      </c>
    </row>
    <row r="44" spans="1:17" x14ac:dyDescent="0.25">
      <c r="A44" s="53">
        <v>2059</v>
      </c>
      <c r="B44" s="53">
        <v>1.2669846191744547</v>
      </c>
      <c r="C44" s="53">
        <v>1.2609013536916689</v>
      </c>
      <c r="D44" s="53">
        <v>1.2619373134390957</v>
      </c>
      <c r="E44" s="53">
        <v>1.2199236762464207</v>
      </c>
      <c r="F44" s="53">
        <v>1.2199236762464207</v>
      </c>
      <c r="G44" s="53">
        <v>1.266331571516327</v>
      </c>
      <c r="H44" s="53">
        <v>1.2284796328255183</v>
      </c>
      <c r="J44" s="53">
        <v>2059</v>
      </c>
      <c r="K44" s="53">
        <v>0.3556238422744592</v>
      </c>
      <c r="L44" s="53">
        <v>0.35391635963274137</v>
      </c>
      <c r="M44" s="53">
        <v>0.35420713821067046</v>
      </c>
      <c r="N44" s="53">
        <v>0.34241453168627595</v>
      </c>
      <c r="O44" s="53">
        <v>0.34241453168627595</v>
      </c>
      <c r="P44" s="53">
        <v>0.35544054145623538</v>
      </c>
      <c r="Q44" s="53">
        <v>0.3448160621444552</v>
      </c>
    </row>
    <row r="45" spans="1:17" x14ac:dyDescent="0.25">
      <c r="A45" s="53">
        <v>2060</v>
      </c>
      <c r="B45" s="53">
        <v>1.2923243115579439</v>
      </c>
      <c r="C45" s="53">
        <v>1.2861193807655023</v>
      </c>
      <c r="D45" s="53">
        <v>1.2871760597078776</v>
      </c>
      <c r="E45" s="53">
        <v>1.2443221497713493</v>
      </c>
      <c r="F45" s="53">
        <v>1.2443221497713493</v>
      </c>
      <c r="G45" s="53">
        <v>1.2916582029466537</v>
      </c>
      <c r="H45" s="53">
        <v>1.2530492254820287</v>
      </c>
      <c r="J45" s="53">
        <v>2060</v>
      </c>
      <c r="K45" s="53">
        <v>0.3508088192649404</v>
      </c>
      <c r="L45" s="53">
        <v>0.34912445534371001</v>
      </c>
      <c r="M45" s="53">
        <v>0.34941129688093214</v>
      </c>
      <c r="N45" s="53">
        <v>0.33777835814313484</v>
      </c>
      <c r="O45" s="53">
        <v>0.33777835814313484</v>
      </c>
      <c r="P45" s="53">
        <v>0.35062800027597685</v>
      </c>
      <c r="Q45" s="53">
        <v>0.34014737271503315</v>
      </c>
    </row>
    <row r="46" spans="1:17" x14ac:dyDescent="0.25">
      <c r="A46" s="53">
        <v>2061</v>
      </c>
      <c r="B46" s="53">
        <v>1.3181707977891028</v>
      </c>
      <c r="C46" s="53">
        <v>1.3118417683808123</v>
      </c>
      <c r="D46" s="53">
        <v>1.3129195809020353</v>
      </c>
      <c r="E46" s="53">
        <v>1.2692085927667762</v>
      </c>
      <c r="F46" s="53">
        <v>1.2692085927667762</v>
      </c>
      <c r="G46" s="53">
        <v>1.3174913670055868</v>
      </c>
      <c r="H46" s="53">
        <v>1.2781102099916692</v>
      </c>
      <c r="J46" s="53">
        <v>2061</v>
      </c>
      <c r="K46" s="53">
        <v>0.34605898999056023</v>
      </c>
      <c r="L46" s="53">
        <v>0.34439743177039095</v>
      </c>
      <c r="M46" s="53">
        <v>0.34468038957306663</v>
      </c>
      <c r="N46" s="53">
        <v>0.33320495677562628</v>
      </c>
      <c r="O46" s="53">
        <v>0.33320495677562628</v>
      </c>
      <c r="P46" s="53">
        <v>0.34588061922775287</v>
      </c>
      <c r="Q46" s="53">
        <v>0.33554189571502308</v>
      </c>
    </row>
    <row r="47" spans="1:17" x14ac:dyDescent="0.25">
      <c r="A47" s="53">
        <v>2062</v>
      </c>
      <c r="B47" s="53">
        <v>1.344534213744885</v>
      </c>
      <c r="C47" s="53">
        <v>1.3380786037484287</v>
      </c>
      <c r="D47" s="53">
        <v>1.3391779725200761</v>
      </c>
      <c r="E47" s="53">
        <v>1.2945927646221118</v>
      </c>
      <c r="F47" s="53">
        <v>1.2945927646221118</v>
      </c>
      <c r="G47" s="53">
        <v>1.3438411943456985</v>
      </c>
      <c r="H47" s="53">
        <v>1.3036724141915026</v>
      </c>
      <c r="J47" s="53">
        <v>2062</v>
      </c>
      <c r="K47" s="53">
        <v>0.34137347175084282</v>
      </c>
      <c r="L47" s="53">
        <v>0.33973441045048242</v>
      </c>
      <c r="M47" s="53">
        <v>0.34001353710302512</v>
      </c>
      <c r="N47" s="53">
        <v>0.32869347767034707</v>
      </c>
      <c r="O47" s="53">
        <v>0.32869347767034707</v>
      </c>
      <c r="P47" s="53">
        <v>0.3411975160660618</v>
      </c>
      <c r="Q47" s="53">
        <v>0.33099877527013882</v>
      </c>
    </row>
    <row r="48" spans="1:17" x14ac:dyDescent="0.25">
      <c r="A48" s="53">
        <v>2063</v>
      </c>
      <c r="B48" s="53">
        <v>1.3714248980197827</v>
      </c>
      <c r="C48" s="53">
        <v>1.3648401758233972</v>
      </c>
      <c r="D48" s="53">
        <v>1.3659615319704776</v>
      </c>
      <c r="E48" s="53">
        <v>1.3204846199145541</v>
      </c>
      <c r="F48" s="53">
        <v>1.3204846199145541</v>
      </c>
      <c r="G48" s="53">
        <v>1.3707180182326124</v>
      </c>
      <c r="H48" s="53">
        <v>1.3297458624753327</v>
      </c>
      <c r="J48" s="53">
        <v>2063</v>
      </c>
      <c r="K48" s="53">
        <v>0.33675139379676955</v>
      </c>
      <c r="L48" s="53">
        <v>0.33513452481575634</v>
      </c>
      <c r="M48" s="53">
        <v>0.33540987219060509</v>
      </c>
      <c r="N48" s="53">
        <v>0.32424308242142558</v>
      </c>
      <c r="O48" s="53">
        <v>0.32424308242142558</v>
      </c>
      <c r="P48" s="53">
        <v>0.33657782049069929</v>
      </c>
      <c r="Q48" s="53">
        <v>0.32651716709433426</v>
      </c>
    </row>
    <row r="49" spans="1:17" x14ac:dyDescent="0.25">
      <c r="A49" s="53">
        <v>2064</v>
      </c>
      <c r="B49" s="53">
        <v>1.3988533959801783</v>
      </c>
      <c r="C49" s="53">
        <v>1.3921369793398652</v>
      </c>
      <c r="D49" s="53">
        <v>1.3932807626098873</v>
      </c>
      <c r="E49" s="53">
        <v>1.3468943123128452</v>
      </c>
      <c r="F49" s="53">
        <v>1.3468943123128452</v>
      </c>
      <c r="G49" s="53">
        <v>1.3981323785972646</v>
      </c>
      <c r="H49" s="53">
        <v>1.3563407797248392</v>
      </c>
      <c r="J49" s="53">
        <v>2064</v>
      </c>
      <c r="K49" s="53">
        <v>0.33219189716896019</v>
      </c>
      <c r="L49" s="53">
        <v>0.33059692003101682</v>
      </c>
      <c r="M49" s="53">
        <v>0.33086853929827575</v>
      </c>
      <c r="N49" s="53">
        <v>0.3198529439747137</v>
      </c>
      <c r="O49" s="53">
        <v>0.3198529439747137</v>
      </c>
      <c r="P49" s="53">
        <v>0.33202067398502239</v>
      </c>
      <c r="Q49" s="53">
        <v>0.32209623833290213</v>
      </c>
    </row>
    <row r="50" spans="1:17" x14ac:dyDescent="0.25">
      <c r="A50" s="53">
        <v>2065</v>
      </c>
      <c r="B50" s="53">
        <v>1.426830463899782</v>
      </c>
      <c r="C50" s="53">
        <v>1.4199797189266625</v>
      </c>
      <c r="D50" s="53">
        <v>1.421146377862085</v>
      </c>
      <c r="E50" s="53">
        <v>1.3738321985591022</v>
      </c>
      <c r="F50" s="53">
        <v>1.3738321985591022</v>
      </c>
      <c r="G50" s="53">
        <v>1.4260950261692098</v>
      </c>
      <c r="H50" s="53">
        <v>1.3834675953193361</v>
      </c>
      <c r="J50" s="53">
        <v>2065</v>
      </c>
      <c r="K50" s="53">
        <v>0.32769413453804591</v>
      </c>
      <c r="L50" s="53">
        <v>0.32612075283523911</v>
      </c>
      <c r="M50" s="53">
        <v>0.32638869447218699</v>
      </c>
      <c r="N50" s="53">
        <v>0.31552224647408911</v>
      </c>
      <c r="O50" s="53">
        <v>0.31552224647408911</v>
      </c>
      <c r="P50" s="53">
        <v>0.32752522965640513</v>
      </c>
      <c r="Q50" s="53">
        <v>0.31773516740769853</v>
      </c>
    </row>
    <row r="51" spans="1:17" x14ac:dyDescent="0.25">
      <c r="A51" s="53">
        <v>2066</v>
      </c>
      <c r="B51" s="53">
        <v>1.4553670731777777</v>
      </c>
      <c r="C51" s="53">
        <v>1.4483793133051959</v>
      </c>
      <c r="D51" s="53">
        <v>1.4495693054193266</v>
      </c>
      <c r="E51" s="53">
        <v>1.4013088425302842</v>
      </c>
      <c r="F51" s="53">
        <v>1.4013088425302842</v>
      </c>
      <c r="G51" s="53">
        <v>1.4546169266925941</v>
      </c>
      <c r="H51" s="53">
        <v>1.4111369472257227</v>
      </c>
      <c r="J51" s="53">
        <v>2066</v>
      </c>
      <c r="K51" s="53">
        <v>0.32325727004720201</v>
      </c>
      <c r="L51" s="53">
        <v>0.32170519138485876</v>
      </c>
      <c r="M51" s="53">
        <v>0.32196950518532952</v>
      </c>
      <c r="N51" s="53">
        <v>0.31125018510983643</v>
      </c>
      <c r="O51" s="53">
        <v>0.31125018510983643</v>
      </c>
      <c r="P51" s="53">
        <v>0.32309065207885229</v>
      </c>
      <c r="Q51" s="53">
        <v>0.31343314386446086</v>
      </c>
    </row>
  </sheetData>
  <mergeCells count="5">
    <mergeCell ref="A1:H3"/>
    <mergeCell ref="J1:Q3"/>
    <mergeCell ref="R5:V6"/>
    <mergeCell ref="R7:V8"/>
    <mergeCell ref="R10:V11"/>
  </mergeCells>
  <pageMargins left="0.7" right="0.7" top="0.75" bottom="0.75" header="0.3" footer="0.3"/>
  <pageSetup scale="74"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C791D-2E8D-4B16-B768-63522E24FF7C}">
  <sheetPr>
    <tabColor rgb="FF00B050"/>
  </sheetPr>
  <dimension ref="A1:W48"/>
  <sheetViews>
    <sheetView view="pageBreakPreview" zoomScaleNormal="100" zoomScaleSheetLayoutView="100" workbookViewId="0">
      <selection activeCell="B1" sqref="B1:I1"/>
    </sheetView>
  </sheetViews>
  <sheetFormatPr defaultRowHeight="15" x14ac:dyDescent="0.25"/>
  <cols>
    <col min="1" max="1" width="9.140625" style="40"/>
    <col min="2" max="2" width="5" style="40" bestFit="1" customWidth="1"/>
    <col min="3" max="7" width="8" style="40" bestFit="1" customWidth="1"/>
    <col min="8" max="8" width="11.5703125" style="40" bestFit="1" customWidth="1"/>
    <col min="9" max="9" width="8" style="40" bestFit="1" customWidth="1"/>
    <col min="10" max="10" width="9.140625" style="40"/>
    <col min="11" max="11" width="5" style="40" bestFit="1" customWidth="1"/>
    <col min="12" max="16" width="8" style="40" bestFit="1" customWidth="1"/>
    <col min="17" max="17" width="11.5703125" style="40" bestFit="1" customWidth="1"/>
    <col min="18" max="18" width="8" style="40" bestFit="1" customWidth="1"/>
    <col min="19" max="19" width="9.140625" style="40"/>
    <col min="20" max="20" width="9.85546875" style="40" bestFit="1" customWidth="1"/>
    <col min="21" max="16384" width="9.140625" style="40"/>
  </cols>
  <sheetData>
    <row r="1" spans="1:23" x14ac:dyDescent="0.25">
      <c r="A1" s="40" t="s">
        <v>202</v>
      </c>
      <c r="B1" s="181" t="s">
        <v>127</v>
      </c>
      <c r="C1" s="182"/>
      <c r="D1" s="182"/>
      <c r="E1" s="182"/>
      <c r="F1" s="182"/>
      <c r="G1" s="182"/>
      <c r="H1" s="182"/>
      <c r="I1" s="183"/>
      <c r="K1" s="181" t="s">
        <v>201</v>
      </c>
      <c r="L1" s="182"/>
      <c r="M1" s="182"/>
      <c r="N1" s="182"/>
      <c r="O1" s="182"/>
      <c r="P1" s="182"/>
      <c r="Q1" s="182"/>
      <c r="R1" s="183"/>
    </row>
    <row r="2" spans="1:23" x14ac:dyDescent="0.25">
      <c r="A2" s="40">
        <v>2023</v>
      </c>
      <c r="B2" s="123"/>
      <c r="C2" s="123" t="s">
        <v>27</v>
      </c>
      <c r="D2" s="123" t="s">
        <v>28</v>
      </c>
      <c r="E2" s="123" t="s">
        <v>29</v>
      </c>
      <c r="F2" s="123" t="s">
        <v>30</v>
      </c>
      <c r="G2" s="123" t="s">
        <v>31</v>
      </c>
      <c r="H2" s="123" t="s">
        <v>32</v>
      </c>
      <c r="I2" s="123" t="s">
        <v>33</v>
      </c>
      <c r="K2" s="123"/>
      <c r="L2" s="123" t="s">
        <v>27</v>
      </c>
      <c r="M2" s="123" t="s">
        <v>28</v>
      </c>
      <c r="N2" s="123" t="s">
        <v>29</v>
      </c>
      <c r="O2" s="123" t="s">
        <v>30</v>
      </c>
      <c r="P2" s="123" t="s">
        <v>31</v>
      </c>
      <c r="Q2" s="123" t="s">
        <v>32</v>
      </c>
      <c r="R2" s="123" t="s">
        <v>33</v>
      </c>
    </row>
    <row r="3" spans="1:23" ht="15.75" thickBot="1" x14ac:dyDescent="0.3">
      <c r="B3" s="123">
        <f>A2</f>
        <v>2023</v>
      </c>
      <c r="C3" s="124">
        <f>(('INCRM FIXED TRANSPORT'!$B5+'VARIABLE TRANSPORT'!$B5+'FIXED STORAGE'!$B5+'VARIABLE STORAGE'!$B5+'COMMODITY COST'!B4+'CARBON TAX'!$B6+('DISTRIBUTION SYSTEM'!B5*((1+$S$6)^($B3-$A$2)))+'RISK PREMIUM'!$B6)*'ENVIRONMENTAL ADDER'!$B5)/10</f>
        <v>1.2176491769667046</v>
      </c>
      <c r="D3" s="124">
        <f>(('INCRM FIXED TRANSPORT'!$B5+'VARIABLE TRANSPORT'!$B5+'FIXED STORAGE'!$B5+'VARIABLE STORAGE'!$B5+'COMMODITY COST'!C4+'CARBON TAX'!$B6+('DISTRIBUTION SYSTEM'!C5*((1+$S$6)^($B3-$A$2)))+'RISK PREMIUM'!$B6)*'ENVIRONMENTAL ADDER'!$B5)/10</f>
        <v>1.4714499900483502</v>
      </c>
      <c r="E3" s="124">
        <f>(('INCRM FIXED TRANSPORT'!$B5+'VARIABLE TRANSPORT'!$B5+'FIXED STORAGE'!$B5+'VARIABLE STORAGE'!$B5+'COMMODITY COST'!D4+'CARBON TAX'!$B6+('DISTRIBUTION SYSTEM'!D5*((1+$S$6)^($B3-$A$2)))+'RISK PREMIUM'!$B6)*'ENVIRONMENTAL ADDER'!$B5)/10</f>
        <v>1.3548387485923841</v>
      </c>
      <c r="F3" s="124">
        <f>(('INCRM FIXED TRANSPORT'!$B5+'VARIABLE TRANSPORT'!$B5+'FIXED STORAGE'!$B5+'VARIABLE STORAGE'!$B5+'COMMODITY COST'!E4+'CARBON TAX'!$B6+('DISTRIBUTION SYSTEM'!E5*((1+$S$6)^($B3-$A$2)))+'RISK PREMIUM'!$B6)*'ENVIRONMENTAL ADDER'!$B5)/10</f>
        <v>1.3870681034906043</v>
      </c>
      <c r="G3" s="124">
        <f>(('INCRM FIXED TRANSPORT'!$B5+'VARIABLE TRANSPORT'!$B5+'FIXED STORAGE'!$B5+'VARIABLE STORAGE'!$B5+'COMMODITY COST'!F4+'CARBON TAX'!$B6+('DISTRIBUTION SYSTEM'!F5*((1+$S$6)^($B3-$A$2)))+'RISK PREMIUM'!$B6)*'ENVIRONMENTAL ADDER'!$B5)/10</f>
        <v>1.3870681034906043</v>
      </c>
      <c r="H3" s="124">
        <f>(('INCRM FIXED TRANSPORT'!$B5+'VARIABLE TRANSPORT'!$B5+'FIXED STORAGE'!$B5+'VARIABLE STORAGE'!$B5+'COMMODITY COST'!G4+'CARBON TAX'!$B6+('DISTRIBUTION SYSTEM'!G5*((1+$S$6)^($B3-$A$2)))+'RISK PREMIUM'!$B6)*'ENVIRONMENTAL ADDER'!$B5)/10</f>
        <v>1.3148844530405923</v>
      </c>
      <c r="I3" s="124">
        <f>(('INCRM FIXED TRANSPORT'!$B5+'VARIABLE TRANSPORT'!$B5+'FIXED STORAGE'!$B5+'VARIABLE STORAGE'!$B5+'COMMODITY COST'!H4+'CARBON TAX'!$B6+('DISTRIBUTION SYSTEM'!H5*((1+$S$6)^($B3-$A$2)))+'RISK PREMIUM'!$B6)*'ENVIRONMENTAL ADDER'!$B5)/10</f>
        <v>1.3576035035193414</v>
      </c>
      <c r="K3" s="123">
        <f>B3</f>
        <v>2023</v>
      </c>
      <c r="L3" s="124">
        <f t="shared" ref="L3:L48" si="0">C3/POWER((1+$S$6),$B3-$B$3)</f>
        <v>1.2176491769667046</v>
      </c>
      <c r="M3" s="124">
        <f t="shared" ref="M3:M48" si="1">D3/POWER((1+$S$6),$B3-$B$3)</f>
        <v>1.4714499900483502</v>
      </c>
      <c r="N3" s="124">
        <f t="shared" ref="N3:N48" si="2">E3/POWER((1+$S$6),$B3-$B$3)</f>
        <v>1.3548387485923841</v>
      </c>
      <c r="O3" s="124">
        <f t="shared" ref="O3:O48" si="3">F3/POWER((1+$S$6),$B3-$B$3)</f>
        <v>1.3870681034906043</v>
      </c>
      <c r="P3" s="124">
        <f t="shared" ref="P3:P48" si="4">G3/POWER((1+$S$6),$B3-$B$3)</f>
        <v>1.3870681034906043</v>
      </c>
      <c r="Q3" s="124">
        <f t="shared" ref="Q3:Q48" si="5">H3/POWER((1+$S$6),$B3-$B$3)</f>
        <v>1.3148844530405923</v>
      </c>
      <c r="R3" s="124">
        <f t="shared" ref="R3:R48" si="6">I3/POWER((1+$S$6),$B3-$B$3)</f>
        <v>1.3576035035193414</v>
      </c>
    </row>
    <row r="4" spans="1:23" ht="15" customHeight="1" x14ac:dyDescent="0.25">
      <c r="B4" s="123">
        <f>B3+1</f>
        <v>2024</v>
      </c>
      <c r="C4" s="124">
        <f>(('INCRM FIXED TRANSPORT'!$B6+'VARIABLE TRANSPORT'!$B6+'FIXED STORAGE'!$B6+'VARIABLE STORAGE'!$B6+'COMMODITY COST'!B5+'CARBON TAX'!$B7+('DISTRIBUTION SYSTEM'!B6*((1+$S$6)^($B4-$A$2)))+'RISK PREMIUM'!$B7)*'ENVIRONMENTAL ADDER'!$B6)/10</f>
        <v>0.92125755645354468</v>
      </c>
      <c r="D4" s="124">
        <f>(('INCRM FIXED TRANSPORT'!$B6+'VARIABLE TRANSPORT'!$B6+'FIXED STORAGE'!$B6+'VARIABLE STORAGE'!$B6+'COMMODITY COST'!C5+'CARBON TAX'!$B7+('DISTRIBUTION SYSTEM'!C6*((1+$S$6)^($B4-$A$2)))+'RISK PREMIUM'!$B7)*'ENVIRONMENTAL ADDER'!$B6)/10</f>
        <v>1.2637250893738889</v>
      </c>
      <c r="E4" s="124">
        <f>(('INCRM FIXED TRANSPORT'!$B6+'VARIABLE TRANSPORT'!$B6+'FIXED STORAGE'!$B6+'VARIABLE STORAGE'!$B6+'COMMODITY COST'!D5+'CARBON TAX'!$B7+('DISTRIBUTION SYSTEM'!D6*((1+$S$6)^($B4-$A$2)))+'RISK PREMIUM'!$B7)*'ENVIRONMENTAL ADDER'!$B6)/10</f>
        <v>1.1591339563984531</v>
      </c>
      <c r="F4" s="124">
        <f>(('INCRM FIXED TRANSPORT'!$B6+'VARIABLE TRANSPORT'!$B6+'FIXED STORAGE'!$B6+'VARIABLE STORAGE'!$B6+'COMMODITY COST'!E5+'CARBON TAX'!$B7+('DISTRIBUTION SYSTEM'!E6*((1+$S$6)^($B4-$A$2)))+'RISK PREMIUM'!$B7)*'ENVIRONMENTAL ADDER'!$B6)/10</f>
        <v>1.6654768057265048</v>
      </c>
      <c r="G4" s="124">
        <f>(('INCRM FIXED TRANSPORT'!$B6+'VARIABLE TRANSPORT'!$B6+'FIXED STORAGE'!$B6+'VARIABLE STORAGE'!$B6+'COMMODITY COST'!F5+'CARBON TAX'!$B7+('DISTRIBUTION SYSTEM'!F6*((1+$S$6)^($B4-$A$2)))+'RISK PREMIUM'!$B7)*'ENVIRONMENTAL ADDER'!$B6)/10</f>
        <v>1.6654768057265048</v>
      </c>
      <c r="H4" s="124">
        <f>(('INCRM FIXED TRANSPORT'!$B6+'VARIABLE TRANSPORT'!$B6+'FIXED STORAGE'!$B6+'VARIABLE STORAGE'!$B6+'COMMODITY COST'!G5+'CARBON TAX'!$B7+('DISTRIBUTION SYSTEM'!G6*((1+$S$6)^($B4-$A$2)))+'RISK PREMIUM'!$B7)*'ENVIRONMENTAL ADDER'!$B6)/10</f>
        <v>1.2500360105212143</v>
      </c>
      <c r="I4" s="124">
        <f>(('INCRM FIXED TRANSPORT'!$B6+'VARIABLE TRANSPORT'!$B6+'FIXED STORAGE'!$B6+'VARIABLE STORAGE'!$B6+'COMMODITY COST'!H5+'CARBON TAX'!$B7+('DISTRIBUTION SYSTEM'!H6*((1+$S$6)^($B4-$A$2)))+'RISK PREMIUM'!$B7)*'ENVIRONMENTAL ADDER'!$B6)/10</f>
        <v>1.4604442970299587</v>
      </c>
      <c r="K4" s="123">
        <f t="shared" ref="K4:K48" si="7">B4</f>
        <v>2024</v>
      </c>
      <c r="L4" s="124">
        <f t="shared" si="0"/>
        <v>0.87688707067727456</v>
      </c>
      <c r="M4" s="124">
        <f t="shared" si="1"/>
        <v>1.2028603553910993</v>
      </c>
      <c r="N4" s="124">
        <f t="shared" si="2"/>
        <v>1.1033066403944918</v>
      </c>
      <c r="O4" s="124">
        <f t="shared" si="3"/>
        <v>1.5852625221078478</v>
      </c>
      <c r="P4" s="124">
        <f t="shared" si="4"/>
        <v>1.5852625221078478</v>
      </c>
      <c r="Q4" s="124">
        <f t="shared" si="5"/>
        <v>1.189830583020383</v>
      </c>
      <c r="R4" s="124">
        <f t="shared" si="6"/>
        <v>1.3901049847991231</v>
      </c>
      <c r="S4" s="171" t="s">
        <v>69</v>
      </c>
      <c r="T4" s="171"/>
      <c r="U4" s="171"/>
      <c r="V4" s="171"/>
      <c r="W4" s="172"/>
    </row>
    <row r="5" spans="1:23" ht="15" customHeight="1" x14ac:dyDescent="0.25">
      <c r="B5" s="123">
        <f t="shared" ref="B5:B48" si="8">B4+1</f>
        <v>2025</v>
      </c>
      <c r="C5" s="124">
        <f>(('INCRM FIXED TRANSPORT'!$B7+'VARIABLE TRANSPORT'!$B7+'FIXED STORAGE'!$B7+'VARIABLE STORAGE'!$B7+'COMMODITY COST'!B6+'CARBON TAX'!$B8+('DISTRIBUTION SYSTEM'!B7*((1+$S$6)^($B5-$A$2)))+'RISK PREMIUM'!$B8)*'ENVIRONMENTAL ADDER'!$B7)/10</f>
        <v>2.3928647239934167</v>
      </c>
      <c r="D5" s="124">
        <f>(('INCRM FIXED TRANSPORT'!$B7+'VARIABLE TRANSPORT'!$B7+'FIXED STORAGE'!$B7+'VARIABLE STORAGE'!$B7+'COMMODITY COST'!C6+'CARBON TAX'!$B8+('DISTRIBUTION SYSTEM'!C7*((1+$S$6)^($B5-$A$2)))+'RISK PREMIUM'!$B8)*'ENVIRONMENTAL ADDER'!$B7)/10</f>
        <v>1.2197348983474574</v>
      </c>
      <c r="E5" s="124">
        <f>(('INCRM FIXED TRANSPORT'!$B7+'VARIABLE TRANSPORT'!$B7+'FIXED STORAGE'!$B7+'VARIABLE STORAGE'!$B7+'COMMODITY COST'!D6+'CARBON TAX'!$B8+('DISTRIBUTION SYSTEM'!D7*((1+$S$6)^($B5-$A$2)))+'RISK PREMIUM'!$B8)*'ENVIRONMENTAL ADDER'!$B7)/10</f>
        <v>1.0629636642571527</v>
      </c>
      <c r="F5" s="124">
        <f>(('INCRM FIXED TRANSPORT'!$B7+'VARIABLE TRANSPORT'!$B7+'FIXED STORAGE'!$B7+'VARIABLE STORAGE'!$B7+'COMMODITY COST'!E6+'CARBON TAX'!$B8+('DISTRIBUTION SYSTEM'!E7*((1+$S$6)^($B5-$A$2)))+'RISK PREMIUM'!$B8)*'ENVIRONMENTAL ADDER'!$B7)/10</f>
        <v>1.0681092250870445</v>
      </c>
      <c r="G5" s="124">
        <f>(('INCRM FIXED TRANSPORT'!$B7+'VARIABLE TRANSPORT'!$B7+'FIXED STORAGE'!$B7+'VARIABLE STORAGE'!$B7+'COMMODITY COST'!F6+'CARBON TAX'!$B8+('DISTRIBUTION SYSTEM'!F7*((1+$S$6)^($B5-$A$2)))+'RISK PREMIUM'!$B8)*'ENVIRONMENTAL ADDER'!$B7)/10</f>
        <v>1.0681092250870445</v>
      </c>
      <c r="H5" s="124">
        <f>(('INCRM FIXED TRANSPORT'!$B7+'VARIABLE TRANSPORT'!$B7+'FIXED STORAGE'!$B7+'VARIABLE STORAGE'!$B7+'COMMODITY COST'!G6+'CARBON TAX'!$B8+('DISTRIBUTION SYSTEM'!G7*((1+$S$6)^($B5-$A$2)))+'RISK PREMIUM'!$B8)*'ENVIRONMENTAL ADDER'!$B7)/10</f>
        <v>1.079122903347093</v>
      </c>
      <c r="I5" s="124">
        <f>(('INCRM FIXED TRANSPORT'!$B7+'VARIABLE TRANSPORT'!$B7+'FIXED STORAGE'!$B7+'VARIABLE STORAGE'!$B7+'COMMODITY COST'!H6+'CARBON TAX'!$B8+('DISTRIBUTION SYSTEM'!H7*((1+$S$6)^($B5-$A$2)))+'RISK PREMIUM'!$B8)*'ENVIRONMENTAL ADDER'!$B7)/10</f>
        <v>1.0776623011445119</v>
      </c>
      <c r="K5" s="123">
        <f t="shared" si="7"/>
        <v>2025</v>
      </c>
      <c r="L5" s="124">
        <f t="shared" si="0"/>
        <v>2.1679205112905278</v>
      </c>
      <c r="M5" s="124">
        <f t="shared" si="1"/>
        <v>1.1050722081987594</v>
      </c>
      <c r="N5" s="124">
        <f t="shared" si="2"/>
        <v>0.96303844818014017</v>
      </c>
      <c r="O5" s="124">
        <f t="shared" si="3"/>
        <v>0.96770029418980463</v>
      </c>
      <c r="P5" s="124">
        <f t="shared" si="4"/>
        <v>0.96770029418980463</v>
      </c>
      <c r="Q5" s="124">
        <f t="shared" si="5"/>
        <v>0.97767861798107436</v>
      </c>
      <c r="R5" s="124">
        <f t="shared" si="6"/>
        <v>0.97635532149796722</v>
      </c>
      <c r="S5" s="173"/>
      <c r="T5" s="173"/>
      <c r="U5" s="173"/>
      <c r="V5" s="173"/>
      <c r="W5" s="174"/>
    </row>
    <row r="6" spans="1:23" ht="14.45" customHeight="1" x14ac:dyDescent="0.25">
      <c r="B6" s="123">
        <f t="shared" si="8"/>
        <v>2026</v>
      </c>
      <c r="C6" s="124">
        <f>(('INCRM FIXED TRANSPORT'!$B8+'VARIABLE TRANSPORT'!$B8+'FIXED STORAGE'!$B8+'VARIABLE STORAGE'!$B8+'COMMODITY COST'!B7+'CARBON TAX'!$B9+('DISTRIBUTION SYSTEM'!B8*((1+$S$6)^($B6-$A$2)))+'RISK PREMIUM'!$B9)*'ENVIRONMENTAL ADDER'!$B8)/10</f>
        <v>1.5071106403800349</v>
      </c>
      <c r="D6" s="124">
        <f>(('INCRM FIXED TRANSPORT'!$B8+'VARIABLE TRANSPORT'!$B8+'FIXED STORAGE'!$B8+'VARIABLE STORAGE'!$B8+'COMMODITY COST'!C7+'CARBON TAX'!$B9+('DISTRIBUTION SYSTEM'!C8*((1+$S$6)^($B6-$A$2)))+'RISK PREMIUM'!$B9)*'ENVIRONMENTAL ADDER'!$B8)/10</f>
        <v>1.0223645739099814</v>
      </c>
      <c r="E6" s="124">
        <f>(('INCRM FIXED TRANSPORT'!$B8+'VARIABLE TRANSPORT'!$B8+'FIXED STORAGE'!$B8+'VARIABLE STORAGE'!$B8+'COMMODITY COST'!D7+'CARBON TAX'!$B9+('DISTRIBUTION SYSTEM'!D8*((1+$S$6)^($B6-$A$2)))+'RISK PREMIUM'!$B9)*'ENVIRONMENTAL ADDER'!$B8)/10</f>
        <v>0.95200749124197459</v>
      </c>
      <c r="F6" s="124">
        <f>(('INCRM FIXED TRANSPORT'!$B8+'VARIABLE TRANSPORT'!$B8+'FIXED STORAGE'!$B8+'VARIABLE STORAGE'!$B8+'COMMODITY COST'!E7+'CARBON TAX'!$B9+('DISTRIBUTION SYSTEM'!E8*((1+$S$6)^($B6-$A$2)))+'RISK PREMIUM'!$B9)*'ENVIRONMENTAL ADDER'!$B8)/10</f>
        <v>1.1262293461579127</v>
      </c>
      <c r="G6" s="124">
        <f>(('INCRM FIXED TRANSPORT'!$B8+'VARIABLE TRANSPORT'!$B8+'FIXED STORAGE'!$B8+'VARIABLE STORAGE'!$B8+'COMMODITY COST'!F7+'CARBON TAX'!$B9+('DISTRIBUTION SYSTEM'!F8*((1+$S$6)^($B6-$A$2)))+'RISK PREMIUM'!$B9)*'ENVIRONMENTAL ADDER'!$B8)/10</f>
        <v>1.1262293461579127</v>
      </c>
      <c r="H6" s="124">
        <f>(('INCRM FIXED TRANSPORT'!$B8+'VARIABLE TRANSPORT'!$B8+'FIXED STORAGE'!$B8+'VARIABLE STORAGE'!$B8+'COMMODITY COST'!G7+'CARBON TAX'!$B9+('DISTRIBUTION SYSTEM'!G8*((1+$S$6)^($B6-$A$2)))+'RISK PREMIUM'!$B9)*'ENVIRONMENTAL ADDER'!$B8)/10</f>
        <v>0.95269040505322133</v>
      </c>
      <c r="I6" s="124">
        <f>(('INCRM FIXED TRANSPORT'!$B8+'VARIABLE TRANSPORT'!$B8+'FIXED STORAGE'!$B8+'VARIABLE STORAGE'!$B8+'COMMODITY COST'!H7+'CARBON TAX'!$B9+('DISTRIBUTION SYSTEM'!H8*((1+$S$6)^($B6-$A$2)))+'RISK PREMIUM'!$B9)*'ENVIRONMENTAL ADDER'!$B8)/10</f>
        <v>1.0415325263408914</v>
      </c>
      <c r="K6" s="123">
        <f t="shared" si="7"/>
        <v>2026</v>
      </c>
      <c r="L6" s="124">
        <f t="shared" si="0"/>
        <v>1.2996695579624244</v>
      </c>
      <c r="M6" s="124">
        <f t="shared" si="1"/>
        <v>0.88164470361311498</v>
      </c>
      <c r="N6" s="124">
        <f t="shared" si="2"/>
        <v>0.8209716806241748</v>
      </c>
      <c r="O6" s="124">
        <f t="shared" si="3"/>
        <v>0.97121336500966482</v>
      </c>
      <c r="P6" s="124">
        <f t="shared" si="4"/>
        <v>0.97121336500966482</v>
      </c>
      <c r="Q6" s="124">
        <f t="shared" si="5"/>
        <v>0.82156059710277241</v>
      </c>
      <c r="R6" s="124">
        <f t="shared" si="6"/>
        <v>0.89817434887966541</v>
      </c>
      <c r="S6" s="175">
        <v>5.0599999999999999E-2</v>
      </c>
      <c r="T6" s="175"/>
      <c r="U6" s="175"/>
      <c r="V6" s="175"/>
      <c r="W6" s="176"/>
    </row>
    <row r="7" spans="1:23" ht="15" customHeight="1" thickBot="1" x14ac:dyDescent="0.3">
      <c r="B7" s="123">
        <f t="shared" si="8"/>
        <v>2027</v>
      </c>
      <c r="C7" s="124">
        <f>(('INCRM FIXED TRANSPORT'!$B9+'VARIABLE TRANSPORT'!$B9+'FIXED STORAGE'!$B9+'VARIABLE STORAGE'!$B9+'COMMODITY COST'!B8+'CARBON TAX'!$B10+('DISTRIBUTION SYSTEM'!B9*((1+$S$6)^($B7-$A$2)))+'RISK PREMIUM'!$B10)*'ENVIRONMENTAL ADDER'!$B9)/10</f>
        <v>2.4420012897687502</v>
      </c>
      <c r="D7" s="124">
        <f>(('INCRM FIXED TRANSPORT'!$B9+'VARIABLE TRANSPORT'!$B9+'FIXED STORAGE'!$B9+'VARIABLE STORAGE'!$B9+'COMMODITY COST'!C8+'CARBON TAX'!$B10+('DISTRIBUTION SYSTEM'!C9*((1+$S$6)^($B7-$A$2)))+'RISK PREMIUM'!$B10)*'ENVIRONMENTAL ADDER'!$B9)/10</f>
        <v>1.1493526419893196</v>
      </c>
      <c r="E7" s="124">
        <f>(('INCRM FIXED TRANSPORT'!$B9+'VARIABLE TRANSPORT'!$B9+'FIXED STORAGE'!$B9+'VARIABLE STORAGE'!$B9+'COMMODITY COST'!D8+'CARBON TAX'!$B10+('DISTRIBUTION SYSTEM'!D9*((1+$S$6)^($B7-$A$2)))+'RISK PREMIUM'!$B10)*'ENVIRONMENTAL ADDER'!$B9)/10</f>
        <v>1.0012417209892253</v>
      </c>
      <c r="F7" s="124">
        <f>(('INCRM FIXED TRANSPORT'!$B9+'VARIABLE TRANSPORT'!$B9+'FIXED STORAGE'!$B9+'VARIABLE STORAGE'!$B9+'COMMODITY COST'!E8+'CARBON TAX'!$B10+('DISTRIBUTION SYSTEM'!E9*((1+$S$6)^($B7-$A$2)))+'RISK PREMIUM'!$B10)*'ENVIRONMENTAL ADDER'!$B9)/10</f>
        <v>1.0468453183571593</v>
      </c>
      <c r="G7" s="124">
        <f>(('INCRM FIXED TRANSPORT'!$B9+'VARIABLE TRANSPORT'!$B9+'FIXED STORAGE'!$B9+'VARIABLE STORAGE'!$B9+'COMMODITY COST'!F8+'CARBON TAX'!$B10+('DISTRIBUTION SYSTEM'!F9*((1+$S$6)^($B7-$A$2)))+'RISK PREMIUM'!$B10)*'ENVIRONMENTAL ADDER'!$B9)/10</f>
        <v>1.0468453183571593</v>
      </c>
      <c r="H7" s="124">
        <f>(('INCRM FIXED TRANSPORT'!$B9+'VARIABLE TRANSPORT'!$B9+'FIXED STORAGE'!$B9+'VARIABLE STORAGE'!$B9+'COMMODITY COST'!G8+'CARBON TAX'!$B10+('DISTRIBUTION SYSTEM'!G9*((1+$S$6)^($B7-$A$2)))+'RISK PREMIUM'!$B10)*'ENVIRONMENTAL ADDER'!$B9)/10</f>
        <v>1.029557716435715</v>
      </c>
      <c r="I7" s="124">
        <f>(('INCRM FIXED TRANSPORT'!$B9+'VARIABLE TRANSPORT'!$B9+'FIXED STORAGE'!$B9+'VARIABLE STORAGE'!$B9+'COMMODITY COST'!H8+'CARBON TAX'!$B10+('DISTRIBUTION SYSTEM'!H9*((1+$S$6)^($B7-$A$2)))+'RISK PREMIUM'!$B10)*'ENVIRONMENTAL ADDER'!$B9)/10</f>
        <v>1.0401936749396374</v>
      </c>
      <c r="K7" s="123">
        <f t="shared" si="7"/>
        <v>2027</v>
      </c>
      <c r="L7" s="124">
        <f t="shared" si="0"/>
        <v>2.0044549645983745</v>
      </c>
      <c r="M7" s="124">
        <f t="shared" si="1"/>
        <v>0.94341703215394901</v>
      </c>
      <c r="N7" s="124">
        <f t="shared" si="2"/>
        <v>0.82184393055333904</v>
      </c>
      <c r="O7" s="124">
        <f t="shared" si="3"/>
        <v>0.8592764894674898</v>
      </c>
      <c r="P7" s="124">
        <f t="shared" si="4"/>
        <v>0.8592764894674898</v>
      </c>
      <c r="Q7" s="124">
        <f t="shared" si="5"/>
        <v>0.84508639888784032</v>
      </c>
      <c r="R7" s="124">
        <f t="shared" si="6"/>
        <v>0.85381665628605341</v>
      </c>
      <c r="S7" s="177"/>
      <c r="T7" s="177"/>
      <c r="U7" s="177"/>
      <c r="V7" s="177"/>
      <c r="W7" s="178"/>
    </row>
    <row r="8" spans="1:23" ht="14.45" customHeight="1" x14ac:dyDescent="0.25">
      <c r="B8" s="123">
        <f t="shared" si="8"/>
        <v>2028</v>
      </c>
      <c r="C8" s="124">
        <f>(('INCRM FIXED TRANSPORT'!$B10+'VARIABLE TRANSPORT'!$B10+'FIXED STORAGE'!$B10+'VARIABLE STORAGE'!$B10+'COMMODITY COST'!B9+'CARBON TAX'!$B11+('DISTRIBUTION SYSTEM'!B10*((1+$S$6)^($B8-$A$2)))+'RISK PREMIUM'!$B11)*'ENVIRONMENTAL ADDER'!$B10)/10</f>
        <v>2.3848502282920085</v>
      </c>
      <c r="D8" s="124">
        <f>(('INCRM FIXED TRANSPORT'!$B10+'VARIABLE TRANSPORT'!$B10+'FIXED STORAGE'!$B10+'VARIABLE STORAGE'!$B10+'COMMODITY COST'!C9+'CARBON TAX'!$B11+('DISTRIBUTION SYSTEM'!C10*((1+$S$6)^($B8-$A$2)))+'RISK PREMIUM'!$B11)*'ENVIRONMENTAL ADDER'!$B10)/10</f>
        <v>1.100456120860368</v>
      </c>
      <c r="E8" s="124">
        <f>(('INCRM FIXED TRANSPORT'!$B10+'VARIABLE TRANSPORT'!$B10+'FIXED STORAGE'!$B10+'VARIABLE STORAGE'!$B10+'COMMODITY COST'!D9+'CARBON TAX'!$B11+('DISTRIBUTION SYSTEM'!D10*((1+$S$6)^($B8-$A$2)))+'RISK PREMIUM'!$B11)*'ENVIRONMENTAL ADDER'!$B10)/10</f>
        <v>0.98630282903074329</v>
      </c>
      <c r="F8" s="124">
        <f>(('INCRM FIXED TRANSPORT'!$B10+'VARIABLE TRANSPORT'!$B10+'FIXED STORAGE'!$B10+'VARIABLE STORAGE'!$B10+'COMMODITY COST'!E9+'CARBON TAX'!$B11+('DISTRIBUTION SYSTEM'!E10*((1+$S$6)^($B8-$A$2)))+'RISK PREMIUM'!$B11)*'ENVIRONMENTAL ADDER'!$B10)/10</f>
        <v>1.0124663698681984</v>
      </c>
      <c r="G8" s="124">
        <f>(('INCRM FIXED TRANSPORT'!$B10+'VARIABLE TRANSPORT'!$B10+'FIXED STORAGE'!$B10+'VARIABLE STORAGE'!$B10+'COMMODITY COST'!F9+'CARBON TAX'!$B11+('DISTRIBUTION SYSTEM'!F10*((1+$S$6)^($B8-$A$2)))+'RISK PREMIUM'!$B11)*'ENVIRONMENTAL ADDER'!$B10)/10</f>
        <v>1.0124663698681984</v>
      </c>
      <c r="H8" s="124">
        <f>(('INCRM FIXED TRANSPORT'!$B10+'VARIABLE TRANSPORT'!$B10+'FIXED STORAGE'!$B10+'VARIABLE STORAGE'!$B10+'COMMODITY COST'!G9+'CARBON TAX'!$B11+('DISTRIBUTION SYSTEM'!G10*((1+$S$6)^($B8-$A$2)))+'RISK PREMIUM'!$B11)*'ENVIRONMENTAL ADDER'!$B10)/10</f>
        <v>1.0126371103782339</v>
      </c>
      <c r="I8" s="124">
        <f>(('INCRM FIXED TRANSPORT'!$B10+'VARIABLE TRANSPORT'!$B10+'FIXED STORAGE'!$B10+'VARIABLE STORAGE'!$B10+'COMMODITY COST'!H9+'CARBON TAX'!$B11+('DISTRIBUTION SYSTEM'!H10*((1+$S$6)^($B8-$A$2)))+'RISK PREMIUM'!$B11)*'ENVIRONMENTAL ADDER'!$B10)/10</f>
        <v>1.0144432095894462</v>
      </c>
      <c r="K8" s="123">
        <f t="shared" si="7"/>
        <v>2028</v>
      </c>
      <c r="L8" s="124">
        <f t="shared" si="0"/>
        <v>1.8632628611989492</v>
      </c>
      <c r="M8" s="124">
        <f t="shared" si="1"/>
        <v>0.85977685141539373</v>
      </c>
      <c r="N8" s="124">
        <f t="shared" si="2"/>
        <v>0.77058987160992576</v>
      </c>
      <c r="O8" s="124">
        <f t="shared" si="3"/>
        <v>0.79103121982608005</v>
      </c>
      <c r="P8" s="124">
        <f t="shared" si="4"/>
        <v>0.79103121982608005</v>
      </c>
      <c r="Q8" s="124">
        <f t="shared" si="5"/>
        <v>0.79116461791015147</v>
      </c>
      <c r="R8" s="124">
        <f t="shared" si="6"/>
        <v>0.79257570760625484</v>
      </c>
      <c r="S8" s="2"/>
      <c r="T8" s="2"/>
      <c r="U8" s="2"/>
      <c r="V8" s="2"/>
      <c r="W8" s="33"/>
    </row>
    <row r="9" spans="1:23" ht="14.45" customHeight="1" x14ac:dyDescent="0.25">
      <c r="B9" s="123">
        <f t="shared" si="8"/>
        <v>2029</v>
      </c>
      <c r="C9" s="124">
        <f>(('INCRM FIXED TRANSPORT'!$B11+'VARIABLE TRANSPORT'!$B11+'FIXED STORAGE'!$B11+'VARIABLE STORAGE'!$B11+'COMMODITY COST'!B10+'CARBON TAX'!$B12+('DISTRIBUTION SYSTEM'!B11*((1+$S$6)^($B9-$A$2)))+'RISK PREMIUM'!$B12)*'ENVIRONMENTAL ADDER'!$B11)/10</f>
        <v>2.607422216126865</v>
      </c>
      <c r="D9" s="124">
        <f>(('INCRM FIXED TRANSPORT'!$B11+'VARIABLE TRANSPORT'!$B11+'FIXED STORAGE'!$B11+'VARIABLE STORAGE'!$B11+'COMMODITY COST'!C10+'CARBON TAX'!$B12+('DISTRIBUTION SYSTEM'!C11*((1+$S$6)^($B9-$A$2)))+'RISK PREMIUM'!$B12)*'ENVIRONMENTAL ADDER'!$B11)/10</f>
        <v>1.2498530586329948</v>
      </c>
      <c r="E9" s="124">
        <f>(('INCRM FIXED TRANSPORT'!$B11+'VARIABLE TRANSPORT'!$B11+'FIXED STORAGE'!$B11+'VARIABLE STORAGE'!$B11+'COMMODITY COST'!D10+'CARBON TAX'!$B12+('DISTRIBUTION SYSTEM'!D11*((1+$S$6)^($B9-$A$2)))+'RISK PREMIUM'!$B12)*'ENVIRONMENTAL ADDER'!$B11)/10</f>
        <v>1.0510712036181089</v>
      </c>
      <c r="F9" s="124">
        <f>(('INCRM FIXED TRANSPORT'!$B11+'VARIABLE TRANSPORT'!$B11+'FIXED STORAGE'!$B11+'VARIABLE STORAGE'!$B11+'COMMODITY COST'!E10+'CARBON TAX'!$B12+('DISTRIBUTION SYSTEM'!E11*((1+$S$6)^($B9-$A$2)))+'RISK PREMIUM'!$B12)*'ENVIRONMENTAL ADDER'!$B11)/10</f>
        <v>1.0217693063609372</v>
      </c>
      <c r="G9" s="124">
        <f>(('INCRM FIXED TRANSPORT'!$B11+'VARIABLE TRANSPORT'!$B11+'FIXED STORAGE'!$B11+'VARIABLE STORAGE'!$B11+'COMMODITY COST'!F10+'CARBON TAX'!$B12+('DISTRIBUTION SYSTEM'!F11*((1+$S$6)^($B9-$A$2)))+'RISK PREMIUM'!$B12)*'ENVIRONMENTAL ADDER'!$B11)/10</f>
        <v>1.0217693063609372</v>
      </c>
      <c r="H9" s="124">
        <f>(('INCRM FIXED TRANSPORT'!$B11+'VARIABLE TRANSPORT'!$B11+'FIXED STORAGE'!$B11+'VARIABLE STORAGE'!$B11+'COMMODITY COST'!G10+'CARBON TAX'!$B12+('DISTRIBUTION SYSTEM'!G11*((1+$S$6)^($B9-$A$2)))+'RISK PREMIUM'!$B12)*'ENVIRONMENTAL ADDER'!$B11)/10</f>
        <v>1.0850235810044973</v>
      </c>
      <c r="I9" s="124">
        <f>(('INCRM FIXED TRANSPORT'!$B11+'VARIABLE TRANSPORT'!$B11+'FIXED STORAGE'!$B11+'VARIABLE STORAGE'!$B11+'COMMODITY COST'!H10+'CARBON TAX'!$B12+('DISTRIBUTION SYSTEM'!H11*((1+$S$6)^($B9-$A$2)))+'RISK PREMIUM'!$B12)*'ENVIRONMENTAL ADDER'!$B11)/10</f>
        <v>1.0556792899642466</v>
      </c>
      <c r="K9" s="123">
        <f t="shared" si="7"/>
        <v>2029</v>
      </c>
      <c r="L9" s="124">
        <f t="shared" si="0"/>
        <v>1.9390409581955232</v>
      </c>
      <c r="M9" s="124">
        <f t="shared" si="1"/>
        <v>0.92946829148954779</v>
      </c>
      <c r="N9" s="124">
        <f t="shared" si="2"/>
        <v>0.7816417690966766</v>
      </c>
      <c r="O9" s="124">
        <f t="shared" si="3"/>
        <v>0.75985106002659308</v>
      </c>
      <c r="P9" s="124">
        <f t="shared" si="4"/>
        <v>0.75985106002659308</v>
      </c>
      <c r="Q9" s="124">
        <f t="shared" si="5"/>
        <v>0.80689086376693353</v>
      </c>
      <c r="R9" s="124">
        <f t="shared" si="6"/>
        <v>0.78506862804909261</v>
      </c>
      <c r="S9" s="179" t="s">
        <v>71</v>
      </c>
      <c r="T9" s="179"/>
      <c r="U9" s="179"/>
      <c r="V9" s="179"/>
      <c r="W9" s="180"/>
    </row>
    <row r="10" spans="1:23" ht="14.45" customHeight="1" x14ac:dyDescent="0.25">
      <c r="B10" s="123">
        <f t="shared" si="8"/>
        <v>2030</v>
      </c>
      <c r="C10" s="124">
        <f>(('INCRM FIXED TRANSPORT'!$B12+'VARIABLE TRANSPORT'!$B12+'FIXED STORAGE'!$B12+'VARIABLE STORAGE'!$B12+'COMMODITY COST'!B11+'CARBON TAX'!$B13+('DISTRIBUTION SYSTEM'!B12*((1+$S$6)^($B10-$A$2)))+'RISK PREMIUM'!$B13)*'ENVIRONMENTAL ADDER'!$B12)/10</f>
        <v>0.89488120965614715</v>
      </c>
      <c r="D10" s="124">
        <f>(('INCRM FIXED TRANSPORT'!$B12+'VARIABLE TRANSPORT'!$B12+'FIXED STORAGE'!$B12+'VARIABLE STORAGE'!$B12+'COMMODITY COST'!C11+'CARBON TAX'!$B13+('DISTRIBUTION SYSTEM'!C12*((1+$S$6)^($B10-$A$2)))+'RISK PREMIUM'!$B13)*'ENVIRONMENTAL ADDER'!$B12)/10</f>
        <v>3.7084177017780924</v>
      </c>
      <c r="E10" s="124">
        <f>(('INCRM FIXED TRANSPORT'!$B12+'VARIABLE TRANSPORT'!$B12+'FIXED STORAGE'!$B12+'VARIABLE STORAGE'!$B12+'COMMODITY COST'!D11+'CARBON TAX'!$B13+('DISTRIBUTION SYSTEM'!D12*((1+$S$6)^($B10-$A$2)))+'RISK PREMIUM'!$B13)*'ENVIRONMENTAL ADDER'!$B12)/10</f>
        <v>1.9541055443974762</v>
      </c>
      <c r="F10" s="124">
        <f>(('INCRM FIXED TRANSPORT'!$B12+'VARIABLE TRANSPORT'!$B12+'FIXED STORAGE'!$B12+'VARIABLE STORAGE'!$B12+'COMMODITY COST'!E11+'CARBON TAX'!$B13+('DISTRIBUTION SYSTEM'!E12*((1+$S$6)^($B10-$A$2)))+'RISK PREMIUM'!$B13)*'ENVIRONMENTAL ADDER'!$B12)/10</f>
        <v>1.0656646840670436</v>
      </c>
      <c r="G10" s="124">
        <f>(('INCRM FIXED TRANSPORT'!$B12+'VARIABLE TRANSPORT'!$B12+'FIXED STORAGE'!$B12+'VARIABLE STORAGE'!$B12+'COMMODITY COST'!F11+'CARBON TAX'!$B13+('DISTRIBUTION SYSTEM'!F12*((1+$S$6)^($B10-$A$2)))+'RISK PREMIUM'!$B13)*'ENVIRONMENTAL ADDER'!$B12)/10</f>
        <v>1.0656646840670436</v>
      </c>
      <c r="H10" s="124">
        <f>(('INCRM FIXED TRANSPORT'!$B12+'VARIABLE TRANSPORT'!$B12+'FIXED STORAGE'!$B12+'VARIABLE STORAGE'!$B12+'COMMODITY COST'!G11+'CARBON TAX'!$B13+('DISTRIBUTION SYSTEM'!G12*((1+$S$6)^($B10-$A$2)))+'RISK PREMIUM'!$B13)*'ENVIRONMENTAL ADDER'!$B12)/10</f>
        <v>2.6899995731679596</v>
      </c>
      <c r="I10" s="124">
        <f>(('INCRM FIXED TRANSPORT'!$B12+'VARIABLE TRANSPORT'!$B12+'FIXED STORAGE'!$B12+'VARIABLE STORAGE'!$B12+'COMMODITY COST'!H11+'CARBON TAX'!$B13+('DISTRIBUTION SYSTEM'!H12*((1+$S$6)^($B10-$A$2)))+'RISK PREMIUM'!$B13)*'ENVIRONMENTAL ADDER'!$B12)/10</f>
        <v>1.8870490370527127</v>
      </c>
      <c r="K10" s="123">
        <f t="shared" si="7"/>
        <v>2030</v>
      </c>
      <c r="L10" s="124">
        <f t="shared" si="0"/>
        <v>0.63343727159155672</v>
      </c>
      <c r="M10" s="124">
        <f t="shared" si="1"/>
        <v>2.6249852668587765</v>
      </c>
      <c r="N10" s="124">
        <f t="shared" si="2"/>
        <v>1.3832040175708791</v>
      </c>
      <c r="O10" s="124">
        <f t="shared" si="3"/>
        <v>0.75432551563607353</v>
      </c>
      <c r="P10" s="124">
        <f t="shared" si="4"/>
        <v>0.75432551563607353</v>
      </c>
      <c r="Q10" s="124">
        <f t="shared" si="5"/>
        <v>1.9041029935858143</v>
      </c>
      <c r="R10" s="124">
        <f t="shared" si="6"/>
        <v>1.3357383980041799</v>
      </c>
      <c r="S10" s="179"/>
      <c r="T10" s="179"/>
      <c r="U10" s="179"/>
      <c r="V10" s="179"/>
      <c r="W10" s="180"/>
    </row>
    <row r="11" spans="1:23" x14ac:dyDescent="0.25">
      <c r="B11" s="123">
        <f t="shared" si="8"/>
        <v>2031</v>
      </c>
      <c r="C11" s="124">
        <f>(('INCRM FIXED TRANSPORT'!$B13+'VARIABLE TRANSPORT'!$B13+'FIXED STORAGE'!$B13+'VARIABLE STORAGE'!$B13+'COMMODITY COST'!B12+'CARBON TAX'!$B14+('DISTRIBUTION SYSTEM'!B13*((1+$S$6)^($B11-$A$2)))+'RISK PREMIUM'!$B14)*'ENVIRONMENTAL ADDER'!$B13)/10</f>
        <v>2.6724497993551939</v>
      </c>
      <c r="D11" s="124">
        <f>(('INCRM FIXED TRANSPORT'!$B13+'VARIABLE TRANSPORT'!$B13+'FIXED STORAGE'!$B13+'VARIABLE STORAGE'!$B13+'COMMODITY COST'!C12+'CARBON TAX'!$B14+('DISTRIBUTION SYSTEM'!C13*((1+$S$6)^($B11-$A$2)))+'RISK PREMIUM'!$B14)*'ENVIRONMENTAL ADDER'!$B13)/10</f>
        <v>1.2387883461790063</v>
      </c>
      <c r="E11" s="124">
        <f>(('INCRM FIXED TRANSPORT'!$B13+'VARIABLE TRANSPORT'!$B13+'FIXED STORAGE'!$B13+'VARIABLE STORAGE'!$B13+'COMMODITY COST'!D12+'CARBON TAX'!$B14+('DISTRIBUTION SYSTEM'!D13*((1+$S$6)^($B11-$A$2)))+'RISK PREMIUM'!$B14)*'ENVIRONMENTAL ADDER'!$B13)/10</f>
        <v>1.0739505030645771</v>
      </c>
      <c r="F11" s="124">
        <f>(('INCRM FIXED TRANSPORT'!$B13+'VARIABLE TRANSPORT'!$B13+'FIXED STORAGE'!$B13+'VARIABLE STORAGE'!$B13+'COMMODITY COST'!E12+'CARBON TAX'!$B14+('DISTRIBUTION SYSTEM'!E13*((1+$S$6)^($B11-$A$2)))+'RISK PREMIUM'!$B14)*'ENVIRONMENTAL ADDER'!$B13)/10</f>
        <v>1.1328811413773243</v>
      </c>
      <c r="G11" s="124">
        <f>(('INCRM FIXED TRANSPORT'!$B13+'VARIABLE TRANSPORT'!$B13+'FIXED STORAGE'!$B13+'VARIABLE STORAGE'!$B13+'COMMODITY COST'!F12+'CARBON TAX'!$B14+('DISTRIBUTION SYSTEM'!F13*((1+$S$6)^($B11-$A$2)))+'RISK PREMIUM'!$B14)*'ENVIRONMENTAL ADDER'!$B13)/10</f>
        <v>1.1328811413773243</v>
      </c>
      <c r="H11" s="124">
        <f>(('INCRM FIXED TRANSPORT'!$B13+'VARIABLE TRANSPORT'!$B13+'FIXED STORAGE'!$B13+'VARIABLE STORAGE'!$B13+'COMMODITY COST'!G12+'CARBON TAX'!$B14+('DISTRIBUTION SYSTEM'!G13*((1+$S$6)^($B11-$A$2)))+'RISK PREMIUM'!$B14)*'ENVIRONMENTAL ADDER'!$B13)/10</f>
        <v>1.1071570495684548</v>
      </c>
      <c r="I11" s="124">
        <f>(('INCRM FIXED TRANSPORT'!$B13+'VARIABLE TRANSPORT'!$B13+'FIXED STORAGE'!$B13+'VARIABLE STORAGE'!$B13+'COMMODITY COST'!H12+'CARBON TAX'!$B14+('DISTRIBUTION SYSTEM'!H13*((1+$S$6)^($B11-$A$2)))+'RISK PREMIUM'!$B14)*'ENVIRONMENTAL ADDER'!$B13)/10</f>
        <v>1.1211159510194393</v>
      </c>
      <c r="K11" s="123">
        <f t="shared" si="7"/>
        <v>2031</v>
      </c>
      <c r="L11" s="124">
        <f t="shared" si="0"/>
        <v>1.8005715518163348</v>
      </c>
      <c r="M11" s="124">
        <f t="shared" si="1"/>
        <v>0.83463758809976663</v>
      </c>
      <c r="N11" s="124">
        <f t="shared" si="2"/>
        <v>0.72357756704858822</v>
      </c>
      <c r="O11" s="124">
        <f t="shared" si="3"/>
        <v>0.7632822720357173</v>
      </c>
      <c r="P11" s="124">
        <f t="shared" si="4"/>
        <v>0.7632822720357173</v>
      </c>
      <c r="Q11" s="124">
        <f t="shared" si="5"/>
        <v>0.74595058336619113</v>
      </c>
      <c r="R11" s="124">
        <f t="shared" si="6"/>
        <v>0.75535543761389845</v>
      </c>
      <c r="S11" s="2"/>
      <c r="T11" s="2"/>
      <c r="U11" s="2"/>
      <c r="V11" s="2"/>
      <c r="W11" s="33"/>
    </row>
    <row r="12" spans="1:23" ht="15.75" thickBot="1" x14ac:dyDescent="0.3">
      <c r="B12" s="123">
        <f t="shared" si="8"/>
        <v>2032</v>
      </c>
      <c r="C12" s="124">
        <f>(('INCRM FIXED TRANSPORT'!$B14+'VARIABLE TRANSPORT'!$B14+'FIXED STORAGE'!$B14+'VARIABLE STORAGE'!$B14+'COMMODITY COST'!B13+'CARBON TAX'!$B15+('DISTRIBUTION SYSTEM'!B14*((1+$S$6)^($B12-$A$2)))+'RISK PREMIUM'!$B15)*'ENVIRONMENTAL ADDER'!$B14)/10</f>
        <v>1.7173836502150084</v>
      </c>
      <c r="D12" s="124">
        <f>(('INCRM FIXED TRANSPORT'!$B14+'VARIABLE TRANSPORT'!$B14+'FIXED STORAGE'!$B14+'VARIABLE STORAGE'!$B14+'COMMODITY COST'!C13+'CARBON TAX'!$B15+('DISTRIBUTION SYSTEM'!C14*((1+$S$6)^($B12-$A$2)))+'RISK PREMIUM'!$B15)*'ENVIRONMENTAL ADDER'!$B14)/10</f>
        <v>1.1092099963113575</v>
      </c>
      <c r="E12" s="124">
        <f>(('INCRM FIXED TRANSPORT'!$B14+'VARIABLE TRANSPORT'!$B14+'FIXED STORAGE'!$B14+'VARIABLE STORAGE'!$B14+'COMMODITY COST'!D13+'CARBON TAX'!$B15+('DISTRIBUTION SYSTEM'!D14*((1+$S$6)^($B12-$A$2)))+'RISK PREMIUM'!$B15)*'ENVIRONMENTAL ADDER'!$B14)/10</f>
        <v>1.0309238056599954</v>
      </c>
      <c r="F12" s="124">
        <f>(('INCRM FIXED TRANSPORT'!$B14+'VARIABLE TRANSPORT'!$B14+'FIXED STORAGE'!$B14+'VARIABLE STORAGE'!$B14+'COMMODITY COST'!E13+'CARBON TAX'!$B15+('DISTRIBUTION SYSTEM'!E14*((1+$S$6)^($B12-$A$2)))+'RISK PREMIUM'!$B15)*'ENVIRONMENTAL ADDER'!$B14)/10</f>
        <v>1.1479031206294474</v>
      </c>
      <c r="G12" s="124">
        <f>(('INCRM FIXED TRANSPORT'!$B14+'VARIABLE TRANSPORT'!$B14+'FIXED STORAGE'!$B14+'VARIABLE STORAGE'!$B14+'COMMODITY COST'!F13+'CARBON TAX'!$B15+('DISTRIBUTION SYSTEM'!F14*((1+$S$6)^($B12-$A$2)))+'RISK PREMIUM'!$B15)*'ENVIRONMENTAL ADDER'!$B14)/10</f>
        <v>1.1479031206294474</v>
      </c>
      <c r="H12" s="124">
        <f>(('INCRM FIXED TRANSPORT'!$B14+'VARIABLE TRANSPORT'!$B14+'FIXED STORAGE'!$B14+'VARIABLE STORAGE'!$B14+'COMMODITY COST'!G13+'CARBON TAX'!$B15+('DISTRIBUTION SYSTEM'!G14*((1+$S$6)^($B12-$A$2)))+'RISK PREMIUM'!$B15)*'ENVIRONMENTAL ADDER'!$B14)/10</f>
        <v>1.0392294056902363</v>
      </c>
      <c r="I12" s="124">
        <f>(('INCRM FIXED TRANSPORT'!$B14+'VARIABLE TRANSPORT'!$B14+'FIXED STORAGE'!$B14+'VARIABLE STORAGE'!$B14+'COMMODITY COST'!H13+'CARBON TAX'!$B15+('DISTRIBUTION SYSTEM'!H14*((1+$S$6)^($B12-$A$2)))+'RISK PREMIUM'!$B15)*'ENVIRONMENTAL ADDER'!$B14)/10</f>
        <v>1.0942995584703452</v>
      </c>
      <c r="K12" s="123">
        <f t="shared" si="7"/>
        <v>2032</v>
      </c>
      <c r="L12" s="124">
        <f t="shared" si="0"/>
        <v>1.1013636934379856</v>
      </c>
      <c r="M12" s="124">
        <f t="shared" si="1"/>
        <v>0.71133996074951977</v>
      </c>
      <c r="N12" s="124">
        <f t="shared" si="2"/>
        <v>0.66113477330047199</v>
      </c>
      <c r="O12" s="124">
        <f t="shared" si="3"/>
        <v>0.7361539866104807</v>
      </c>
      <c r="P12" s="124">
        <f t="shared" si="4"/>
        <v>0.7361539866104807</v>
      </c>
      <c r="Q12" s="124">
        <f t="shared" si="5"/>
        <v>0.66646118148211464</v>
      </c>
      <c r="R12" s="124">
        <f t="shared" si="6"/>
        <v>0.7017778487023375</v>
      </c>
      <c r="S12" s="34" t="s">
        <v>72</v>
      </c>
      <c r="T12" s="60">
        <v>44720</v>
      </c>
      <c r="U12" s="34"/>
      <c r="V12" s="34"/>
      <c r="W12" s="35"/>
    </row>
    <row r="13" spans="1:23" x14ac:dyDescent="0.25">
      <c r="B13" s="123">
        <f t="shared" si="8"/>
        <v>2033</v>
      </c>
      <c r="C13" s="124">
        <f>(('INCRM FIXED TRANSPORT'!$B15+'VARIABLE TRANSPORT'!$B15+'FIXED STORAGE'!$B15+'VARIABLE STORAGE'!$B15+'COMMODITY COST'!B14+'CARBON TAX'!$B16+('DISTRIBUTION SYSTEM'!B15*((1+$S$6)^($B13-$A$2)))+'RISK PREMIUM'!$B16)*'ENVIRONMENTAL ADDER'!$B15)/10</f>
        <v>2.8106493474780261</v>
      </c>
      <c r="D13" s="124">
        <f>(('INCRM FIXED TRANSPORT'!$B15+'VARIABLE TRANSPORT'!$B15+'FIXED STORAGE'!$B15+'VARIABLE STORAGE'!$B15+'COMMODITY COST'!C14+'CARBON TAX'!$B16+('DISTRIBUTION SYSTEM'!C15*((1+$S$6)^($B13-$A$2)))+'RISK PREMIUM'!$B16)*'ENVIRONMENTAL ADDER'!$B15)/10</f>
        <v>1.4148586865187442</v>
      </c>
      <c r="E13" s="124">
        <f>(('INCRM FIXED TRANSPORT'!$B15+'VARIABLE TRANSPORT'!$B15+'FIXED STORAGE'!$B15+'VARIABLE STORAGE'!$B15+'COMMODITY COST'!D14+'CARBON TAX'!$B16+('DISTRIBUTION SYSTEM'!D15*((1+$S$6)^($B13-$A$2)))+'RISK PREMIUM'!$B16)*'ENVIRONMENTAL ADDER'!$B15)/10</f>
        <v>1.1602125497262512</v>
      </c>
      <c r="F13" s="124">
        <f>(('INCRM FIXED TRANSPORT'!$B15+'VARIABLE TRANSPORT'!$B15+'FIXED STORAGE'!$B15+'VARIABLE STORAGE'!$B15+'COMMODITY COST'!E14+'CARBON TAX'!$B16+('DISTRIBUTION SYSTEM'!E15*((1+$S$6)^($B13-$A$2)))+'RISK PREMIUM'!$B16)*'ENVIRONMENTAL ADDER'!$B15)/10</f>
        <v>1.0962826469755931</v>
      </c>
      <c r="G13" s="124">
        <f>(('INCRM FIXED TRANSPORT'!$B15+'VARIABLE TRANSPORT'!$B15+'FIXED STORAGE'!$B15+'VARIABLE STORAGE'!$B15+'COMMODITY COST'!F14+'CARBON TAX'!$B16+('DISTRIBUTION SYSTEM'!F15*((1+$S$6)^($B13-$A$2)))+'RISK PREMIUM'!$B16)*'ENVIRONMENTAL ADDER'!$B15)/10</f>
        <v>1.0962826469755931</v>
      </c>
      <c r="H13" s="124">
        <f>(('INCRM FIXED TRANSPORT'!$B15+'VARIABLE TRANSPORT'!$B15+'FIXED STORAGE'!$B15+'VARIABLE STORAGE'!$B15+'COMMODITY COST'!G14+'CARBON TAX'!$B16+('DISTRIBUTION SYSTEM'!G15*((1+$S$6)^($B13-$A$2)))+'RISK PREMIUM'!$B16)*'ENVIRONMENTAL ADDER'!$B15)/10</f>
        <v>1.1967920158886738</v>
      </c>
      <c r="I13" s="124">
        <f>(('INCRM FIXED TRANSPORT'!$B15+'VARIABLE TRANSPORT'!$B15+'FIXED STORAGE'!$B15+'VARIABLE STORAGE'!$B15+'COMMODITY COST'!H14+'CARBON TAX'!$B16+('DISTRIBUTION SYSTEM'!H15*((1+$S$6)^($B13-$A$2)))+'RISK PREMIUM'!$B16)*'ENVIRONMENTAL ADDER'!$B15)/10</f>
        <v>1.1483179503757523</v>
      </c>
      <c r="K13" s="123">
        <f t="shared" si="7"/>
        <v>2033</v>
      </c>
      <c r="L13" s="124">
        <f t="shared" si="0"/>
        <v>1.715665832478418</v>
      </c>
      <c r="M13" s="124">
        <f t="shared" si="1"/>
        <v>0.86365263188153008</v>
      </c>
      <c r="N13" s="124">
        <f t="shared" si="2"/>
        <v>0.70821251030979382</v>
      </c>
      <c r="O13" s="124">
        <f t="shared" si="3"/>
        <v>0.66918866341071714</v>
      </c>
      <c r="P13" s="124">
        <f t="shared" si="4"/>
        <v>0.66918866341071714</v>
      </c>
      <c r="Q13" s="124">
        <f t="shared" si="5"/>
        <v>0.73054120823914637</v>
      </c>
      <c r="R13" s="124">
        <f t="shared" si="6"/>
        <v>0.70095185443502872</v>
      </c>
    </row>
    <row r="14" spans="1:23" x14ac:dyDescent="0.25">
      <c r="B14" s="123">
        <f t="shared" si="8"/>
        <v>2034</v>
      </c>
      <c r="C14" s="124">
        <f>(('INCRM FIXED TRANSPORT'!$B16+'VARIABLE TRANSPORT'!$B16+'FIXED STORAGE'!$B16+'VARIABLE STORAGE'!$B16+'COMMODITY COST'!B15+'CARBON TAX'!$B17+('DISTRIBUTION SYSTEM'!B16*((1+$S$6)^($B14-$A$2)))+'RISK PREMIUM'!$B17)*'ENVIRONMENTAL ADDER'!$B16)/10</f>
        <v>3.0730390028968975</v>
      </c>
      <c r="D14" s="124">
        <f>(('INCRM FIXED TRANSPORT'!$B16+'VARIABLE TRANSPORT'!$B16+'FIXED STORAGE'!$B16+'VARIABLE STORAGE'!$B16+'COMMODITY COST'!C15+'CARBON TAX'!$B17+('DISTRIBUTION SYSTEM'!C16*((1+$S$6)^($B14-$A$2)))+'RISK PREMIUM'!$B17)*'ENVIRONMENTAL ADDER'!$B16)/10</f>
        <v>1.3271240710879093</v>
      </c>
      <c r="E14" s="124">
        <f>(('INCRM FIXED TRANSPORT'!$B16+'VARIABLE TRANSPORT'!$B16+'FIXED STORAGE'!$B16+'VARIABLE STORAGE'!$B16+'COMMODITY COST'!D15+'CARBON TAX'!$B17+('DISTRIBUTION SYSTEM'!D16*((1+$S$6)^($B14-$A$2)))+'RISK PREMIUM'!$B17)*'ENVIRONMENTAL ADDER'!$B16)/10</f>
        <v>1.1140880376910207</v>
      </c>
      <c r="F14" s="124">
        <f>(('INCRM FIXED TRANSPORT'!$B16+'VARIABLE TRANSPORT'!$B16+'FIXED STORAGE'!$B16+'VARIABLE STORAGE'!$B16+'COMMODITY COST'!E15+'CARBON TAX'!$B17+('DISTRIBUTION SYSTEM'!E16*((1+$S$6)^($B14-$A$2)))+'RISK PREMIUM'!$B17)*'ENVIRONMENTAL ADDER'!$B16)/10</f>
        <v>1.0630688517880906</v>
      </c>
      <c r="G14" s="124">
        <f>(('INCRM FIXED TRANSPORT'!$B16+'VARIABLE TRANSPORT'!$B16+'FIXED STORAGE'!$B16+'VARIABLE STORAGE'!$B16+'COMMODITY COST'!F15+'CARBON TAX'!$B17+('DISTRIBUTION SYSTEM'!F16*((1+$S$6)^($B14-$A$2)))+'RISK PREMIUM'!$B17)*'ENVIRONMENTAL ADDER'!$B16)/10</f>
        <v>1.0630688517880906</v>
      </c>
      <c r="H14" s="124">
        <f>(('INCRM FIXED TRANSPORT'!$B16+'VARIABLE TRANSPORT'!$B16+'FIXED STORAGE'!$B16+'VARIABLE STORAGE'!$B16+'COMMODITY COST'!G15+'CARBON TAX'!$B17+('DISTRIBUTION SYSTEM'!G16*((1+$S$6)^($B14-$A$2)))+'RISK PREMIUM'!$B17)*'ENVIRONMENTAL ADDER'!$B16)/10</f>
        <v>1.1607477003466722</v>
      </c>
      <c r="I14" s="124">
        <f>(('INCRM FIXED TRANSPORT'!$B16+'VARIABLE TRANSPORT'!$B16+'FIXED STORAGE'!$B16+'VARIABLE STORAGE'!$B16+'COMMODITY COST'!H15+'CARBON TAX'!$B17+('DISTRIBUTION SYSTEM'!H16*((1+$S$6)^($B14-$A$2)))+'RISK PREMIUM'!$B17)*'ENVIRONMENTAL ADDER'!$B16)/10</f>
        <v>1.1134877553837781</v>
      </c>
      <c r="K14" s="123">
        <f t="shared" si="7"/>
        <v>2034</v>
      </c>
      <c r="L14" s="124">
        <f t="shared" si="0"/>
        <v>1.785487076998473</v>
      </c>
      <c r="M14" s="124">
        <f t="shared" si="1"/>
        <v>0.7710812899762487</v>
      </c>
      <c r="N14" s="124">
        <f t="shared" si="2"/>
        <v>0.64730379017667283</v>
      </c>
      <c r="O14" s="124">
        <f t="shared" si="3"/>
        <v>0.61766078954349124</v>
      </c>
      <c r="P14" s="124">
        <f t="shared" si="4"/>
        <v>0.61766078954349124</v>
      </c>
      <c r="Q14" s="124">
        <f t="shared" si="5"/>
        <v>0.674413834862158</v>
      </c>
      <c r="R14" s="124">
        <f t="shared" si="6"/>
        <v>0.64695501611258766</v>
      </c>
      <c r="T14" s="90"/>
    </row>
    <row r="15" spans="1:23" x14ac:dyDescent="0.25">
      <c r="B15" s="123">
        <f t="shared" si="8"/>
        <v>2035</v>
      </c>
      <c r="C15" s="124">
        <f>(('INCRM FIXED TRANSPORT'!$B17+'VARIABLE TRANSPORT'!$B17+'FIXED STORAGE'!$B17+'VARIABLE STORAGE'!$B17+'COMMODITY COST'!B16+'CARBON TAX'!$B18+('DISTRIBUTION SYSTEM'!B17*((1+$S$6)^($B15-$A$2)))+'RISK PREMIUM'!$B18)*'ENVIRONMENTAL ADDER'!$B17)/10</f>
        <v>2.9022077873538725</v>
      </c>
      <c r="D15" s="124">
        <f>(('INCRM FIXED TRANSPORT'!$B17+'VARIABLE TRANSPORT'!$B17+'FIXED STORAGE'!$B17+'VARIABLE STORAGE'!$B17+'COMMODITY COST'!C16+'CARBON TAX'!$B18+('DISTRIBUTION SYSTEM'!C17*((1+$S$6)^($B15-$A$2)))+'RISK PREMIUM'!$B18)*'ENVIRONMENTAL ADDER'!$B17)/10</f>
        <v>1.3223831701730417</v>
      </c>
      <c r="E15" s="124">
        <f>(('INCRM FIXED TRANSPORT'!$B17+'VARIABLE TRANSPORT'!$B17+'FIXED STORAGE'!$B17+'VARIABLE STORAGE'!$B17+'COMMODITY COST'!D16+'CARBON TAX'!$B18+('DISTRIBUTION SYSTEM'!D17*((1+$S$6)^($B15-$A$2)))+'RISK PREMIUM'!$B18)*'ENVIRONMENTAL ADDER'!$B17)/10</f>
        <v>1.1414580396232812</v>
      </c>
      <c r="F15" s="124">
        <f>(('INCRM FIXED TRANSPORT'!$B17+'VARIABLE TRANSPORT'!$B17+'FIXED STORAGE'!$B17+'VARIABLE STORAGE'!$B17+'COMMODITY COST'!E16+'CARBON TAX'!$B18+('DISTRIBUTION SYSTEM'!E17*((1+$S$6)^($B15-$A$2)))+'RISK PREMIUM'!$B18)*'ENVIRONMENTAL ADDER'!$B17)/10</f>
        <v>1.0727171246131626</v>
      </c>
      <c r="G15" s="124">
        <f>(('INCRM FIXED TRANSPORT'!$B17+'VARIABLE TRANSPORT'!$B17+'FIXED STORAGE'!$B17+'VARIABLE STORAGE'!$B17+'COMMODITY COST'!F16+'CARBON TAX'!$B18+('DISTRIBUTION SYSTEM'!F17*((1+$S$6)^($B15-$A$2)))+'RISK PREMIUM'!$B18)*'ENVIRONMENTAL ADDER'!$B17)/10</f>
        <v>1.0727171246131626</v>
      </c>
      <c r="H15" s="124">
        <f>(('INCRM FIXED TRANSPORT'!$B17+'VARIABLE TRANSPORT'!$B17+'FIXED STORAGE'!$B17+'VARIABLE STORAGE'!$B17+'COMMODITY COST'!G16+'CARBON TAX'!$B18+('DISTRIBUTION SYSTEM'!G17*((1+$S$6)^($B15-$A$2)))+'RISK PREMIUM'!$B18)*'ENVIRONMENTAL ADDER'!$B17)/10</f>
        <v>1.1787431769770484</v>
      </c>
      <c r="I15" s="124">
        <f>(('INCRM FIXED TRANSPORT'!$B17+'VARIABLE TRANSPORT'!$B17+'FIXED STORAGE'!$B17+'VARIABLE STORAGE'!$B17+'COMMODITY COST'!H16+'CARBON TAX'!$B18+('DISTRIBUTION SYSTEM'!H17*((1+$S$6)^($B15-$A$2)))+'RISK PREMIUM'!$B18)*'ENVIRONMENTAL ADDER'!$B17)/10</f>
        <v>1.1270008398137472</v>
      </c>
      <c r="K15" s="123">
        <f t="shared" si="7"/>
        <v>2035</v>
      </c>
      <c r="L15" s="124">
        <f t="shared" si="0"/>
        <v>1.605017401978537</v>
      </c>
      <c r="M15" s="124">
        <f t="shared" si="1"/>
        <v>0.73132186105339059</v>
      </c>
      <c r="N15" s="124">
        <f t="shared" si="2"/>
        <v>0.63126424827564753</v>
      </c>
      <c r="O15" s="124">
        <f t="shared" si="3"/>
        <v>0.59324823670682625</v>
      </c>
      <c r="P15" s="124">
        <f t="shared" si="4"/>
        <v>0.59324823670682625</v>
      </c>
      <c r="Q15" s="124">
        <f t="shared" si="5"/>
        <v>0.65188416892664935</v>
      </c>
      <c r="R15" s="124">
        <f t="shared" si="6"/>
        <v>0.62326893609321432</v>
      </c>
    </row>
    <row r="16" spans="1:23" x14ac:dyDescent="0.25">
      <c r="B16" s="123">
        <f t="shared" si="8"/>
        <v>2036</v>
      </c>
      <c r="C16" s="124">
        <f>(('INCRM FIXED TRANSPORT'!$B18+'VARIABLE TRANSPORT'!$B18+'FIXED STORAGE'!$B18+'VARIABLE STORAGE'!$B18+'COMMODITY COST'!B17+'CARBON TAX'!$B19+('DISTRIBUTION SYSTEM'!B18*((1+$S$6)^($B16-$A$2)))+'RISK PREMIUM'!$B19)*'ENVIRONMENTAL ADDER'!$B18)/10</f>
        <v>0.99308703499869055</v>
      </c>
      <c r="D16" s="124">
        <f>(('INCRM FIXED TRANSPORT'!$B18+'VARIABLE TRANSPORT'!$B18+'FIXED STORAGE'!$B18+'VARIABLE STORAGE'!$B18+'COMMODITY COST'!C17+'CARBON TAX'!$B19+('DISTRIBUTION SYSTEM'!C18*((1+$S$6)^($B16-$A$2)))+'RISK PREMIUM'!$B19)*'ENVIRONMENTAL ADDER'!$B18)/10</f>
        <v>1.9309784028554795</v>
      </c>
      <c r="E16" s="124">
        <f>(('INCRM FIXED TRANSPORT'!$B18+'VARIABLE TRANSPORT'!$B18+'FIXED STORAGE'!$B18+'VARIABLE STORAGE'!$B18+'COMMODITY COST'!D17+'CARBON TAX'!$B19+('DISTRIBUTION SYSTEM'!D18*((1+$S$6)^($B16-$A$2)))+'RISK PREMIUM'!$B19)*'ENVIRONMENTAL ADDER'!$B18)/10</f>
        <v>1.3396557229792998</v>
      </c>
      <c r="F16" s="124">
        <f>(('INCRM FIXED TRANSPORT'!$B18+'VARIABLE TRANSPORT'!$B18+'FIXED STORAGE'!$B18+'VARIABLE STORAGE'!$B18+'COMMODITY COST'!E17+'CARBON TAX'!$B19+('DISTRIBUTION SYSTEM'!E18*((1+$S$6)^($B16-$A$2)))+'RISK PREMIUM'!$B19)*'ENVIRONMENTAL ADDER'!$B18)/10</f>
        <v>1.1184146573583107</v>
      </c>
      <c r="G16" s="124">
        <f>(('INCRM FIXED TRANSPORT'!$B18+'VARIABLE TRANSPORT'!$B18+'FIXED STORAGE'!$B18+'VARIABLE STORAGE'!$B18+'COMMODITY COST'!F17+'CARBON TAX'!$B19+('DISTRIBUTION SYSTEM'!F18*((1+$S$6)^($B16-$A$2)))+'RISK PREMIUM'!$B19)*'ENVIRONMENTAL ADDER'!$B18)/10</f>
        <v>1.1184146573583107</v>
      </c>
      <c r="H16" s="124">
        <f>(('INCRM FIXED TRANSPORT'!$B18+'VARIABLE TRANSPORT'!$B18+'FIXED STORAGE'!$B18+'VARIABLE STORAGE'!$B18+'COMMODITY COST'!G17+'CARBON TAX'!$B19+('DISTRIBUTION SYSTEM'!G18*((1+$S$6)^($B16-$A$2)))+'RISK PREMIUM'!$B19)*'ENVIRONMENTAL ADDER'!$B18)/10</f>
        <v>1.5765920771721413</v>
      </c>
      <c r="I16" s="124">
        <f>(('INCRM FIXED TRANSPORT'!$B18+'VARIABLE TRANSPORT'!$B18+'FIXED STORAGE'!$B18+'VARIABLE STORAGE'!$B18+'COMMODITY COST'!H17+'CARBON TAX'!$B19+('DISTRIBUTION SYSTEM'!H18*((1+$S$6)^($B16-$A$2)))+'RISK PREMIUM'!$B19)*'ENVIRONMENTAL ADDER'!$B18)/10</f>
        <v>1.3500173782144844</v>
      </c>
      <c r="K16" s="123">
        <f t="shared" si="7"/>
        <v>2036</v>
      </c>
      <c r="L16" s="124">
        <f t="shared" si="0"/>
        <v>0.52275856608355875</v>
      </c>
      <c r="M16" s="124">
        <f t="shared" si="1"/>
        <v>1.0164622691065359</v>
      </c>
      <c r="N16" s="124">
        <f t="shared" si="2"/>
        <v>0.70519146873286431</v>
      </c>
      <c r="O16" s="124">
        <f t="shared" si="3"/>
        <v>0.58873071741213101</v>
      </c>
      <c r="P16" s="124">
        <f t="shared" si="4"/>
        <v>0.58873071741213101</v>
      </c>
      <c r="Q16" s="124">
        <f t="shared" si="5"/>
        <v>0.8299141812502816</v>
      </c>
      <c r="R16" s="124">
        <f t="shared" si="6"/>
        <v>0.71064581849487118</v>
      </c>
    </row>
    <row r="17" spans="2:18" x14ac:dyDescent="0.25">
      <c r="B17" s="123">
        <f t="shared" si="8"/>
        <v>2037</v>
      </c>
      <c r="C17" s="124">
        <f>(('INCRM FIXED TRANSPORT'!$B19+'VARIABLE TRANSPORT'!$B19+'FIXED STORAGE'!$B19+'VARIABLE STORAGE'!$B19+'COMMODITY COST'!B18+'CARBON TAX'!$B20+('DISTRIBUTION SYSTEM'!B19*((1+$S$6)^($B17-$A$2)))+'RISK PREMIUM'!$B20)*'ENVIRONMENTAL ADDER'!$B19)/10</f>
        <v>1.8594693889460499</v>
      </c>
      <c r="D17" s="124">
        <f>(('INCRM FIXED TRANSPORT'!$B19+'VARIABLE TRANSPORT'!$B19+'FIXED STORAGE'!$B19+'VARIABLE STORAGE'!$B19+'COMMODITY COST'!C18+'CARBON TAX'!$B20+('DISTRIBUTION SYSTEM'!C19*((1+$S$6)^($B17-$A$2)))+'RISK PREMIUM'!$B20)*'ENVIRONMENTAL ADDER'!$B19)/10</f>
        <v>1.2295797949045753</v>
      </c>
      <c r="E17" s="124">
        <f>(('INCRM FIXED TRANSPORT'!$B19+'VARIABLE TRANSPORT'!$B19+'FIXED STORAGE'!$B19+'VARIABLE STORAGE'!$B19+'COMMODITY COST'!D18+'CARBON TAX'!$B20+('DISTRIBUTION SYSTEM'!D19*((1+$S$6)^($B17-$A$2)))+'RISK PREMIUM'!$B20)*'ENVIRONMENTAL ADDER'!$B19)/10</f>
        <v>1.1260140155982834</v>
      </c>
      <c r="F17" s="124">
        <f>(('INCRM FIXED TRANSPORT'!$B19+'VARIABLE TRANSPORT'!$B19+'FIXED STORAGE'!$B19+'VARIABLE STORAGE'!$B19+'COMMODITY COST'!E18+'CARBON TAX'!$B20+('DISTRIBUTION SYSTEM'!E19*((1+$S$6)^($B17-$A$2)))+'RISK PREMIUM'!$B20)*'ENVIRONMENTAL ADDER'!$B19)/10</f>
        <v>1.1679173226837469</v>
      </c>
      <c r="G17" s="124">
        <f>(('INCRM FIXED TRANSPORT'!$B19+'VARIABLE TRANSPORT'!$B19+'FIXED STORAGE'!$B19+'VARIABLE STORAGE'!$B19+'COMMODITY COST'!F18+'CARBON TAX'!$B20+('DISTRIBUTION SYSTEM'!F19*((1+$S$6)^($B17-$A$2)))+'RISK PREMIUM'!$B20)*'ENVIRONMENTAL ADDER'!$B19)/10</f>
        <v>1.1679173226837469</v>
      </c>
      <c r="H17" s="124">
        <f>(('INCRM FIXED TRANSPORT'!$B19+'VARIABLE TRANSPORT'!$B19+'FIXED STORAGE'!$B19+'VARIABLE STORAGE'!$B19+'COMMODITY COST'!G18+'CARBON TAX'!$B20+('DISTRIBUTION SYSTEM'!G19*((1+$S$6)^($B17-$A$2)))+'RISK PREMIUM'!$B20)*'ENVIRONMENTAL ADDER'!$B19)/10</f>
        <v>1.1304393805194215</v>
      </c>
      <c r="I17" s="124">
        <f>(('INCRM FIXED TRANSPORT'!$B19+'VARIABLE TRANSPORT'!$B19+'FIXED STORAGE'!$B19+'VARIABLE STORAGE'!$B19+'COMMODITY COST'!H18+'CARBON TAX'!$B20+('DISTRIBUTION SYSTEM'!H19*((1+$S$6)^($B17-$A$2)))+'RISK PREMIUM'!$B20)*'ENVIRONMENTAL ADDER'!$B19)/10</f>
        <v>1.1487302419635435</v>
      </c>
      <c r="K17" s="123">
        <f t="shared" si="7"/>
        <v>2037</v>
      </c>
      <c r="L17" s="124">
        <f t="shared" si="0"/>
        <v>0.93167723257121138</v>
      </c>
      <c r="M17" s="124">
        <f t="shared" si="1"/>
        <v>0.61607440668409397</v>
      </c>
      <c r="N17" s="124">
        <f t="shared" si="2"/>
        <v>0.56418332462231424</v>
      </c>
      <c r="O17" s="124">
        <f t="shared" si="3"/>
        <v>0.58517875343283876</v>
      </c>
      <c r="P17" s="124">
        <f t="shared" si="4"/>
        <v>0.58517875343283876</v>
      </c>
      <c r="Q17" s="124">
        <f t="shared" si="5"/>
        <v>0.56640063014363862</v>
      </c>
      <c r="R17" s="124">
        <f t="shared" si="6"/>
        <v>0.57556516884102582</v>
      </c>
    </row>
    <row r="18" spans="2:18" x14ac:dyDescent="0.25">
      <c r="B18" s="123">
        <f t="shared" si="8"/>
        <v>2038</v>
      </c>
      <c r="C18" s="124">
        <f>(('INCRM FIXED TRANSPORT'!$B20+'VARIABLE TRANSPORT'!$B20+'FIXED STORAGE'!$B20+'VARIABLE STORAGE'!$B20+'COMMODITY COST'!B19+'CARBON TAX'!$B21+('DISTRIBUTION SYSTEM'!B20*((1+$S$6)^($B18-$A$2)))+'RISK PREMIUM'!$B21)*'ENVIRONMENTAL ADDER'!$B20)/10</f>
        <v>3.3428753325020155</v>
      </c>
      <c r="D18" s="124">
        <f>(('INCRM FIXED TRANSPORT'!$B20+'VARIABLE TRANSPORT'!$B20+'FIXED STORAGE'!$B20+'VARIABLE STORAGE'!$B20+'COMMODITY COST'!C19+'CARBON TAX'!$B21+('DISTRIBUTION SYSTEM'!C20*((1+$S$6)^($B18-$A$2)))+'RISK PREMIUM'!$B21)*'ENVIRONMENTAL ADDER'!$B20)/10</f>
        <v>1.4130838912116119</v>
      </c>
      <c r="E18" s="124">
        <f>(('INCRM FIXED TRANSPORT'!$B20+'VARIABLE TRANSPORT'!$B20+'FIXED STORAGE'!$B20+'VARIABLE STORAGE'!$B20+'COMMODITY COST'!D19+'CARBON TAX'!$B21+('DISTRIBUTION SYSTEM'!D20*((1+$S$6)^($B18-$A$2)))+'RISK PREMIUM'!$B21)*'ENVIRONMENTAL ADDER'!$B20)/10</f>
        <v>1.2080777710065997</v>
      </c>
      <c r="F18" s="124">
        <f>(('INCRM FIXED TRANSPORT'!$B20+'VARIABLE TRANSPORT'!$B20+'FIXED STORAGE'!$B20+'VARIABLE STORAGE'!$B20+'COMMODITY COST'!E19+'CARBON TAX'!$B21+('DISTRIBUTION SYSTEM'!E20*((1+$S$6)^($B18-$A$2)))+'RISK PREMIUM'!$B21)*'ENVIRONMENTAL ADDER'!$B20)/10</f>
        <v>1.1212427939310092</v>
      </c>
      <c r="G18" s="124">
        <f>(('INCRM FIXED TRANSPORT'!$B20+'VARIABLE TRANSPORT'!$B20+'FIXED STORAGE'!$B20+'VARIABLE STORAGE'!$B20+'COMMODITY COST'!F19+'CARBON TAX'!$B21+('DISTRIBUTION SYSTEM'!F20*((1+$S$6)^($B18-$A$2)))+'RISK PREMIUM'!$B21)*'ENVIRONMENTAL ADDER'!$B20)/10</f>
        <v>1.1212427939310092</v>
      </c>
      <c r="H18" s="124">
        <f>(('INCRM FIXED TRANSPORT'!$B20+'VARIABLE TRANSPORT'!$B20+'FIXED STORAGE'!$B20+'VARIABLE STORAGE'!$B20+'COMMODITY COST'!G19+'CARBON TAX'!$B21+('DISTRIBUTION SYSTEM'!G20*((1+$S$6)^($B18-$A$2)))+'RISK PREMIUM'!$B21)*'ENVIRONMENTAL ADDER'!$B20)/10</f>
        <v>1.2529780402760189</v>
      </c>
      <c r="I18" s="124">
        <f>(('INCRM FIXED TRANSPORT'!$B20+'VARIABLE TRANSPORT'!$B20+'FIXED STORAGE'!$B20+'VARIABLE STORAGE'!$B20+'COMMODITY COST'!H19+'CARBON TAX'!$B21+('DISTRIBUTION SYSTEM'!H20*((1+$S$6)^($B18-$A$2)))+'RISK PREMIUM'!$B21)*'ENVIRONMENTAL ADDER'!$B20)/10</f>
        <v>1.1874314693495414</v>
      </c>
      <c r="K18" s="123">
        <f t="shared" si="7"/>
        <v>2038</v>
      </c>
      <c r="L18" s="124">
        <f t="shared" si="0"/>
        <v>1.5942603074353983</v>
      </c>
      <c r="M18" s="124">
        <f t="shared" si="1"/>
        <v>0.67391791040824733</v>
      </c>
      <c r="N18" s="124">
        <f t="shared" si="2"/>
        <v>0.57614785088898945</v>
      </c>
      <c r="O18" s="124">
        <f t="shared" si="3"/>
        <v>0.53473513175385456</v>
      </c>
      <c r="P18" s="124">
        <f t="shared" si="4"/>
        <v>0.53473513175385456</v>
      </c>
      <c r="Q18" s="124">
        <f t="shared" si="5"/>
        <v>0.59756136768796009</v>
      </c>
      <c r="R18" s="124">
        <f t="shared" si="6"/>
        <v>0.56630136367268347</v>
      </c>
    </row>
    <row r="19" spans="2:18" x14ac:dyDescent="0.25">
      <c r="B19" s="123">
        <f t="shared" si="8"/>
        <v>2039</v>
      </c>
      <c r="C19" s="124">
        <f>(('INCRM FIXED TRANSPORT'!$B21+'VARIABLE TRANSPORT'!$B21+'FIXED STORAGE'!$B21+'VARIABLE STORAGE'!$B21+'COMMODITY COST'!B20+'CARBON TAX'!$B22+('DISTRIBUTION SYSTEM'!B21*((1+$S$6)^($B19-$A$2)))+'RISK PREMIUM'!$B22)*'ENVIRONMENTAL ADDER'!$B21)/10</f>
        <v>3.304125687472363</v>
      </c>
      <c r="D19" s="124">
        <f>(('INCRM FIXED TRANSPORT'!$B21+'VARIABLE TRANSPORT'!$B21+'FIXED STORAGE'!$B21+'VARIABLE STORAGE'!$B21+'COMMODITY COST'!C20+'CARBON TAX'!$B22+('DISTRIBUTION SYSTEM'!C21*((1+$S$6)^($B19-$A$2)))+'RISK PREMIUM'!$B22)*'ENVIRONMENTAL ADDER'!$B21)/10</f>
        <v>1.4133331302491974</v>
      </c>
      <c r="E19" s="124">
        <f>(('INCRM FIXED TRANSPORT'!$B21+'VARIABLE TRANSPORT'!$B21+'FIXED STORAGE'!$B21+'VARIABLE STORAGE'!$B21+'COMMODITY COST'!D20+'CARBON TAX'!$B22+('DISTRIBUTION SYSTEM'!D21*((1+$S$6)^($B19-$A$2)))+'RISK PREMIUM'!$B22)*'ENVIRONMENTAL ADDER'!$B21)/10</f>
        <v>1.2115814467660353</v>
      </c>
      <c r="F19" s="124">
        <f>(('INCRM FIXED TRANSPORT'!$B21+'VARIABLE TRANSPORT'!$B21+'FIXED STORAGE'!$B21+'VARIABLE STORAGE'!$B21+'COMMODITY COST'!E20+'CARBON TAX'!$B22+('DISTRIBUTION SYSTEM'!E21*((1+$S$6)^($B19-$A$2)))+'RISK PREMIUM'!$B22)*'ENVIRONMENTAL ADDER'!$B21)/10</f>
        <v>1.1376783585523582</v>
      </c>
      <c r="G19" s="124">
        <f>(('INCRM FIXED TRANSPORT'!$B21+'VARIABLE TRANSPORT'!$B21+'FIXED STORAGE'!$B21+'VARIABLE STORAGE'!$B21+'COMMODITY COST'!F20+'CARBON TAX'!$B22+('DISTRIBUTION SYSTEM'!F21*((1+$S$6)^($B19-$A$2)))+'RISK PREMIUM'!$B22)*'ENVIRONMENTAL ADDER'!$B21)/10</f>
        <v>1.1376783585523582</v>
      </c>
      <c r="H19" s="124">
        <f>(('INCRM FIXED TRANSPORT'!$B21+'VARIABLE TRANSPORT'!$B21+'FIXED STORAGE'!$B21+'VARIABLE STORAGE'!$B21+'COMMODITY COST'!G20+'CARBON TAX'!$B22+('DISTRIBUTION SYSTEM'!G21*((1+$S$6)^($B19-$A$2)))+'RISK PREMIUM'!$B22)*'ENVIRONMENTAL ADDER'!$B21)/10</f>
        <v>1.2570479660457825</v>
      </c>
      <c r="I19" s="124">
        <f>(('INCRM FIXED TRANSPORT'!$B21+'VARIABLE TRANSPORT'!$B21+'FIXED STORAGE'!$B21+'VARIABLE STORAGE'!$B21+'COMMODITY COST'!H20+'CARBON TAX'!$B22+('DISTRIBUTION SYSTEM'!H21*((1+$S$6)^($B19-$A$2)))+'RISK PREMIUM'!$B22)*'ENVIRONMENTAL ADDER'!$B21)/10</f>
        <v>1.1978134313840811</v>
      </c>
      <c r="K19" s="123">
        <f t="shared" si="7"/>
        <v>2039</v>
      </c>
      <c r="L19" s="124">
        <f t="shared" si="0"/>
        <v>1.4998858771805186</v>
      </c>
      <c r="M19" s="124">
        <f t="shared" si="1"/>
        <v>0.64157317315424811</v>
      </c>
      <c r="N19" s="124">
        <f t="shared" si="2"/>
        <v>0.54998933846505393</v>
      </c>
      <c r="O19" s="124">
        <f t="shared" si="3"/>
        <v>0.51644152316492931</v>
      </c>
      <c r="P19" s="124">
        <f t="shared" si="4"/>
        <v>0.51644152316492931</v>
      </c>
      <c r="Q19" s="124">
        <f t="shared" si="5"/>
        <v>0.57062856245426519</v>
      </c>
      <c r="R19" s="124">
        <f t="shared" si="6"/>
        <v>0.54373943946560199</v>
      </c>
    </row>
    <row r="20" spans="2:18" x14ac:dyDescent="0.25">
      <c r="B20" s="123">
        <f t="shared" si="8"/>
        <v>2040</v>
      </c>
      <c r="C20" s="124">
        <f>(('INCRM FIXED TRANSPORT'!$B22+'VARIABLE TRANSPORT'!$B22+'FIXED STORAGE'!$B22+'VARIABLE STORAGE'!$B22+'COMMODITY COST'!B21+'CARBON TAX'!$B23+('DISTRIBUTION SYSTEM'!B22*((1+$S$6)^($B20-$A$2)))+'RISK PREMIUM'!$B23)*'ENVIRONMENTAL ADDER'!$B22)/10</f>
        <v>3.6616287559920395</v>
      </c>
      <c r="D20" s="124">
        <f>(('INCRM FIXED TRANSPORT'!$B22+'VARIABLE TRANSPORT'!$B22+'FIXED STORAGE'!$B22+'VARIABLE STORAGE'!$B22+'COMMODITY COST'!C21+'CARBON TAX'!$B23+('DISTRIBUTION SYSTEM'!C22*((1+$S$6)^($B20-$A$2)))+'RISK PREMIUM'!$B23)*'ENVIRONMENTAL ADDER'!$B22)/10</f>
        <v>1.3857891749909315</v>
      </c>
      <c r="E20" s="124">
        <f>(('INCRM FIXED TRANSPORT'!$B22+'VARIABLE TRANSPORT'!$B22+'FIXED STORAGE'!$B22+'VARIABLE STORAGE'!$B22+'COMMODITY COST'!D21+'CARBON TAX'!$B23+('DISTRIBUTION SYSTEM'!D22*((1+$S$6)^($B20-$A$2)))+'RISK PREMIUM'!$B23)*'ENVIRONMENTAL ADDER'!$B22)/10</f>
        <v>1.214188536504083</v>
      </c>
      <c r="F20" s="124">
        <f>(('INCRM FIXED TRANSPORT'!$B22+'VARIABLE TRANSPORT'!$B22+'FIXED STORAGE'!$B22+'VARIABLE STORAGE'!$B22+'COMMODITY COST'!E21+'CARBON TAX'!$B23+('DISTRIBUTION SYSTEM'!E22*((1+$S$6)^($B20-$A$2)))+'RISK PREMIUM'!$B23)*'ENVIRONMENTAL ADDER'!$B22)/10</f>
        <v>1.1258694090922876</v>
      </c>
      <c r="G20" s="124">
        <f>(('INCRM FIXED TRANSPORT'!$B22+'VARIABLE TRANSPORT'!$B22+'FIXED STORAGE'!$B22+'VARIABLE STORAGE'!$B22+'COMMODITY COST'!F21+'CARBON TAX'!$B23+('DISTRIBUTION SYSTEM'!F22*((1+$S$6)^($B20-$A$2)))+'RISK PREMIUM'!$B23)*'ENVIRONMENTAL ADDER'!$B22)/10</f>
        <v>1.1258694090922876</v>
      </c>
      <c r="H20" s="124">
        <f>(('INCRM FIXED TRANSPORT'!$B22+'VARIABLE TRANSPORT'!$B22+'FIXED STORAGE'!$B22+'VARIABLE STORAGE'!$B22+'COMMODITY COST'!G21+'CARBON TAX'!$B23+('DISTRIBUTION SYSTEM'!G22*((1+$S$6)^($B20-$A$2)))+'RISK PREMIUM'!$B23)*'ENVIRONMENTAL ADDER'!$B22)/10</f>
        <v>1.2624215206043277</v>
      </c>
      <c r="I20" s="124">
        <f>(('INCRM FIXED TRANSPORT'!$B22+'VARIABLE TRANSPORT'!$B22+'FIXED STORAGE'!$B22+'VARIABLE STORAGE'!$B22+'COMMODITY COST'!H21+'CARBON TAX'!$B23+('DISTRIBUTION SYSTEM'!H22*((1+$S$6)^($B20-$A$2)))+'RISK PREMIUM'!$B23)*'ENVIRONMENTAL ADDER'!$B22)/10</f>
        <v>1.1948341021314501</v>
      </c>
      <c r="K20" s="123">
        <f t="shared" si="7"/>
        <v>2040</v>
      </c>
      <c r="L20" s="124">
        <f t="shared" si="0"/>
        <v>1.5821169018346812</v>
      </c>
      <c r="M20" s="124">
        <f t="shared" si="1"/>
        <v>0.59877191879292146</v>
      </c>
      <c r="N20" s="124">
        <f t="shared" si="2"/>
        <v>0.52462669856233834</v>
      </c>
      <c r="O20" s="124">
        <f t="shared" si="3"/>
        <v>0.48646576157361976</v>
      </c>
      <c r="P20" s="124">
        <f t="shared" si="4"/>
        <v>0.48646576157361976</v>
      </c>
      <c r="Q20" s="124">
        <f t="shared" si="5"/>
        <v>0.54546721092887562</v>
      </c>
      <c r="R20" s="124">
        <f t="shared" si="6"/>
        <v>0.51626403271417365</v>
      </c>
    </row>
    <row r="21" spans="2:18" x14ac:dyDescent="0.25">
      <c r="B21" s="123">
        <f t="shared" si="8"/>
        <v>2041</v>
      </c>
      <c r="C21" s="124">
        <f>(('INCRM FIXED TRANSPORT'!$B23+'VARIABLE TRANSPORT'!$B23+'FIXED STORAGE'!$B23+'VARIABLE STORAGE'!$B23+'COMMODITY COST'!B22+'CARBON TAX'!$B24+('DISTRIBUTION SYSTEM'!B23*((1+$S$6)^($B21-$A$2)))+'RISK PREMIUM'!$B24)*'ENVIRONMENTAL ADDER'!$B23)/10</f>
        <v>1.0643219220753151</v>
      </c>
      <c r="D21" s="124">
        <f>(('INCRM FIXED TRANSPORT'!$B23+'VARIABLE TRANSPORT'!$B23+'FIXED STORAGE'!$B23+'VARIABLE STORAGE'!$B23+'COMMODITY COST'!C22+'CARBON TAX'!$B24+('DISTRIBUTION SYSTEM'!C23*((1+$S$6)^($B21-$A$2)))+'RISK PREMIUM'!$B24)*'ENVIRONMENTAL ADDER'!$B23)/10</f>
        <v>1.0721573428393911</v>
      </c>
      <c r="E21" s="124">
        <f>(('INCRM FIXED TRANSPORT'!$B23+'VARIABLE TRANSPORT'!$B23+'FIXED STORAGE'!$B23+'VARIABLE STORAGE'!$B23+'COMMODITY COST'!D22+'CARBON TAX'!$B24+('DISTRIBUTION SYSTEM'!D23*((1+$S$6)^($B21-$A$2)))+'RISK PREMIUM'!$B24)*'ENVIRONMENTAL ADDER'!$B23)/10</f>
        <v>5.9976834671318198</v>
      </c>
      <c r="F21" s="124">
        <f>(('INCRM FIXED TRANSPORT'!$B23+'VARIABLE TRANSPORT'!$B23+'FIXED STORAGE'!$B23+'VARIABLE STORAGE'!$B23+'COMMODITY COST'!E22+'CARBON TAX'!$B24+('DISTRIBUTION SYSTEM'!E23*((1+$S$6)^($B21-$A$2)))+'RISK PREMIUM'!$B24)*'ENVIRONMENTAL ADDER'!$B23)/10</f>
        <v>1.1626657127038122</v>
      </c>
      <c r="G21" s="124">
        <f>(('INCRM FIXED TRANSPORT'!$B23+'VARIABLE TRANSPORT'!$B23+'FIXED STORAGE'!$B23+'VARIABLE STORAGE'!$B23+'COMMODITY COST'!F22+'CARBON TAX'!$B24+('DISTRIBUTION SYSTEM'!F23*((1+$S$6)^($B21-$A$2)))+'RISK PREMIUM'!$B24)*'ENVIRONMENTAL ADDER'!$B23)/10</f>
        <v>1.1626657127038122</v>
      </c>
      <c r="H21" s="124">
        <f>(('INCRM FIXED TRANSPORT'!$B23+'VARIABLE TRANSPORT'!$B23+'FIXED STORAGE'!$B23+'VARIABLE STORAGE'!$B23+'COMMODITY COST'!G22+'CARBON TAX'!$B24+('DISTRIBUTION SYSTEM'!G23*((1+$S$6)^($B21-$A$2)))+'RISK PREMIUM'!$B24)*'ENVIRONMENTAL ADDER'!$B23)/10</f>
        <v>11.790410268301173</v>
      </c>
      <c r="I21" s="124">
        <f>(('INCRM FIXED TRANSPORT'!$B23+'VARIABLE TRANSPORT'!$B23+'FIXED STORAGE'!$B23+'VARIABLE STORAGE'!$B23+'COMMODITY COST'!H22+'CARBON TAX'!$B24+('DISTRIBUTION SYSTEM'!H23*((1+$S$6)^($B21-$A$2)))+'RISK PREMIUM'!$B24)*'ENVIRONMENTAL ADDER'!$B23)/10</f>
        <v>6.5269008297486959</v>
      </c>
      <c r="K21" s="123">
        <f t="shared" si="7"/>
        <v>2041</v>
      </c>
      <c r="L21" s="124">
        <f t="shared" si="0"/>
        <v>0.43772350801254351</v>
      </c>
      <c r="M21" s="124">
        <f t="shared" si="1"/>
        <v>0.44094598026691373</v>
      </c>
      <c r="N21" s="124">
        <f t="shared" si="2"/>
        <v>2.4666663278556409</v>
      </c>
      <c r="O21" s="124">
        <f t="shared" si="3"/>
        <v>0.47816934317980103</v>
      </c>
      <c r="P21" s="124">
        <f t="shared" si="4"/>
        <v>0.47816934317980103</v>
      </c>
      <c r="Q21" s="124">
        <f t="shared" si="5"/>
        <v>4.849040160222029</v>
      </c>
      <c r="R21" s="124">
        <f t="shared" si="6"/>
        <v>2.6843174686064679</v>
      </c>
    </row>
    <row r="22" spans="2:18" x14ac:dyDescent="0.25">
      <c r="B22" s="123">
        <f t="shared" si="8"/>
        <v>2042</v>
      </c>
      <c r="C22" s="124">
        <f>(('INCRM FIXED TRANSPORT'!$B24+'VARIABLE TRANSPORT'!$B24+'FIXED STORAGE'!$B24+'VARIABLE STORAGE'!$B24+'COMMODITY COST'!B23+'CARBON TAX'!$B25+('DISTRIBUTION SYSTEM'!B24*((1+$S$6)^($B22-$A$2)))+'RISK PREMIUM'!$B25)*'ENVIRONMENTAL ADDER'!$B24)/10</f>
        <v>4.0161118506109883</v>
      </c>
      <c r="D22" s="124">
        <f>(('INCRM FIXED TRANSPORT'!$B24+'VARIABLE TRANSPORT'!$B24+'FIXED STORAGE'!$B24+'VARIABLE STORAGE'!$B24+'COMMODITY COST'!C23+'CARBON TAX'!$B25+('DISTRIBUTION SYSTEM'!C24*((1+$S$6)^($B22-$A$2)))+'RISK PREMIUM'!$B25)*'ENVIRONMENTAL ADDER'!$B24)/10</f>
        <v>1.5285607360199149</v>
      </c>
      <c r="E22" s="124">
        <f>(('INCRM FIXED TRANSPORT'!$B24+'VARIABLE TRANSPORT'!$B24+'FIXED STORAGE'!$B24+'VARIABLE STORAGE'!$B24+'COMMODITY COST'!D23+'CARBON TAX'!$B25+('DISTRIBUTION SYSTEM'!D24*((1+$S$6)^($B22-$A$2)))+'RISK PREMIUM'!$B25)*'ENVIRONMENTAL ADDER'!$B24)/10</f>
        <v>1.2909087923105307</v>
      </c>
      <c r="F22" s="124">
        <f>(('INCRM FIXED TRANSPORT'!$B24+'VARIABLE TRANSPORT'!$B24+'FIXED STORAGE'!$B24+'VARIABLE STORAGE'!$B24+'COMMODITY COST'!E23+'CARBON TAX'!$B25+('DISTRIBUTION SYSTEM'!E24*((1+$S$6)^($B22-$A$2)))+'RISK PREMIUM'!$B25)*'ENVIRONMENTAL ADDER'!$B24)/10</f>
        <v>1.2228726404441017</v>
      </c>
      <c r="G22" s="124">
        <f>(('INCRM FIXED TRANSPORT'!$B24+'VARIABLE TRANSPORT'!$B24+'FIXED STORAGE'!$B24+'VARIABLE STORAGE'!$B24+'COMMODITY COST'!F23+'CARBON TAX'!$B25+('DISTRIBUTION SYSTEM'!F24*((1+$S$6)^($B22-$A$2)))+'RISK PREMIUM'!$B25)*'ENVIRONMENTAL ADDER'!$B24)/10</f>
        <v>1.2228726404441017</v>
      </c>
      <c r="H22" s="124">
        <f>(('INCRM FIXED TRANSPORT'!$B24+'VARIABLE TRANSPORT'!$B24+'FIXED STORAGE'!$B24+'VARIABLE STORAGE'!$B24+'COMMODITY COST'!G23+'CARBON TAX'!$B25+('DISTRIBUTION SYSTEM'!G24*((1+$S$6)^($B22-$A$2)))+'RISK PREMIUM'!$B25)*'ENVIRONMENTAL ADDER'!$B24)/10</f>
        <v>1.3516965052603898</v>
      </c>
      <c r="I22" s="124">
        <f>(('INCRM FIXED TRANSPORT'!$B24+'VARIABLE TRANSPORT'!$B24+'FIXED STORAGE'!$B24+'VARIABLE STORAGE'!$B24+'COMMODITY COST'!H23+'CARBON TAX'!$B25+('DISTRIBUTION SYSTEM'!H24*((1+$S$6)^($B22-$A$2)))+'RISK PREMIUM'!$B25)*'ENVIRONMENTAL ADDER'!$B24)/10</f>
        <v>1.2887107305209502</v>
      </c>
      <c r="K22" s="123">
        <f t="shared" si="7"/>
        <v>2042</v>
      </c>
      <c r="L22" s="124">
        <f t="shared" si="0"/>
        <v>1.5721546578635441</v>
      </c>
      <c r="M22" s="124">
        <f t="shared" si="1"/>
        <v>0.59837324515636625</v>
      </c>
      <c r="N22" s="124">
        <f t="shared" si="2"/>
        <v>0.5053415707033273</v>
      </c>
      <c r="O22" s="124">
        <f t="shared" si="3"/>
        <v>0.478708011420449</v>
      </c>
      <c r="P22" s="124">
        <f t="shared" si="4"/>
        <v>0.478708011420449</v>
      </c>
      <c r="Q22" s="124">
        <f t="shared" si="5"/>
        <v>0.52913764252848172</v>
      </c>
      <c r="R22" s="124">
        <f t="shared" si="6"/>
        <v>0.50448111332332801</v>
      </c>
    </row>
    <row r="23" spans="2:18" x14ac:dyDescent="0.25">
      <c r="B23" s="123">
        <f t="shared" si="8"/>
        <v>2043</v>
      </c>
      <c r="C23" s="124">
        <f>C22*(INFLATION!$B6+1)</f>
        <v>4.1165923379747404</v>
      </c>
      <c r="D23" s="124">
        <f>D22*(INFLATION!$B6+1)</f>
        <v>1.5668043242050922</v>
      </c>
      <c r="E23" s="124">
        <f>E22*(INFLATION!$B6+1)</f>
        <v>1.3232064845607556</v>
      </c>
      <c r="F23" s="124">
        <f>F22*(INFLATION!$B6+1)</f>
        <v>1.253468112748223</v>
      </c>
      <c r="G23" s="124">
        <f>G22*(INFLATION!$B6+1)</f>
        <v>1.253468112748223</v>
      </c>
      <c r="H23" s="124">
        <f>H22*(INFLATION!$B6+1)</f>
        <v>1.3855150662638094</v>
      </c>
      <c r="I23" s="124">
        <f>I22*(INFLATION!$B6+1)</f>
        <v>1.3209534287052505</v>
      </c>
      <c r="K23" s="123">
        <f t="shared" si="7"/>
        <v>2043</v>
      </c>
      <c r="L23" s="124">
        <f t="shared" si="0"/>
        <v>1.5338748690394794</v>
      </c>
      <c r="M23" s="124">
        <f t="shared" si="1"/>
        <v>0.58380368525461768</v>
      </c>
      <c r="N23" s="124">
        <f t="shared" si="2"/>
        <v>0.49303720324571837</v>
      </c>
      <c r="O23" s="124">
        <f t="shared" si="3"/>
        <v>0.46705213424964637</v>
      </c>
      <c r="P23" s="124">
        <f t="shared" si="4"/>
        <v>0.46705213424964637</v>
      </c>
      <c r="Q23" s="124">
        <f t="shared" si="5"/>
        <v>0.51625387367435427</v>
      </c>
      <c r="R23" s="124">
        <f t="shared" si="6"/>
        <v>0.49219769681137421</v>
      </c>
    </row>
    <row r="24" spans="2:18" x14ac:dyDescent="0.25">
      <c r="B24" s="123">
        <f t="shared" si="8"/>
        <v>2044</v>
      </c>
      <c r="C24" s="124">
        <f>C23*(INFLATION!$B7+1)</f>
        <v>4.2257051696137289</v>
      </c>
      <c r="D24" s="124">
        <f>D23*(INFLATION!$B7+1)</f>
        <v>1.6083334440212982</v>
      </c>
      <c r="E24" s="124">
        <f>E23*(INFLATION!$B7+1)</f>
        <v>1.3582788926400375</v>
      </c>
      <c r="F24" s="124">
        <f>F23*(INFLATION!$B7+1)</f>
        <v>1.2866920620544164</v>
      </c>
      <c r="G24" s="124">
        <f>G23*(INFLATION!$B7+1)</f>
        <v>1.2866920620544164</v>
      </c>
      <c r="H24" s="124">
        <f>H23*(INFLATION!$B7+1)</f>
        <v>1.4222390019238802</v>
      </c>
      <c r="I24" s="124">
        <f>I23*(INFLATION!$B7+1)</f>
        <v>1.3559661181424973</v>
      </c>
      <c r="K24" s="123">
        <f t="shared" si="7"/>
        <v>2044</v>
      </c>
      <c r="L24" s="124">
        <f t="shared" si="0"/>
        <v>1.498697099976003</v>
      </c>
      <c r="M24" s="124">
        <f t="shared" si="1"/>
        <v>0.57041477613769997</v>
      </c>
      <c r="N24" s="124">
        <f t="shared" si="2"/>
        <v>0.48172992569292744</v>
      </c>
      <c r="O24" s="124">
        <f t="shared" si="3"/>
        <v>0.45634079628403618</v>
      </c>
      <c r="P24" s="124">
        <f t="shared" si="4"/>
        <v>0.45634079628403618</v>
      </c>
      <c r="Q24" s="124">
        <f t="shared" si="5"/>
        <v>0.50441414677563146</v>
      </c>
      <c r="R24" s="124">
        <f t="shared" si="6"/>
        <v>0.48090967243501292</v>
      </c>
    </row>
    <row r="25" spans="2:18" x14ac:dyDescent="0.25">
      <c r="B25" s="123">
        <f t="shared" si="8"/>
        <v>2045</v>
      </c>
      <c r="C25" s="124">
        <f>C24*(INFLATION!$B8+1)</f>
        <v>4.3441409330699727</v>
      </c>
      <c r="D25" s="124">
        <f>D24*(INFLATION!$B8+1)</f>
        <v>1.6534109379990156</v>
      </c>
      <c r="E25" s="124">
        <f>E24*(INFLATION!$B8+1)</f>
        <v>1.3963479938147012</v>
      </c>
      <c r="F25" s="124">
        <f>F24*(INFLATION!$B8+1)</f>
        <v>1.3227547665228481</v>
      </c>
      <c r="G25" s="124">
        <f>G24*(INFLATION!$B8+1)</f>
        <v>1.3227547665228481</v>
      </c>
      <c r="H25" s="124">
        <f>H24*(INFLATION!$B8+1)</f>
        <v>1.4621007422131342</v>
      </c>
      <c r="I25" s="124">
        <f>I24*(INFLATION!$B8+1)</f>
        <v>1.393970398132927</v>
      </c>
      <c r="K25" s="123">
        <f t="shared" si="7"/>
        <v>2045</v>
      </c>
      <c r="L25" s="124">
        <f t="shared" si="0"/>
        <v>1.4664970171363723</v>
      </c>
      <c r="M25" s="124">
        <f t="shared" si="1"/>
        <v>0.55815919557717342</v>
      </c>
      <c r="N25" s="124">
        <f t="shared" si="2"/>
        <v>0.47137977320788571</v>
      </c>
      <c r="O25" s="124">
        <f t="shared" si="3"/>
        <v>0.44653613899625982</v>
      </c>
      <c r="P25" s="124">
        <f t="shared" si="4"/>
        <v>0.44653613899625982</v>
      </c>
      <c r="Q25" s="124">
        <f t="shared" si="5"/>
        <v>0.49357661508766254</v>
      </c>
      <c r="R25" s="124">
        <f t="shared" si="6"/>
        <v>0.47057714340627516</v>
      </c>
    </row>
    <row r="26" spans="2:18" x14ac:dyDescent="0.25">
      <c r="B26" s="123">
        <f t="shared" si="8"/>
        <v>2046</v>
      </c>
      <c r="C26" s="124">
        <f>C25*(INFLATION!$B9+1)</f>
        <v>4.4715543345724624</v>
      </c>
      <c r="D26" s="124">
        <f>D25*(INFLATION!$B9+1)</f>
        <v>1.7019053848730032</v>
      </c>
      <c r="E26" s="124">
        <f>E25*(INFLATION!$B9+1)</f>
        <v>1.4373027994515843</v>
      </c>
      <c r="F26" s="124">
        <f>F25*(INFLATION!$B9+1)</f>
        <v>1.3615510870734349</v>
      </c>
      <c r="G26" s="124">
        <f>G25*(INFLATION!$B9+1)</f>
        <v>1.3615510870734349</v>
      </c>
      <c r="H26" s="124">
        <f>H25*(INFLATION!$B9+1)</f>
        <v>1.5049840721453056</v>
      </c>
      <c r="I26" s="124">
        <f>I25*(INFLATION!$B9+1)</f>
        <v>1.4348554690264212</v>
      </c>
      <c r="K26" s="123">
        <f t="shared" si="7"/>
        <v>2046</v>
      </c>
      <c r="L26" s="124">
        <f t="shared" si="0"/>
        <v>1.4368068623233892</v>
      </c>
      <c r="M26" s="124">
        <f t="shared" si="1"/>
        <v>0.54685891147612831</v>
      </c>
      <c r="N26" s="124">
        <f t="shared" si="2"/>
        <v>0.46183639311320296</v>
      </c>
      <c r="O26" s="124">
        <f t="shared" si="3"/>
        <v>0.43749573390748642</v>
      </c>
      <c r="P26" s="124">
        <f t="shared" si="4"/>
        <v>0.43749573390748642</v>
      </c>
      <c r="Q26" s="124">
        <f t="shared" si="5"/>
        <v>0.48358384596315634</v>
      </c>
      <c r="R26" s="124">
        <f t="shared" si="6"/>
        <v>0.46105001305693033</v>
      </c>
    </row>
    <row r="27" spans="2:18" x14ac:dyDescent="0.25">
      <c r="B27" s="123">
        <f t="shared" si="8"/>
        <v>2047</v>
      </c>
      <c r="C27" s="124">
        <f>C26*(INFLATION!$B10+1)</f>
        <v>4.607945374121198</v>
      </c>
      <c r="D27" s="124">
        <f>D26*(INFLATION!$B10+1)</f>
        <v>1.7538167846432609</v>
      </c>
      <c r="E27" s="124">
        <f>E26*(INFLATION!$B10+1)</f>
        <v>1.4811433095506867</v>
      </c>
      <c r="F27" s="124">
        <f>F26*(INFLATION!$B10+1)</f>
        <v>1.4030810237061766</v>
      </c>
      <c r="G27" s="124">
        <f>G26*(INFLATION!$B10+1)</f>
        <v>1.4030810237061766</v>
      </c>
      <c r="H27" s="124">
        <f>H26*(INFLATION!$B10+1)</f>
        <v>1.5508889917203941</v>
      </c>
      <c r="I27" s="124">
        <f>I26*(INFLATION!$B10+1)</f>
        <v>1.4786213308229801</v>
      </c>
      <c r="K27" s="123">
        <f t="shared" si="7"/>
        <v>2047</v>
      </c>
      <c r="L27" s="124">
        <f t="shared" si="0"/>
        <v>1.4093206219138341</v>
      </c>
      <c r="M27" s="124">
        <f t="shared" si="1"/>
        <v>0.53639745287296259</v>
      </c>
      <c r="N27" s="124">
        <f t="shared" si="2"/>
        <v>0.4530014226910376</v>
      </c>
      <c r="O27" s="124">
        <f t="shared" si="3"/>
        <v>0.42912640241578492</v>
      </c>
      <c r="P27" s="124">
        <f t="shared" si="4"/>
        <v>0.42912640241578492</v>
      </c>
      <c r="Q27" s="124">
        <f t="shared" si="5"/>
        <v>0.47433284487395849</v>
      </c>
      <c r="R27" s="124">
        <f t="shared" si="6"/>
        <v>0.45223008615372834</v>
      </c>
    </row>
    <row r="28" spans="2:18" x14ac:dyDescent="0.25">
      <c r="B28" s="123">
        <f t="shared" si="8"/>
        <v>2048</v>
      </c>
      <c r="C28" s="124">
        <f>C27*(INFLATION!$B11+1)</f>
        <v>4.7522781704031507</v>
      </c>
      <c r="D28" s="124">
        <f>D27*(INFLATION!$B11+1)</f>
        <v>1.8087508735140652</v>
      </c>
      <c r="E28" s="124">
        <f>E27*(INFLATION!$B11+1)</f>
        <v>1.5275365582125218</v>
      </c>
      <c r="F28" s="124">
        <f>F27*(INFLATION!$B11+1)</f>
        <v>1.4470291591808249</v>
      </c>
      <c r="G28" s="124">
        <f>G27*(INFLATION!$B11+1)</f>
        <v>1.4470291591808249</v>
      </c>
      <c r="H28" s="124">
        <f>H27*(INFLATION!$B11+1)</f>
        <v>1.5994668559796017</v>
      </c>
      <c r="I28" s="124">
        <f>I27*(INFLATION!$B11+1)</f>
        <v>1.5249355845722499</v>
      </c>
      <c r="K28" s="123">
        <f t="shared" si="7"/>
        <v>2048</v>
      </c>
      <c r="L28" s="124">
        <f t="shared" si="0"/>
        <v>1.3834610677536152</v>
      </c>
      <c r="M28" s="124">
        <f t="shared" si="1"/>
        <v>0.52655512262653847</v>
      </c>
      <c r="N28" s="124">
        <f t="shared" si="2"/>
        <v>0.44468932206426393</v>
      </c>
      <c r="O28" s="124">
        <f t="shared" si="3"/>
        <v>0.42125238335134996</v>
      </c>
      <c r="P28" s="124">
        <f t="shared" si="4"/>
        <v>0.42125238335134996</v>
      </c>
      <c r="Q28" s="124">
        <f t="shared" si="5"/>
        <v>0.46562933504002751</v>
      </c>
      <c r="R28" s="124">
        <f t="shared" si="6"/>
        <v>0.44393213874280357</v>
      </c>
    </row>
    <row r="29" spans="2:18" x14ac:dyDescent="0.25">
      <c r="B29" s="123">
        <f t="shared" si="8"/>
        <v>2049</v>
      </c>
      <c r="C29" s="124">
        <f>C28*(INFLATION!$B12+1)</f>
        <v>4.904898017189331</v>
      </c>
      <c r="D29" s="124">
        <f>D28*(INFLATION!$B12+1)</f>
        <v>1.8668390727506574</v>
      </c>
      <c r="E29" s="124">
        <f>E28*(INFLATION!$B12+1)</f>
        <v>1.5765935340702517</v>
      </c>
      <c r="F29" s="124">
        <f>F28*(INFLATION!$B12+1)</f>
        <v>1.4935006325774627</v>
      </c>
      <c r="G29" s="124">
        <f>G28*(INFLATION!$B12+1)</f>
        <v>1.4935006325774627</v>
      </c>
      <c r="H29" s="124">
        <f>H28*(INFLATION!$B12+1)</f>
        <v>1.6508338799091946</v>
      </c>
      <c r="I29" s="124">
        <f>I28*(INFLATION!$B12+1)</f>
        <v>1.5739090299243488</v>
      </c>
      <c r="K29" s="123">
        <f t="shared" si="7"/>
        <v>2049</v>
      </c>
      <c r="L29" s="124">
        <f t="shared" si="0"/>
        <v>1.3591195946102375</v>
      </c>
      <c r="M29" s="124">
        <f t="shared" si="1"/>
        <v>0.51729058481288415</v>
      </c>
      <c r="N29" s="124">
        <f t="shared" si="2"/>
        <v>0.43686518198365426</v>
      </c>
      <c r="O29" s="124">
        <f t="shared" si="3"/>
        <v>0.41384060732459088</v>
      </c>
      <c r="P29" s="124">
        <f t="shared" si="4"/>
        <v>0.41384060732459088</v>
      </c>
      <c r="Q29" s="124">
        <f t="shared" si="5"/>
        <v>0.4574367633675559</v>
      </c>
      <c r="R29" s="124">
        <f t="shared" si="6"/>
        <v>0.43612132101575596</v>
      </c>
    </row>
    <row r="30" spans="2:18" x14ac:dyDescent="0.25">
      <c r="B30" s="123">
        <f t="shared" si="8"/>
        <v>2050</v>
      </c>
      <c r="C30" s="124">
        <f>C29*(INFLATION!$B13+1)</f>
        <v>5.0654596207087277</v>
      </c>
      <c r="D30" s="124">
        <f>D29*(INFLATION!$B13+1)</f>
        <v>1.9279499610877957</v>
      </c>
      <c r="E30" s="124">
        <f>E29*(INFLATION!$B13+1)</f>
        <v>1.6282032484907136</v>
      </c>
      <c r="F30" s="124">
        <f>F29*(INFLATION!$B13+1)</f>
        <v>1.5423903048160066</v>
      </c>
      <c r="G30" s="124">
        <f>G29*(INFLATION!$B13+1)</f>
        <v>1.5423903048160066</v>
      </c>
      <c r="H30" s="124">
        <f>H29*(INFLATION!$B13+1)</f>
        <v>1.704873848522906</v>
      </c>
      <c r="I30" s="124">
        <f>I29*(INFLATION!$B13+1)</f>
        <v>1.6254308672291582</v>
      </c>
      <c r="K30" s="123">
        <f t="shared" si="7"/>
        <v>2050</v>
      </c>
      <c r="L30" s="124">
        <f t="shared" si="0"/>
        <v>1.3360082904592681</v>
      </c>
      <c r="M30" s="124">
        <f t="shared" si="1"/>
        <v>0.50849425806764881</v>
      </c>
      <c r="N30" s="124">
        <f t="shared" si="2"/>
        <v>0.42943645817315818</v>
      </c>
      <c r="O30" s="124">
        <f t="shared" si="3"/>
        <v>0.40680340751978389</v>
      </c>
      <c r="P30" s="124">
        <f t="shared" si="4"/>
        <v>0.40680340751978389</v>
      </c>
      <c r="Q30" s="124">
        <f t="shared" si="5"/>
        <v>0.44965822775527636</v>
      </c>
      <c r="R30" s="124">
        <f t="shared" si="6"/>
        <v>0.42870524627392409</v>
      </c>
    </row>
    <row r="31" spans="2:18" x14ac:dyDescent="0.25">
      <c r="B31" s="123">
        <f t="shared" si="8"/>
        <v>2051</v>
      </c>
      <c r="C31" s="124">
        <f>C30*(INFLATION!$B14+1)</f>
        <v>5.2325818058773041</v>
      </c>
      <c r="D31" s="124">
        <f>D30*(INFLATION!$B14+1)</f>
        <v>1.9915578534645164</v>
      </c>
      <c r="E31" s="124">
        <f>E30*(INFLATION!$B14+1)</f>
        <v>1.6819217469412593</v>
      </c>
      <c r="F31" s="124">
        <f>F30*(INFLATION!$B14+1)</f>
        <v>1.5932776195761256</v>
      </c>
      <c r="G31" s="124">
        <f>G30*(INFLATION!$B14+1)</f>
        <v>1.5932776195761256</v>
      </c>
      <c r="H31" s="124">
        <f>H30*(INFLATION!$B14+1)</f>
        <v>1.7611219018756725</v>
      </c>
      <c r="I31" s="124">
        <f>I30*(INFLATION!$B14+1)</f>
        <v>1.6790578978862074</v>
      </c>
      <c r="K31" s="123">
        <f t="shared" si="7"/>
        <v>2051</v>
      </c>
      <c r="L31" s="124">
        <f t="shared" si="0"/>
        <v>1.3136175007224586</v>
      </c>
      <c r="M31" s="124">
        <f t="shared" si="1"/>
        <v>0.49997216423329571</v>
      </c>
      <c r="N31" s="124">
        <f t="shared" si="2"/>
        <v>0.42223933109771922</v>
      </c>
      <c r="O31" s="124">
        <f t="shared" si="3"/>
        <v>0.39998559835868813</v>
      </c>
      <c r="P31" s="124">
        <f t="shared" si="4"/>
        <v>0.39998559835868813</v>
      </c>
      <c r="Q31" s="124">
        <f t="shared" si="5"/>
        <v>0.44212219455623558</v>
      </c>
      <c r="R31" s="124">
        <f t="shared" si="6"/>
        <v>0.42152037392175723</v>
      </c>
    </row>
    <row r="32" spans="2:18" x14ac:dyDescent="0.25">
      <c r="B32" s="123">
        <f t="shared" si="8"/>
        <v>2052</v>
      </c>
      <c r="C32" s="124">
        <f>C31*(INFLATION!$B15+1)</f>
        <v>5.4066098664660709</v>
      </c>
      <c r="D32" s="124">
        <f>D31*(INFLATION!$B15+1)</f>
        <v>2.0577941711460603</v>
      </c>
      <c r="E32" s="124">
        <f>E31*(INFLATION!$B15+1)</f>
        <v>1.7378600180550507</v>
      </c>
      <c r="F32" s="124">
        <f>F31*(INFLATION!$B15+1)</f>
        <v>1.6462677159379027</v>
      </c>
      <c r="G32" s="124">
        <f>G31*(INFLATION!$B15+1)</f>
        <v>1.6462677159379027</v>
      </c>
      <c r="H32" s="124">
        <f>H31*(INFLATION!$B15+1)</f>
        <v>1.8196942549537602</v>
      </c>
      <c r="I32" s="124">
        <f>I31*(INFLATION!$B15+1)</f>
        <v>1.7349009215456141</v>
      </c>
      <c r="K32" s="123">
        <f t="shared" si="7"/>
        <v>2052</v>
      </c>
      <c r="L32" s="124">
        <f t="shared" si="0"/>
        <v>1.2919346166659558</v>
      </c>
      <c r="M32" s="124">
        <f t="shared" si="1"/>
        <v>0.49171950433603701</v>
      </c>
      <c r="N32" s="124">
        <f t="shared" si="2"/>
        <v>0.41526974790074445</v>
      </c>
      <c r="O32" s="124">
        <f t="shared" si="3"/>
        <v>0.3933833405867625</v>
      </c>
      <c r="P32" s="124">
        <f t="shared" si="4"/>
        <v>0.3933833405867625</v>
      </c>
      <c r="Q32" s="124">
        <f t="shared" si="5"/>
        <v>0.43482442006853489</v>
      </c>
      <c r="R32" s="124">
        <f t="shared" si="6"/>
        <v>0.4145626580035599</v>
      </c>
    </row>
    <row r="33" spans="2:18" x14ac:dyDescent="0.25">
      <c r="B33" s="123">
        <f t="shared" si="8"/>
        <v>2053</v>
      </c>
      <c r="C33" s="124">
        <f>C32*(INFLATION!$B16+1)</f>
        <v>5.5875438024750252</v>
      </c>
      <c r="D33" s="124">
        <f>D32*(INFLATION!$B16+1)</f>
        <v>2.126658914132427</v>
      </c>
      <c r="E33" s="124">
        <f>E32*(INFLATION!$B16+1)</f>
        <v>1.7960180618320876</v>
      </c>
      <c r="F33" s="124">
        <f>F32*(INFLATION!$B16+1)</f>
        <v>1.701360593901337</v>
      </c>
      <c r="G33" s="124">
        <f>G32*(INFLATION!$B16+1)</f>
        <v>1.701360593901337</v>
      </c>
      <c r="H33" s="124">
        <f>H32*(INFLATION!$B16+1)</f>
        <v>1.8805909077571683</v>
      </c>
      <c r="I33" s="124">
        <f>I32*(INFLATION!$B16+1)</f>
        <v>1.792959938207378</v>
      </c>
      <c r="K33" s="123">
        <f t="shared" si="7"/>
        <v>2053</v>
      </c>
      <c r="L33" s="124">
        <f t="shared" si="0"/>
        <v>1.2708639097998711</v>
      </c>
      <c r="M33" s="124">
        <f t="shared" si="1"/>
        <v>0.48369984343172673</v>
      </c>
      <c r="N33" s="124">
        <f t="shared" si="2"/>
        <v>0.40849693833631751</v>
      </c>
      <c r="O33" s="124">
        <f t="shared" si="3"/>
        <v>0.38696748567539274</v>
      </c>
      <c r="P33" s="124">
        <f t="shared" si="4"/>
        <v>0.38696748567539274</v>
      </c>
      <c r="Q33" s="124">
        <f t="shared" si="5"/>
        <v>0.42773268510355383</v>
      </c>
      <c r="R33" s="124">
        <f t="shared" si="6"/>
        <v>0.40780138066666161</v>
      </c>
    </row>
    <row r="34" spans="2:18" x14ac:dyDescent="0.25">
      <c r="B34" s="123">
        <f t="shared" si="8"/>
        <v>2054</v>
      </c>
      <c r="C34" s="124">
        <f>C33*(INFLATION!$B17+1)</f>
        <v>5.7753836139041699</v>
      </c>
      <c r="D34" s="124">
        <f>D33*(INFLATION!$B17+1)</f>
        <v>2.1981520824236171</v>
      </c>
      <c r="E34" s="124">
        <f>E33*(INFLATION!$B17+1)</f>
        <v>1.8563958782723704</v>
      </c>
      <c r="F34" s="124">
        <f>F33*(INFLATION!$B17+1)</f>
        <v>1.7585562534664296</v>
      </c>
      <c r="G34" s="124">
        <f>G33*(INFLATION!$B17+1)</f>
        <v>1.7585562534664296</v>
      </c>
      <c r="H34" s="124">
        <f>H33*(INFLATION!$B17+1)</f>
        <v>1.9438118602858978</v>
      </c>
      <c r="I34" s="124">
        <f>I33*(INFLATION!$B17+1)</f>
        <v>1.8532349478714996</v>
      </c>
      <c r="K34" s="123">
        <f t="shared" si="7"/>
        <v>2054</v>
      </c>
      <c r="L34" s="124">
        <f t="shared" si="0"/>
        <v>1.250321058559533</v>
      </c>
      <c r="M34" s="124">
        <f t="shared" si="1"/>
        <v>0.47588108813309082</v>
      </c>
      <c r="N34" s="124">
        <f t="shared" si="2"/>
        <v>0.40189379871478398</v>
      </c>
      <c r="O34" s="124">
        <f t="shared" si="3"/>
        <v>0.38071235840977619</v>
      </c>
      <c r="P34" s="124">
        <f t="shared" si="4"/>
        <v>0.38071235840977619</v>
      </c>
      <c r="Q34" s="124">
        <f t="shared" si="5"/>
        <v>0.42081860968371099</v>
      </c>
      <c r="R34" s="124">
        <f t="shared" si="6"/>
        <v>0.40120948437151943</v>
      </c>
    </row>
    <row r="35" spans="2:18" x14ac:dyDescent="0.25">
      <c r="B35" s="123">
        <f t="shared" si="8"/>
        <v>2055</v>
      </c>
      <c r="C35" s="124">
        <f>C34*(INFLATION!$B18+1)</f>
        <v>5.9701293007535039</v>
      </c>
      <c r="D35" s="124">
        <f>D34*(INFLATION!$B18+1)</f>
        <v>2.2722736760196307</v>
      </c>
      <c r="E35" s="124">
        <f>E34*(INFLATION!$B18+1)</f>
        <v>1.9189934673758988</v>
      </c>
      <c r="F35" s="124">
        <f>F34*(INFLATION!$B18+1)</f>
        <v>1.8178546946331799</v>
      </c>
      <c r="G35" s="124">
        <f>G34*(INFLATION!$B18+1)</f>
        <v>1.8178546946331799</v>
      </c>
      <c r="H35" s="124">
        <f>H34*(INFLATION!$B18+1)</f>
        <v>2.0093571125399481</v>
      </c>
      <c r="I35" s="124">
        <f>I34*(INFLATION!$B18+1)</f>
        <v>1.9157259505379785</v>
      </c>
      <c r="K35" s="123">
        <f t="shared" si="7"/>
        <v>2055</v>
      </c>
      <c r="L35" s="124">
        <f t="shared" si="0"/>
        <v>1.230232087218635</v>
      </c>
      <c r="M35" s="124">
        <f t="shared" si="1"/>
        <v>0.46823508275252496</v>
      </c>
      <c r="N35" s="124">
        <f t="shared" si="2"/>
        <v>0.39543655083497348</v>
      </c>
      <c r="O35" s="124">
        <f t="shared" si="3"/>
        <v>0.37459543379680443</v>
      </c>
      <c r="P35" s="124">
        <f t="shared" si="4"/>
        <v>0.37459543379680443</v>
      </c>
      <c r="Q35" s="124">
        <f t="shared" si="5"/>
        <v>0.41405729591411639</v>
      </c>
      <c r="R35" s="124">
        <f t="shared" si="6"/>
        <v>0.39476323140468417</v>
      </c>
    </row>
    <row r="36" spans="2:18" x14ac:dyDescent="0.25">
      <c r="B36" s="123">
        <f t="shared" si="8"/>
        <v>2056</v>
      </c>
      <c r="C36" s="124">
        <f>C35*(INFLATION!$B19+1)</f>
        <v>6.1717808630230273</v>
      </c>
      <c r="D36" s="124">
        <f>D35*(INFLATION!$B19+1)</f>
        <v>2.3490236949204677</v>
      </c>
      <c r="E36" s="124">
        <f>E35*(INFLATION!$B19+1)</f>
        <v>1.983810829142673</v>
      </c>
      <c r="F36" s="124">
        <f>F35*(INFLATION!$B19+1)</f>
        <v>1.8792559174015884</v>
      </c>
      <c r="G36" s="124">
        <f>G35*(INFLATION!$B19+1)</f>
        <v>1.8792559174015884</v>
      </c>
      <c r="H36" s="124">
        <f>H35*(INFLATION!$B19+1)</f>
        <v>2.0772266645193196</v>
      </c>
      <c r="I36" s="124">
        <f>I35*(INFLATION!$B19+1)</f>
        <v>1.9804329462068149</v>
      </c>
      <c r="K36" s="123">
        <f t="shared" si="7"/>
        <v>2056</v>
      </c>
      <c r="L36" s="124">
        <f t="shared" si="0"/>
        <v>1.2105323894317068</v>
      </c>
      <c r="M36" s="124">
        <f t="shared" si="1"/>
        <v>0.46073723765541297</v>
      </c>
      <c r="N36" s="124">
        <f t="shared" si="2"/>
        <v>0.38910442811903434</v>
      </c>
      <c r="O36" s="124">
        <f t="shared" si="3"/>
        <v>0.36859703974187119</v>
      </c>
      <c r="P36" s="124">
        <f t="shared" si="4"/>
        <v>0.36859703974187119</v>
      </c>
      <c r="Q36" s="124">
        <f t="shared" si="5"/>
        <v>0.40742699933778326</v>
      </c>
      <c r="R36" s="124">
        <f t="shared" si="6"/>
        <v>0.38844189054806133</v>
      </c>
    </row>
    <row r="37" spans="2:18" x14ac:dyDescent="0.25">
      <c r="B37" s="123">
        <f t="shared" si="8"/>
        <v>2057</v>
      </c>
      <c r="C37" s="124">
        <f>C36*(INFLATION!$B20+1)</f>
        <v>6.381374182025767</v>
      </c>
      <c r="D37" s="124">
        <f>D36*(INFLATION!$B20+1)</f>
        <v>2.4287964029218507</v>
      </c>
      <c r="E37" s="124">
        <f>E36*(INFLATION!$B20+1)</f>
        <v>2.0511809294721792</v>
      </c>
      <c r="F37" s="124">
        <f>F36*(INFLATION!$B20+1)</f>
        <v>1.9430753390119027</v>
      </c>
      <c r="G37" s="124">
        <f>G36*(INFLATION!$B20+1)</f>
        <v>1.9430753390119027</v>
      </c>
      <c r="H37" s="124">
        <f>H36*(INFLATION!$B20+1)</f>
        <v>2.1477691611828096</v>
      </c>
      <c r="I37" s="124">
        <f>I36*(INFLATION!$B20+1)</f>
        <v>2.0476883338283618</v>
      </c>
      <c r="K37" s="123">
        <f t="shared" si="7"/>
        <v>2057</v>
      </c>
      <c r="L37" s="124">
        <f t="shared" si="0"/>
        <v>1.1913592222938243</v>
      </c>
      <c r="M37" s="124">
        <f t="shared" si="1"/>
        <v>0.45343979386841893</v>
      </c>
      <c r="N37" s="124">
        <f t="shared" si="2"/>
        <v>0.38294154945544173</v>
      </c>
      <c r="O37" s="124">
        <f t="shared" si="3"/>
        <v>0.36275896988831086</v>
      </c>
      <c r="P37" s="124">
        <f t="shared" si="4"/>
        <v>0.36275896988831086</v>
      </c>
      <c r="Q37" s="124">
        <f t="shared" si="5"/>
        <v>0.40097391636124552</v>
      </c>
      <c r="R37" s="124">
        <f t="shared" si="6"/>
        <v>0.38228950556782187</v>
      </c>
    </row>
    <row r="38" spans="2:18" x14ac:dyDescent="0.25">
      <c r="B38" s="123">
        <f t="shared" si="8"/>
        <v>2058</v>
      </c>
      <c r="C38" s="124">
        <f>C37*(INFLATION!$B21+1)</f>
        <v>6.5982186702197057</v>
      </c>
      <c r="D38" s="124">
        <f>D37*(INFLATION!$B21+1)</f>
        <v>2.5113289574932982</v>
      </c>
      <c r="E38" s="124">
        <f>E37*(INFLATION!$B21+1)</f>
        <v>2.1208817910980939</v>
      </c>
      <c r="F38" s="124">
        <f>F37*(INFLATION!$B21+1)</f>
        <v>2.0091026813039581</v>
      </c>
      <c r="G38" s="124">
        <f>G37*(INFLATION!$B21+1)</f>
        <v>2.0091026813039581</v>
      </c>
      <c r="H38" s="124">
        <f>H37*(INFLATION!$B21+1)</f>
        <v>2.2207521725578871</v>
      </c>
      <c r="I38" s="124">
        <f>I37*(INFLATION!$B21+1)</f>
        <v>2.1172705141023846</v>
      </c>
      <c r="K38" s="123">
        <f t="shared" si="7"/>
        <v>2058</v>
      </c>
      <c r="L38" s="124">
        <f t="shared" si="0"/>
        <v>1.1725134357463172</v>
      </c>
      <c r="M38" s="124">
        <f t="shared" si="1"/>
        <v>0.44626695346270434</v>
      </c>
      <c r="N38" s="124">
        <f t="shared" si="2"/>
        <v>0.37688390154693457</v>
      </c>
      <c r="O38" s="124">
        <f t="shared" si="3"/>
        <v>0.35702058470038589</v>
      </c>
      <c r="P38" s="124">
        <f t="shared" si="4"/>
        <v>0.35702058470038589</v>
      </c>
      <c r="Q38" s="124">
        <f t="shared" si="5"/>
        <v>0.39463101935969092</v>
      </c>
      <c r="R38" s="124">
        <f t="shared" si="6"/>
        <v>0.37624217216370248</v>
      </c>
    </row>
    <row r="39" spans="2:18" x14ac:dyDescent="0.25">
      <c r="B39" s="123">
        <f t="shared" si="8"/>
        <v>2059</v>
      </c>
      <c r="C39" s="124">
        <f>C38*(INFLATION!$B22+1)</f>
        <v>6.8226596213758528</v>
      </c>
      <c r="D39" s="124">
        <f>D38*(INFLATION!$B22+1)</f>
        <v>2.5967527799000516</v>
      </c>
      <c r="E39" s="124">
        <f>E38*(INFLATION!$B22+1)</f>
        <v>2.1930244026535788</v>
      </c>
      <c r="F39" s="124">
        <f>F38*(INFLATION!$B22+1)</f>
        <v>2.0774430833578372</v>
      </c>
      <c r="G39" s="124">
        <f>G38*(INFLATION!$B22+1)</f>
        <v>2.0774430833578372</v>
      </c>
      <c r="H39" s="124">
        <f>H38*(INFLATION!$B22+1)</f>
        <v>2.2962919136308177</v>
      </c>
      <c r="I39" s="124">
        <f>I38*(INFLATION!$B22+1)</f>
        <v>2.1892902866790003</v>
      </c>
      <c r="K39" s="123">
        <f t="shared" si="7"/>
        <v>2059</v>
      </c>
      <c r="L39" s="124">
        <f t="shared" si="0"/>
        <v>1.1540043138910361</v>
      </c>
      <c r="M39" s="124">
        <f t="shared" si="1"/>
        <v>0.43922225003346932</v>
      </c>
      <c r="N39" s="124">
        <f t="shared" si="2"/>
        <v>0.37093446860539575</v>
      </c>
      <c r="O39" s="124">
        <f t="shared" si="3"/>
        <v>0.35138471110985686</v>
      </c>
      <c r="P39" s="124">
        <f t="shared" si="4"/>
        <v>0.35138471110985686</v>
      </c>
      <c r="Q39" s="124">
        <f t="shared" si="5"/>
        <v>0.38840143306880714</v>
      </c>
      <c r="R39" s="124">
        <f t="shared" si="6"/>
        <v>0.37030286946629581</v>
      </c>
    </row>
    <row r="40" spans="2:18" x14ac:dyDescent="0.25">
      <c r="B40" s="123">
        <f t="shared" si="8"/>
        <v>2060</v>
      </c>
      <c r="C40" s="124">
        <f>C39*(INFLATION!$B23+1)</f>
        <v>7.0550423292652171</v>
      </c>
      <c r="D40" s="124">
        <f>D39*(INFLATION!$B23+1)</f>
        <v>2.685199291407351</v>
      </c>
      <c r="E40" s="124">
        <f>E39*(INFLATION!$B23+1)</f>
        <v>2.267719752771796</v>
      </c>
      <c r="F40" s="124">
        <f>F39*(INFLATION!$B23+1)</f>
        <v>2.1482016842536225</v>
      </c>
      <c r="G40" s="124">
        <f>G39*(INFLATION!$B23+1)</f>
        <v>2.1482016842536225</v>
      </c>
      <c r="H40" s="124">
        <f>H39*(INFLATION!$B23+1)</f>
        <v>2.3745045993878673</v>
      </c>
      <c r="I40" s="124">
        <f>I39*(INFLATION!$B23+1)</f>
        <v>2.2638584512083271</v>
      </c>
      <c r="K40" s="123">
        <f t="shared" si="7"/>
        <v>2060</v>
      </c>
      <c r="L40" s="124">
        <f t="shared" si="0"/>
        <v>1.135836850294943</v>
      </c>
      <c r="M40" s="124">
        <f t="shared" si="1"/>
        <v>0.4323075841678175</v>
      </c>
      <c r="N40" s="124">
        <f t="shared" si="2"/>
        <v>0.36509485572543815</v>
      </c>
      <c r="O40" s="124">
        <f t="shared" si="3"/>
        <v>0.34585286961631212</v>
      </c>
      <c r="P40" s="124">
        <f t="shared" si="4"/>
        <v>0.34585286961631212</v>
      </c>
      <c r="Q40" s="124">
        <f t="shared" si="5"/>
        <v>0.38228683816564263</v>
      </c>
      <c r="R40" s="124">
        <f t="shared" si="6"/>
        <v>0.36447319983718124</v>
      </c>
    </row>
    <row r="41" spans="2:18" x14ac:dyDescent="0.25">
      <c r="B41" s="123">
        <f t="shared" si="8"/>
        <v>2061</v>
      </c>
      <c r="C41" s="124">
        <f>C40*(INFLATION!$B24+1)</f>
        <v>7.2960573814298186</v>
      </c>
      <c r="D41" s="124">
        <f>D40*(INFLATION!$B24+1)</f>
        <v>2.7769313345456799</v>
      </c>
      <c r="E41" s="124">
        <f>E40*(INFLATION!$B24+1)</f>
        <v>2.3451898187190707</v>
      </c>
      <c r="F41" s="124">
        <f>F40*(INFLATION!$B24+1)</f>
        <v>2.2215887621514803</v>
      </c>
      <c r="G41" s="124">
        <f>G40*(INFLATION!$B24+1)</f>
        <v>2.2215887621514803</v>
      </c>
      <c r="H41" s="124">
        <f>H40*(INFLATION!$B24+1)</f>
        <v>2.455622659801568</v>
      </c>
      <c r="I41" s="124">
        <f>I40*(INFLATION!$B24+1)</f>
        <v>2.3411966069906009</v>
      </c>
      <c r="K41" s="123">
        <f t="shared" si="7"/>
        <v>2061</v>
      </c>
      <c r="L41" s="124">
        <f t="shared" si="0"/>
        <v>1.1180653158636271</v>
      </c>
      <c r="M41" s="124">
        <f t="shared" si="1"/>
        <v>0.42554361175843286</v>
      </c>
      <c r="N41" s="124">
        <f t="shared" si="2"/>
        <v>0.35938250733884008</v>
      </c>
      <c r="O41" s="124">
        <f t="shared" si="3"/>
        <v>0.34044158525891544</v>
      </c>
      <c r="P41" s="124">
        <f t="shared" si="4"/>
        <v>0.34044158525891544</v>
      </c>
      <c r="Q41" s="124">
        <f t="shared" si="5"/>
        <v>0.37630550052429435</v>
      </c>
      <c r="R41" s="124">
        <f t="shared" si="6"/>
        <v>0.35877057800507889</v>
      </c>
    </row>
    <row r="42" spans="2:18" x14ac:dyDescent="0.25">
      <c r="B42" s="123">
        <f t="shared" si="8"/>
        <v>2062</v>
      </c>
      <c r="C42" s="124">
        <f>C41*(INFLATION!$B25+1)</f>
        <v>7.5450141903276355</v>
      </c>
      <c r="D42" s="124">
        <f>D41*(INFLATION!$B25+1)</f>
        <v>2.8716860667845547</v>
      </c>
      <c r="E42" s="124">
        <f>E41*(INFLATION!$B25+1)</f>
        <v>2.4252126232290774</v>
      </c>
      <c r="F42" s="124">
        <f>F41*(INFLATION!$B25+1)</f>
        <v>2.2973940388912442</v>
      </c>
      <c r="G42" s="124">
        <f>G41*(INFLATION!$B25+1)</f>
        <v>2.2973940388912442</v>
      </c>
      <c r="H42" s="124">
        <f>H41*(INFLATION!$B25+1)</f>
        <v>2.5394136648993872</v>
      </c>
      <c r="I42" s="124">
        <f>I41*(INFLATION!$B25+1)</f>
        <v>2.4210831547255851</v>
      </c>
      <c r="K42" s="123">
        <f t="shared" si="7"/>
        <v>2062</v>
      </c>
      <c r="L42" s="124">
        <f t="shared" si="0"/>
        <v>1.1005292726125318</v>
      </c>
      <c r="M42" s="124">
        <f t="shared" si="1"/>
        <v>0.41886926896723459</v>
      </c>
      <c r="N42" s="124">
        <f t="shared" si="2"/>
        <v>0.35374585346633081</v>
      </c>
      <c r="O42" s="124">
        <f t="shared" si="3"/>
        <v>0.33510200600637385</v>
      </c>
      <c r="P42" s="124">
        <f t="shared" si="4"/>
        <v>0.33510200600637385</v>
      </c>
      <c r="Q42" s="124">
        <f t="shared" si="5"/>
        <v>0.37040342178239011</v>
      </c>
      <c r="R42" s="124">
        <f t="shared" si="6"/>
        <v>0.35314352180017561</v>
      </c>
    </row>
    <row r="43" spans="2:18" x14ac:dyDescent="0.25">
      <c r="B43" s="123">
        <f t="shared" si="8"/>
        <v>2063</v>
      </c>
      <c r="C43" s="124">
        <f>C42*(INFLATION!$B26+1)</f>
        <v>7.8032939310427105</v>
      </c>
      <c r="D43" s="124">
        <f>D42*(INFLATION!$B26+1)</f>
        <v>2.9699891731849419</v>
      </c>
      <c r="E43" s="124">
        <f>E42*(INFLATION!$B26+1)</f>
        <v>2.5082321208344664</v>
      </c>
      <c r="F43" s="124">
        <f>F42*(INFLATION!$B26+1)</f>
        <v>2.3760380707932467</v>
      </c>
      <c r="G43" s="124">
        <f>G42*(INFLATION!$B26+1)</f>
        <v>2.3760380707932467</v>
      </c>
      <c r="H43" s="124">
        <f>H42*(INFLATION!$B26+1)</f>
        <v>2.6263424746263908</v>
      </c>
      <c r="I43" s="124">
        <f>I42*(INFLATION!$B26+1)</f>
        <v>2.5039612930137527</v>
      </c>
      <c r="K43" s="123">
        <f t="shared" si="7"/>
        <v>2063</v>
      </c>
      <c r="L43" s="124">
        <f t="shared" si="0"/>
        <v>1.0833832265556342</v>
      </c>
      <c r="M43" s="124">
        <f t="shared" si="1"/>
        <v>0.41234336188210818</v>
      </c>
      <c r="N43" s="124">
        <f t="shared" si="2"/>
        <v>0.34823455735916614</v>
      </c>
      <c r="O43" s="124">
        <f t="shared" si="3"/>
        <v>0.32988117765429886</v>
      </c>
      <c r="P43" s="124">
        <f t="shared" si="4"/>
        <v>0.32988117765429886</v>
      </c>
      <c r="Q43" s="124">
        <f t="shared" si="5"/>
        <v>0.36463260378821105</v>
      </c>
      <c r="R43" s="124">
        <f t="shared" si="6"/>
        <v>0.34764160991090182</v>
      </c>
    </row>
    <row r="44" spans="2:18" x14ac:dyDescent="0.25">
      <c r="B44" s="123">
        <f t="shared" si="8"/>
        <v>2064</v>
      </c>
      <c r="C44" s="124">
        <f>C43*(INFLATION!$B27+1)</f>
        <v>8.0702060160330191</v>
      </c>
      <c r="D44" s="124">
        <f>D43*(INFLATION!$B27+1)</f>
        <v>3.0715778112163572</v>
      </c>
      <c r="E44" s="124">
        <f>E43*(INFLATION!$B27+1)</f>
        <v>2.594026334268912</v>
      </c>
      <c r="F44" s="124">
        <f>F43*(INFLATION!$B27+1)</f>
        <v>2.4573105796973209</v>
      </c>
      <c r="G44" s="124">
        <f>G43*(INFLATION!$B27+1)</f>
        <v>2.4573105796973209</v>
      </c>
      <c r="H44" s="124">
        <f>H43*(INFLATION!$B27+1)</f>
        <v>2.7161766590100447</v>
      </c>
      <c r="I44" s="124">
        <f>I43*(INFLATION!$B27+1)</f>
        <v>2.589609422554866</v>
      </c>
      <c r="K44" s="123">
        <f t="shared" si="7"/>
        <v>2064</v>
      </c>
      <c r="L44" s="124">
        <f t="shared" si="0"/>
        <v>1.0664766872139591</v>
      </c>
      <c r="M44" s="124">
        <f t="shared" si="1"/>
        <v>0.40590861275635137</v>
      </c>
      <c r="N44" s="124">
        <f t="shared" si="2"/>
        <v>0.34280024648946461</v>
      </c>
      <c r="O44" s="124">
        <f t="shared" si="3"/>
        <v>0.32473327710407357</v>
      </c>
      <c r="P44" s="124">
        <f t="shared" si="4"/>
        <v>0.32473327710407357</v>
      </c>
      <c r="Q44" s="124">
        <f t="shared" si="5"/>
        <v>0.35894239619583207</v>
      </c>
      <c r="R44" s="124">
        <f t="shared" si="6"/>
        <v>0.34221655217445535</v>
      </c>
    </row>
    <row r="45" spans="2:18" x14ac:dyDescent="0.25">
      <c r="B45" s="123">
        <f t="shared" si="8"/>
        <v>2065</v>
      </c>
      <c r="C45" s="124">
        <f>C44*(INFLATION!$B28+1)</f>
        <v>8.346441032840584</v>
      </c>
      <c r="D45" s="124">
        <f>D44*(INFLATION!$B28+1)</f>
        <v>3.1767148234092839</v>
      </c>
      <c r="E45" s="124">
        <f>E44*(INFLATION!$B28+1)</f>
        <v>2.6828172407987396</v>
      </c>
      <c r="F45" s="124">
        <f>F44*(INFLATION!$B28+1)</f>
        <v>2.5414218437636333</v>
      </c>
      <c r="G45" s="124">
        <f>G44*(INFLATION!$B28+1)</f>
        <v>2.5414218437636333</v>
      </c>
      <c r="H45" s="124">
        <f>H44*(INFLATION!$B28+1)</f>
        <v>2.809148648022882</v>
      </c>
      <c r="I45" s="124">
        <f>I44*(INFLATION!$B28+1)</f>
        <v>2.6782491426491624</v>
      </c>
      <c r="K45" s="123">
        <f t="shared" si="7"/>
        <v>2065</v>
      </c>
      <c r="L45" s="124">
        <f t="shared" si="0"/>
        <v>1.0498582801847196</v>
      </c>
      <c r="M45" s="124">
        <f t="shared" si="1"/>
        <v>0.39958352883812631</v>
      </c>
      <c r="N45" s="124">
        <f t="shared" si="2"/>
        <v>0.33745855070353264</v>
      </c>
      <c r="O45" s="124">
        <f t="shared" si="3"/>
        <v>0.31967311044543606</v>
      </c>
      <c r="P45" s="124">
        <f t="shared" si="4"/>
        <v>0.31967311044543606</v>
      </c>
      <c r="Q45" s="124">
        <f t="shared" si="5"/>
        <v>0.35334916484671014</v>
      </c>
      <c r="R45" s="124">
        <f t="shared" si="6"/>
        <v>0.3368839518238233</v>
      </c>
    </row>
    <row r="46" spans="2:18" x14ac:dyDescent="0.25">
      <c r="B46" s="123">
        <f t="shared" si="8"/>
        <v>2066</v>
      </c>
      <c r="C46" s="124">
        <f>C45*(INFLATION!$B29+1)</f>
        <v>8.632344275236413</v>
      </c>
      <c r="D46" s="124">
        <f>D45*(INFLATION!$B29+1)</f>
        <v>3.2855316310289631</v>
      </c>
      <c r="E46" s="124">
        <f>E45*(INFLATION!$B29+1)</f>
        <v>2.774715829057111</v>
      </c>
      <c r="F46" s="124">
        <f>F45*(INFLATION!$B29+1)</f>
        <v>2.6284770020722665</v>
      </c>
      <c r="G46" s="124">
        <f>G45*(INFLATION!$B29+1)</f>
        <v>2.6284770020722665</v>
      </c>
      <c r="H46" s="124">
        <f>H45*(INFLATION!$B29+1)</f>
        <v>2.9053746566511687</v>
      </c>
      <c r="I46" s="124">
        <f>I45*(INFLATION!$B29+1)</f>
        <v>2.7699912529467587</v>
      </c>
      <c r="K46" s="123">
        <f t="shared" si="7"/>
        <v>2066</v>
      </c>
      <c r="L46" s="124">
        <f t="shared" si="0"/>
        <v>1.0335243293918961</v>
      </c>
      <c r="M46" s="124">
        <f t="shared" si="1"/>
        <v>0.39336671098675274</v>
      </c>
      <c r="N46" s="124">
        <f t="shared" si="2"/>
        <v>0.33220828839113825</v>
      </c>
      <c r="O46" s="124">
        <f t="shared" si="3"/>
        <v>0.31469955834382679</v>
      </c>
      <c r="P46" s="124">
        <f t="shared" si="4"/>
        <v>0.31469955834382679</v>
      </c>
      <c r="Q46" s="124">
        <f t="shared" si="5"/>
        <v>0.34785167248966942</v>
      </c>
      <c r="R46" s="124">
        <f t="shared" si="6"/>
        <v>0.33164262926073024</v>
      </c>
    </row>
    <row r="47" spans="2:18" x14ac:dyDescent="0.25">
      <c r="B47" s="123">
        <f t="shared" si="8"/>
        <v>2067</v>
      </c>
      <c r="C47" s="124">
        <f>C46*(INFLATION!$B30+1)</f>
        <v>8.9279157432205078</v>
      </c>
      <c r="D47" s="124">
        <f>D46*(INFLATION!$B30+1)</f>
        <v>3.3980282340753951</v>
      </c>
      <c r="E47" s="124">
        <f>E46*(INFLATION!$B30+1)</f>
        <v>2.8697220990440266</v>
      </c>
      <c r="F47" s="124">
        <f>F46*(INFLATION!$B30+1)</f>
        <v>2.7184760546232209</v>
      </c>
      <c r="G47" s="124">
        <f>G46*(INFLATION!$B30+1)</f>
        <v>2.7184760546232209</v>
      </c>
      <c r="H47" s="124">
        <f>H46*(INFLATION!$B30+1)</f>
        <v>3.0048546848949047</v>
      </c>
      <c r="I47" s="124">
        <f>I46*(INFLATION!$B30+1)</f>
        <v>2.8648357534476561</v>
      </c>
      <c r="K47" s="123">
        <f t="shared" si="7"/>
        <v>2067</v>
      </c>
      <c r="L47" s="124">
        <f t="shared" si="0"/>
        <v>1.0174302326577904</v>
      </c>
      <c r="M47" s="124">
        <f t="shared" si="1"/>
        <v>0.38724118329615381</v>
      </c>
      <c r="N47" s="124">
        <f t="shared" si="2"/>
        <v>0.3270351229636882</v>
      </c>
      <c r="O47" s="124">
        <f t="shared" si="3"/>
        <v>0.30979903980727147</v>
      </c>
      <c r="P47" s="124">
        <f t="shared" si="4"/>
        <v>0.30979903980727147</v>
      </c>
      <c r="Q47" s="124">
        <f t="shared" si="5"/>
        <v>0.34243490743928773</v>
      </c>
      <c r="R47" s="124">
        <f t="shared" si="6"/>
        <v>0.32647827230784093</v>
      </c>
    </row>
    <row r="48" spans="2:18" x14ac:dyDescent="0.25">
      <c r="B48" s="123">
        <f t="shared" si="8"/>
        <v>2068</v>
      </c>
      <c r="C48" s="124">
        <f>C47*(INFLATION!$B31+1)</f>
        <v>9.233500730563879</v>
      </c>
      <c r="D48" s="124">
        <f>D47*(INFLATION!$B31+1)</f>
        <v>3.5143360538138211</v>
      </c>
      <c r="E48" s="124">
        <f>E47*(INFLATION!$B31+1)</f>
        <v>2.9679470393926488</v>
      </c>
      <c r="F48" s="124">
        <f>F47*(INFLATION!$B31+1)</f>
        <v>2.8115241404965796</v>
      </c>
      <c r="G48" s="124">
        <f>G47*(INFLATION!$B31+1)</f>
        <v>2.8115241404965796</v>
      </c>
      <c r="H48" s="124">
        <f>H47*(INFLATION!$B31+1)</f>
        <v>3.1077049477403564</v>
      </c>
      <c r="I48" s="124">
        <f>I47*(INFLATION!$B31+1)</f>
        <v>2.9628934438019718</v>
      </c>
      <c r="K48" s="123">
        <f t="shared" si="7"/>
        <v>2068</v>
      </c>
      <c r="L48" s="124">
        <f t="shared" si="0"/>
        <v>1.0015751640969859</v>
      </c>
      <c r="M48" s="124">
        <f t="shared" si="1"/>
        <v>0.3812066314284655</v>
      </c>
      <c r="N48" s="124">
        <f t="shared" si="2"/>
        <v>0.32193878895478473</v>
      </c>
      <c r="O48" s="124">
        <f t="shared" si="3"/>
        <v>0.30497130336053285</v>
      </c>
      <c r="P48" s="124">
        <f t="shared" si="4"/>
        <v>0.30497130336053285</v>
      </c>
      <c r="Q48" s="124">
        <f t="shared" si="5"/>
        <v>0.33709859172859774</v>
      </c>
      <c r="R48" s="124">
        <f t="shared" si="6"/>
        <v>0.32139061595077362</v>
      </c>
    </row>
  </sheetData>
  <mergeCells count="5">
    <mergeCell ref="S4:W5"/>
    <mergeCell ref="S6:W7"/>
    <mergeCell ref="S9:W10"/>
    <mergeCell ref="B1:I1"/>
    <mergeCell ref="K1:R1"/>
  </mergeCells>
  <pageMargins left="0.7" right="0.7" top="0.75" bottom="0.75" header="0.3" footer="0.3"/>
  <pageSetup scale="74" orientation="portrait" r:id="rId1"/>
  <colBreaks count="2" manualBreakCount="2">
    <brk id="9" max="1048575" man="1"/>
    <brk id="23"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7B3D4-CD78-49C8-8E80-FFB25226C18F}">
  <sheetPr>
    <tabColor rgb="FF0070C0"/>
  </sheetPr>
  <dimension ref="A1:J42"/>
  <sheetViews>
    <sheetView view="pageBreakPreview" zoomScale="60" zoomScaleNormal="100" workbookViewId="0">
      <selection activeCell="J29" sqref="J29"/>
    </sheetView>
  </sheetViews>
  <sheetFormatPr defaultRowHeight="15" x14ac:dyDescent="0.25"/>
  <cols>
    <col min="1" max="1" width="16.28515625" bestFit="1" customWidth="1"/>
    <col min="2" max="2" width="19.42578125" bestFit="1" customWidth="1"/>
    <col min="3" max="3" width="12" customWidth="1"/>
    <col min="4" max="4" width="6.28515625" bestFit="1" customWidth="1"/>
    <col min="5" max="5" width="8" bestFit="1" customWidth="1"/>
    <col min="6" max="6" width="6.28515625" customWidth="1"/>
    <col min="7" max="7" width="2.5703125" style="73" customWidth="1"/>
    <col min="9" max="9" width="12.85546875" bestFit="1" customWidth="1"/>
    <col min="10" max="10" width="22.140625" customWidth="1"/>
    <col min="11" max="11" width="29.140625" customWidth="1"/>
  </cols>
  <sheetData>
    <row r="1" spans="1:7" s="40" customFormat="1" ht="21" x14ac:dyDescent="0.35">
      <c r="A1" s="184" t="s">
        <v>143</v>
      </c>
      <c r="B1" s="184"/>
      <c r="C1" s="184"/>
      <c r="D1" s="184"/>
      <c r="E1" s="184"/>
      <c r="F1" s="184"/>
      <c r="G1" s="73"/>
    </row>
    <row r="2" spans="1:7" s="40" customFormat="1" x14ac:dyDescent="0.25">
      <c r="G2" s="73"/>
    </row>
    <row r="3" spans="1:7" ht="15.75" thickBot="1" x14ac:dyDescent="0.3"/>
    <row r="4" spans="1:7" x14ac:dyDescent="0.25">
      <c r="A4" s="67"/>
      <c r="B4" s="68" t="s">
        <v>131</v>
      </c>
      <c r="D4" s="189" t="s">
        <v>8</v>
      </c>
      <c r="E4" s="190"/>
      <c r="F4" s="191"/>
    </row>
    <row r="5" spans="1:7" x14ac:dyDescent="0.25">
      <c r="A5" s="69">
        <f>'NEW FINAL CALCULATION '!A2</f>
        <v>2023</v>
      </c>
      <c r="B5" s="70">
        <f>SUM(E6:F6)*(1+INFLATION!B6)*(1+FUEL!B5)</f>
        <v>0</v>
      </c>
      <c r="D5" s="1"/>
      <c r="E5" s="16" t="str">
        <f>IF(C39="","",C39)</f>
        <v>I-5 Exp</v>
      </c>
      <c r="F5" s="17" t="str">
        <f>IF(D39="","",D39)</f>
        <v>GTN</v>
      </c>
    </row>
    <row r="6" spans="1:7" x14ac:dyDescent="0.25">
      <c r="A6" s="69">
        <f>A5+1</f>
        <v>2024</v>
      </c>
      <c r="B6" s="70">
        <f>SUM(E7:F7)*(1+INFLATION!B7)*(1+FUEL!B6)</f>
        <v>0</v>
      </c>
      <c r="D6" s="14">
        <v>2021</v>
      </c>
      <c r="E6" s="11">
        <f t="shared" ref="E6:E25" si="0">IF(C$40="","",IFERROR((IF($D6&lt;C$41,0,C$40)/(IF($D6&gt;=$C$41,1,0)+IF(AND($D6&gt;=$D$41,$D$41&lt;&gt;""),1,0)+IF(AND($D6&gt;=$E$41,$E$41&lt;&gt;""),1,0)+IF(AND($D6&gt;=$F$41,$F$41&lt;&gt;""),1,0))),0))</f>
        <v>0</v>
      </c>
      <c r="F6" s="26">
        <f t="shared" ref="F6:F25" si="1">IF(D$40="","",IFERROR((IF($D6&lt;D$41,0,D$40)/(IF($D6&gt;=$C$41,1,0)+IF(AND($D6&gt;=$D$41,$D$41&lt;&gt;""),1,0)+IF(AND($D6&gt;=$E$41,$E$41&lt;&gt;""),1,0)+IF(AND($D6&gt;=$F$41,$F$41&lt;&gt;""),1,0))),0))</f>
        <v>0</v>
      </c>
    </row>
    <row r="7" spans="1:7" x14ac:dyDescent="0.25">
      <c r="A7" s="69">
        <f t="shared" ref="A7:A24" si="2">A6+1</f>
        <v>2025</v>
      </c>
      <c r="B7" s="70">
        <f>SUM(E8:F8)*(1+INFLATION!B8)*(1+FUEL!B7)</f>
        <v>0</v>
      </c>
      <c r="D7" s="14">
        <v>2022</v>
      </c>
      <c r="E7" s="11">
        <f t="shared" si="0"/>
        <v>0</v>
      </c>
      <c r="F7" s="26">
        <f t="shared" si="1"/>
        <v>0</v>
      </c>
    </row>
    <row r="8" spans="1:7" x14ac:dyDescent="0.25">
      <c r="A8" s="69">
        <f t="shared" si="2"/>
        <v>2026</v>
      </c>
      <c r="B8" s="70">
        <f>SUM(E9:F9)*(1+INFLATION!B9)*(1+FUEL!B8)</f>
        <v>0</v>
      </c>
      <c r="D8" s="14">
        <v>2023</v>
      </c>
      <c r="E8" s="11">
        <f t="shared" si="0"/>
        <v>0</v>
      </c>
      <c r="F8" s="26">
        <f t="shared" si="1"/>
        <v>0</v>
      </c>
    </row>
    <row r="9" spans="1:7" x14ac:dyDescent="0.25">
      <c r="A9" s="69">
        <f t="shared" si="2"/>
        <v>2027</v>
      </c>
      <c r="B9" s="70">
        <f>SUM(E10:F10)*(1+INFLATION!B10)*(1+FUEL!B9)</f>
        <v>0</v>
      </c>
      <c r="D9" s="14">
        <v>2024</v>
      </c>
      <c r="E9" s="11">
        <f t="shared" si="0"/>
        <v>0</v>
      </c>
      <c r="F9" s="26">
        <f t="shared" si="1"/>
        <v>0</v>
      </c>
    </row>
    <row r="10" spans="1:7" x14ac:dyDescent="0.25">
      <c r="A10" s="69">
        <f t="shared" si="2"/>
        <v>2028</v>
      </c>
      <c r="B10" s="70">
        <f>SUM(E11:F11)*(1+INFLATION!B11)*(1+FUEL!B10)</f>
        <v>0</v>
      </c>
      <c r="D10" s="14">
        <v>2025</v>
      </c>
      <c r="E10" s="11">
        <f t="shared" si="0"/>
        <v>0</v>
      </c>
      <c r="F10" s="26">
        <f t="shared" si="1"/>
        <v>0</v>
      </c>
    </row>
    <row r="11" spans="1:7" x14ac:dyDescent="0.25">
      <c r="A11" s="69">
        <f t="shared" si="2"/>
        <v>2029</v>
      </c>
      <c r="B11" s="70">
        <f>SUM(E12:F12)*(1+INFLATION!B12)*(1+FUEL!B11)</f>
        <v>0</v>
      </c>
      <c r="D11" s="14">
        <v>2026</v>
      </c>
      <c r="E11" s="11">
        <f t="shared" si="0"/>
        <v>0</v>
      </c>
      <c r="F11" s="26">
        <f t="shared" si="1"/>
        <v>0</v>
      </c>
    </row>
    <row r="12" spans="1:7" x14ac:dyDescent="0.25">
      <c r="A12" s="69">
        <f t="shared" si="2"/>
        <v>2030</v>
      </c>
      <c r="B12" s="70">
        <f>SUM(E13:F13)*(1+INFLATION!B13)*(1+FUEL!B12)</f>
        <v>0</v>
      </c>
      <c r="D12" s="14">
        <v>2027</v>
      </c>
      <c r="E12" s="11">
        <f t="shared" si="0"/>
        <v>0</v>
      </c>
      <c r="F12" s="26">
        <f t="shared" si="1"/>
        <v>0</v>
      </c>
    </row>
    <row r="13" spans="1:7" x14ac:dyDescent="0.25">
      <c r="A13" s="69">
        <f t="shared" si="2"/>
        <v>2031</v>
      </c>
      <c r="B13" s="70">
        <f>SUM(E14:F14)*(1+INFLATION!B14)*(1+FUEL!B13)</f>
        <v>0</v>
      </c>
      <c r="D13" s="14">
        <v>2028</v>
      </c>
      <c r="E13" s="11">
        <f t="shared" si="0"/>
        <v>0</v>
      </c>
      <c r="F13" s="26">
        <f t="shared" si="1"/>
        <v>0</v>
      </c>
    </row>
    <row r="14" spans="1:7" x14ac:dyDescent="0.25">
      <c r="A14" s="69">
        <f t="shared" si="2"/>
        <v>2032</v>
      </c>
      <c r="B14" s="70">
        <f>SUM(E15:F15)*(1+INFLATION!B15)*(1+FUEL!B14)</f>
        <v>0</v>
      </c>
      <c r="D14" s="14">
        <v>2029</v>
      </c>
      <c r="E14" s="11">
        <f t="shared" si="0"/>
        <v>0</v>
      </c>
      <c r="F14" s="26">
        <f t="shared" si="1"/>
        <v>0</v>
      </c>
    </row>
    <row r="15" spans="1:7" x14ac:dyDescent="0.25">
      <c r="A15" s="69">
        <f t="shared" si="2"/>
        <v>2033</v>
      </c>
      <c r="B15" s="70">
        <f>SUM(E16:F16)*(1+INFLATION!B16)*(1+FUEL!B15)</f>
        <v>0</v>
      </c>
      <c r="D15" s="14">
        <v>2030</v>
      </c>
      <c r="E15" s="11">
        <f t="shared" si="0"/>
        <v>0</v>
      </c>
      <c r="F15" s="26">
        <f t="shared" si="1"/>
        <v>0</v>
      </c>
    </row>
    <row r="16" spans="1:7" x14ac:dyDescent="0.25">
      <c r="A16" s="69">
        <f t="shared" si="2"/>
        <v>2034</v>
      </c>
      <c r="B16" s="70">
        <f>SUM(E17:F17)*(1+INFLATION!B17)*(1+FUEL!B16)</f>
        <v>0</v>
      </c>
      <c r="D16" s="14">
        <v>2031</v>
      </c>
      <c r="E16" s="11">
        <f t="shared" si="0"/>
        <v>0</v>
      </c>
      <c r="F16" s="26">
        <f t="shared" si="1"/>
        <v>0</v>
      </c>
    </row>
    <row r="17" spans="1:6" x14ac:dyDescent="0.25">
      <c r="A17" s="69">
        <f t="shared" si="2"/>
        <v>2035</v>
      </c>
      <c r="B17" s="70">
        <f>SUM(E18:F18)*(1+INFLATION!B18)*(1+FUEL!B17)</f>
        <v>0</v>
      </c>
      <c r="D17" s="14">
        <v>2032</v>
      </c>
      <c r="E17" s="11">
        <f t="shared" si="0"/>
        <v>0</v>
      </c>
      <c r="F17" s="26">
        <f t="shared" si="1"/>
        <v>0</v>
      </c>
    </row>
    <row r="18" spans="1:6" x14ac:dyDescent="0.25">
      <c r="A18" s="69">
        <f t="shared" si="2"/>
        <v>2036</v>
      </c>
      <c r="B18" s="70">
        <f>SUM(E19:F19)*(1+INFLATION!B19)*(1+FUEL!B18)</f>
        <v>0</v>
      </c>
      <c r="D18" s="14">
        <v>2033</v>
      </c>
      <c r="E18" s="11">
        <f t="shared" si="0"/>
        <v>0</v>
      </c>
      <c r="F18" s="26">
        <f t="shared" si="1"/>
        <v>0</v>
      </c>
    </row>
    <row r="19" spans="1:6" x14ac:dyDescent="0.25">
      <c r="A19" s="69">
        <f t="shared" si="2"/>
        <v>2037</v>
      </c>
      <c r="B19" s="70">
        <f>SUM(E20:F20)*(1+INFLATION!B20)*(1+FUEL!B19)</f>
        <v>0</v>
      </c>
      <c r="D19" s="14">
        <v>2034</v>
      </c>
      <c r="E19" s="11">
        <f t="shared" si="0"/>
        <v>0</v>
      </c>
      <c r="F19" s="26">
        <f t="shared" si="1"/>
        <v>0</v>
      </c>
    </row>
    <row r="20" spans="1:6" x14ac:dyDescent="0.25">
      <c r="A20" s="69">
        <f t="shared" si="2"/>
        <v>2038</v>
      </c>
      <c r="B20" s="70">
        <f>SUM(E21:F21)*(1+INFLATION!B21)*(1+FUEL!B20)</f>
        <v>0</v>
      </c>
      <c r="D20" s="14">
        <v>2035</v>
      </c>
      <c r="E20" s="11">
        <f t="shared" si="0"/>
        <v>0</v>
      </c>
      <c r="F20" s="26">
        <f t="shared" si="1"/>
        <v>0</v>
      </c>
    </row>
    <row r="21" spans="1:6" x14ac:dyDescent="0.25">
      <c r="A21" s="69">
        <f t="shared" si="2"/>
        <v>2039</v>
      </c>
      <c r="B21" s="70">
        <f>SUM(E22:F22)*(1+INFLATION!B22)*(1+FUEL!B21)</f>
        <v>0</v>
      </c>
      <c r="D21" s="14">
        <v>2036</v>
      </c>
      <c r="E21" s="11">
        <f t="shared" si="0"/>
        <v>0</v>
      </c>
      <c r="F21" s="26">
        <f t="shared" si="1"/>
        <v>0</v>
      </c>
    </row>
    <row r="22" spans="1:6" x14ac:dyDescent="0.25">
      <c r="A22" s="69">
        <f t="shared" si="2"/>
        <v>2040</v>
      </c>
      <c r="B22" s="70">
        <f>SUM(E23:F23)*(1+INFLATION!B23)*(1+FUEL!B22)</f>
        <v>0</v>
      </c>
      <c r="D22" s="14">
        <v>2037</v>
      </c>
      <c r="E22" s="11">
        <f t="shared" si="0"/>
        <v>0</v>
      </c>
      <c r="F22" s="26">
        <f t="shared" si="1"/>
        <v>0</v>
      </c>
    </row>
    <row r="23" spans="1:6" x14ac:dyDescent="0.25">
      <c r="A23" s="69">
        <f t="shared" si="2"/>
        <v>2041</v>
      </c>
      <c r="B23" s="70">
        <f>SUM(E24:F24)*(1+INFLATION!B24)*(1+FUEL!B23)</f>
        <v>0</v>
      </c>
      <c r="D23" s="14">
        <v>2038</v>
      </c>
      <c r="E23" s="11">
        <f t="shared" si="0"/>
        <v>0</v>
      </c>
      <c r="F23" s="26">
        <f t="shared" si="1"/>
        <v>0</v>
      </c>
    </row>
    <row r="24" spans="1:6" ht="15.75" thickBot="1" x14ac:dyDescent="0.3">
      <c r="A24" s="59">
        <f t="shared" si="2"/>
        <v>2042</v>
      </c>
      <c r="B24" s="71">
        <f>SUM(E25:F25)*(1+INFLATION!B25)*(1+FUEL!B24)</f>
        <v>0</v>
      </c>
      <c r="D24" s="14">
        <v>2039</v>
      </c>
      <c r="E24" s="11">
        <f t="shared" si="0"/>
        <v>0</v>
      </c>
      <c r="F24" s="26">
        <f t="shared" si="1"/>
        <v>0</v>
      </c>
    </row>
    <row r="25" spans="1:6" ht="15.75" thickBot="1" x14ac:dyDescent="0.3">
      <c r="D25" s="15">
        <v>2040</v>
      </c>
      <c r="E25" s="72">
        <f t="shared" si="0"/>
        <v>0</v>
      </c>
      <c r="F25" s="27">
        <f t="shared" si="1"/>
        <v>0</v>
      </c>
    </row>
    <row r="26" spans="1:6" ht="15.75" thickBot="1" x14ac:dyDescent="0.3"/>
    <row r="27" spans="1:6" x14ac:dyDescent="0.25">
      <c r="A27" s="192" t="s">
        <v>12</v>
      </c>
      <c r="B27" s="193"/>
      <c r="C27" s="193"/>
      <c r="D27" s="193"/>
      <c r="E27" s="193"/>
      <c r="F27" s="198"/>
    </row>
    <row r="28" spans="1:6" x14ac:dyDescent="0.25">
      <c r="A28" s="194"/>
      <c r="B28" s="195"/>
      <c r="C28" s="195"/>
      <c r="D28" s="195"/>
      <c r="E28" s="195"/>
      <c r="F28" s="199"/>
    </row>
    <row r="29" spans="1:6" ht="15.75" thickBot="1" x14ac:dyDescent="0.3">
      <c r="A29" s="196"/>
      <c r="B29" s="197"/>
      <c r="C29" s="197"/>
      <c r="D29" s="197"/>
      <c r="E29" s="197"/>
      <c r="F29" s="200"/>
    </row>
    <row r="30" spans="1:6" x14ac:dyDescent="0.25">
      <c r="A30" s="12" t="s">
        <v>3</v>
      </c>
      <c r="B30" s="187" t="s">
        <v>26</v>
      </c>
      <c r="C30" s="187"/>
      <c r="D30" s="187" t="s">
        <v>70</v>
      </c>
      <c r="E30" s="187"/>
      <c r="F30" s="188"/>
    </row>
    <row r="31" spans="1:6" x14ac:dyDescent="0.25">
      <c r="A31" s="12" t="s">
        <v>6</v>
      </c>
      <c r="B31" s="187">
        <v>0.74</v>
      </c>
      <c r="C31" s="187"/>
      <c r="D31" s="187">
        <v>0.22046299999999999</v>
      </c>
      <c r="E31" s="187"/>
      <c r="F31" s="188"/>
    </row>
    <row r="32" spans="1:6" ht="15.75" thickBot="1" x14ac:dyDescent="0.3">
      <c r="A32" s="13" t="s">
        <v>7</v>
      </c>
      <c r="B32" s="187">
        <v>2022</v>
      </c>
      <c r="C32" s="187"/>
      <c r="D32" s="187">
        <v>2027</v>
      </c>
      <c r="E32" s="187"/>
      <c r="F32" s="188"/>
    </row>
    <row r="33" spans="1:10" ht="50.25" customHeight="1" thickBot="1" x14ac:dyDescent="0.3">
      <c r="A33" s="23" t="s">
        <v>128</v>
      </c>
      <c r="B33" s="185" t="s">
        <v>129</v>
      </c>
      <c r="C33" s="185"/>
      <c r="D33" s="185" t="s">
        <v>130</v>
      </c>
      <c r="E33" s="185"/>
      <c r="F33" s="186"/>
    </row>
    <row r="35" spans="1:10" ht="15.75" thickBot="1" x14ac:dyDescent="0.3"/>
    <row r="36" spans="1:10" ht="31.5" x14ac:dyDescent="0.5">
      <c r="B36" s="192" t="s">
        <v>12</v>
      </c>
      <c r="C36" s="193"/>
      <c r="D36" s="193"/>
      <c r="E36" s="61"/>
      <c r="F36" s="61"/>
      <c r="G36" s="61"/>
      <c r="H36" s="61"/>
      <c r="I36" s="61"/>
      <c r="J36" s="62"/>
    </row>
    <row r="37" spans="1:10" ht="31.5" x14ac:dyDescent="0.5">
      <c r="B37" s="194"/>
      <c r="C37" s="195"/>
      <c r="D37" s="195"/>
      <c r="E37" s="63"/>
      <c r="F37" s="63"/>
      <c r="G37" s="63"/>
      <c r="H37" s="63"/>
      <c r="I37" s="63"/>
      <c r="J37" s="64"/>
    </row>
    <row r="38" spans="1:10" ht="32.25" thickBot="1" x14ac:dyDescent="0.55000000000000004">
      <c r="B38" s="196"/>
      <c r="C38" s="197"/>
      <c r="D38" s="197"/>
      <c r="E38" s="65"/>
      <c r="F38" s="65"/>
      <c r="G38" s="65"/>
      <c r="H38" s="65"/>
      <c r="I38" s="65"/>
      <c r="J38" s="66"/>
    </row>
    <row r="39" spans="1:10" x14ac:dyDescent="0.25">
      <c r="B39" s="12" t="s">
        <v>3</v>
      </c>
      <c r="C39" s="7" t="s">
        <v>26</v>
      </c>
      <c r="D39" s="7" t="s">
        <v>70</v>
      </c>
      <c r="E39" s="7"/>
      <c r="F39" s="7"/>
      <c r="G39" s="7"/>
      <c r="H39" s="7"/>
      <c r="I39" s="7"/>
      <c r="J39" s="8"/>
    </row>
    <row r="40" spans="1:10" x14ac:dyDescent="0.25">
      <c r="B40" s="12" t="s">
        <v>6</v>
      </c>
      <c r="C40" s="7">
        <v>0</v>
      </c>
      <c r="D40" s="7">
        <v>0</v>
      </c>
      <c r="E40" s="7"/>
      <c r="F40" s="7"/>
      <c r="G40" s="7"/>
      <c r="H40" s="7"/>
      <c r="I40" s="7"/>
      <c r="J40" s="8"/>
    </row>
    <row r="41" spans="1:10" ht="15.75" thickBot="1" x14ac:dyDescent="0.3">
      <c r="B41" s="13" t="s">
        <v>7</v>
      </c>
      <c r="C41" s="9">
        <v>0</v>
      </c>
      <c r="D41" s="9">
        <v>0</v>
      </c>
      <c r="E41" s="9"/>
      <c r="F41" s="9"/>
      <c r="G41" s="9"/>
      <c r="H41" s="9"/>
      <c r="I41" s="9"/>
      <c r="J41" s="10"/>
    </row>
    <row r="42" spans="1:10" ht="15.75" thickBot="1" x14ac:dyDescent="0.3">
      <c r="B42" s="23" t="s">
        <v>128</v>
      </c>
      <c r="C42" s="50" t="s">
        <v>155</v>
      </c>
      <c r="D42" s="50" t="s">
        <v>155</v>
      </c>
      <c r="E42" s="51"/>
      <c r="F42" s="51"/>
      <c r="G42" s="51"/>
      <c r="H42" s="51"/>
      <c r="I42" s="51"/>
      <c r="J42" s="52"/>
    </row>
  </sheetData>
  <mergeCells count="12">
    <mergeCell ref="B36:D38"/>
    <mergeCell ref="A27:F29"/>
    <mergeCell ref="B30:C30"/>
    <mergeCell ref="B31:C31"/>
    <mergeCell ref="B32:C32"/>
    <mergeCell ref="B33:C33"/>
    <mergeCell ref="A1:F1"/>
    <mergeCell ref="D33:F33"/>
    <mergeCell ref="D30:F30"/>
    <mergeCell ref="D31:F31"/>
    <mergeCell ref="D32:F32"/>
    <mergeCell ref="D4:F4"/>
  </mergeCells>
  <pageMargins left="0.7" right="0.7" top="0.75" bottom="0.75" header="0.3" footer="0.3"/>
  <pageSetup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68BB0-F657-479F-BC13-4EF8D89FAC80}">
  <sheetPr>
    <tabColor rgb="FF0070C0"/>
  </sheetPr>
  <dimension ref="A1:BR104"/>
  <sheetViews>
    <sheetView view="pageBreakPreview" zoomScaleNormal="100" zoomScaleSheetLayoutView="100" workbookViewId="0">
      <selection sqref="A1:C3"/>
    </sheetView>
  </sheetViews>
  <sheetFormatPr defaultRowHeight="15" x14ac:dyDescent="0.25"/>
  <cols>
    <col min="1" max="1" width="14" bestFit="1" customWidth="1"/>
    <col min="2" max="2" width="15.140625" bestFit="1" customWidth="1"/>
    <col min="3" max="3" width="7" bestFit="1" customWidth="1"/>
    <col min="4" max="4" width="15.5703125" bestFit="1" customWidth="1"/>
    <col min="5" max="5" width="6.85546875" bestFit="1" customWidth="1"/>
    <col min="6" max="6" width="4.7109375" bestFit="1" customWidth="1"/>
    <col min="7" max="7" width="2.5703125" style="73" customWidth="1"/>
    <col min="8" max="8" width="16.140625" bestFit="1" customWidth="1"/>
    <col min="9" max="9" width="12" bestFit="1" customWidth="1"/>
    <col min="10" max="10" width="11.85546875" customWidth="1"/>
    <col min="12" max="12" width="12" bestFit="1" customWidth="1"/>
  </cols>
  <sheetData>
    <row r="1" spans="1:20" s="40" customFormat="1" ht="33.6" customHeight="1" thickBot="1" x14ac:dyDescent="0.55000000000000004">
      <c r="A1" s="201" t="s">
        <v>144</v>
      </c>
      <c r="B1" s="201"/>
      <c r="C1" s="201"/>
      <c r="D1" s="77" t="s">
        <v>14</v>
      </c>
      <c r="E1" s="24"/>
      <c r="F1" s="24">
        <f>MIN(M12:T12)</f>
        <v>0</v>
      </c>
      <c r="G1" s="73"/>
      <c r="H1" s="241" t="s">
        <v>11</v>
      </c>
      <c r="I1" s="242"/>
      <c r="J1" s="240"/>
    </row>
    <row r="2" spans="1:20" s="40" customFormat="1" x14ac:dyDescent="0.25">
      <c r="A2" s="201"/>
      <c r="B2" s="201"/>
      <c r="C2" s="201"/>
      <c r="G2" s="73"/>
      <c r="H2" s="28" t="s">
        <v>16</v>
      </c>
      <c r="I2" s="20" t="s">
        <v>6</v>
      </c>
      <c r="J2" s="25"/>
    </row>
    <row r="3" spans="1:20" s="40" customFormat="1" ht="15.75" thickBot="1" x14ac:dyDescent="0.3">
      <c r="A3" s="201"/>
      <c r="B3" s="201"/>
      <c r="C3" s="201"/>
      <c r="G3" s="73"/>
      <c r="H3" s="6" t="s">
        <v>73</v>
      </c>
      <c r="I3" s="7">
        <v>4.0015149999999998E-3</v>
      </c>
      <c r="J3" s="26"/>
    </row>
    <row r="4" spans="1:20" ht="15.75" thickBot="1" x14ac:dyDescent="0.3">
      <c r="A4" s="67"/>
      <c r="B4" s="68" t="s">
        <v>132</v>
      </c>
      <c r="D4" s="189" t="s">
        <v>15</v>
      </c>
      <c r="E4" s="190"/>
      <c r="F4" s="191"/>
      <c r="H4" s="6" t="s">
        <v>74</v>
      </c>
      <c r="I4" s="7">
        <v>5.3188799999999998E-3</v>
      </c>
      <c r="J4" s="26"/>
      <c r="L4" s="23" t="s">
        <v>14</v>
      </c>
      <c r="M4" s="24">
        <f>MIN(M12:T12)</f>
        <v>0</v>
      </c>
    </row>
    <row r="5" spans="1:20" x14ac:dyDescent="0.25">
      <c r="A5" s="69">
        <f>'NEW FINAL CALCULATION '!A2</f>
        <v>2023</v>
      </c>
      <c r="B5" s="75">
        <f>(IF(OR(A5&lt;$M$4,$M$4=0),$L$104,SUM(E6:F6)))*(1+FUEL!B5)</f>
        <v>8.7298437144615344E-3</v>
      </c>
      <c r="D5" s="12"/>
      <c r="E5" s="16" t="str">
        <f>IF(M10="","",M10)</f>
        <v>I-5 Exp</v>
      </c>
      <c r="F5" s="17" t="str">
        <f>IF(N10="","",N10)</f>
        <v>GTN</v>
      </c>
      <c r="H5" s="6" t="s">
        <v>75</v>
      </c>
      <c r="I5" s="7">
        <v>1.7326399999999999E-3</v>
      </c>
      <c r="J5" s="26"/>
    </row>
    <row r="6" spans="1:20" ht="15.75" thickBot="1" x14ac:dyDescent="0.3">
      <c r="A6" s="69">
        <f>A5+1</f>
        <v>2024</v>
      </c>
      <c r="B6" s="75">
        <f>(IF(OR(A6&lt;$M$4,$M$4=0),$L$104,SUM(E7:F7)))*(1+FUEL!B6)</f>
        <v>8.7298437144615344E-3</v>
      </c>
      <c r="D6" s="14">
        <f>'NEW FINAL CALCULATION '!A2</f>
        <v>2023</v>
      </c>
      <c r="E6" s="11">
        <f>IF(M$11="","",IFERROR((IF($D6&lt;M$12,0,M$11)/(IF($D6&gt;=$M$12,1,0)+IF(AND($D6&gt;=$N$12,$N$12&lt;&gt;""),1,0)+IF(AND($D6&gt;=$O$12,$O$12&lt;&gt;""),1,0)+IF(AND($D6&gt;=$P$12,$P$12&lt;&gt;""),1,0))),0))</f>
        <v>0</v>
      </c>
      <c r="F6" s="26">
        <f t="shared" ref="F6:F25" si="0">IF(N$11="","",IFERROR((IF($D6&lt;N$12,0,N$11)/(IF($D6&gt;=$M$12,1,0)+IF(AND($D6&gt;=$N$12,$N$12&lt;&gt;""),1,0)+IF(AND($D6&gt;=$O$12,$O$12&lt;&gt;""),1,0)+IF(AND($D6&gt;=$P$12,$P$12&lt;&gt;""),1,0))),0))</f>
        <v>0</v>
      </c>
      <c r="H6" s="6" t="s">
        <v>76</v>
      </c>
      <c r="I6" s="7">
        <v>4.3465600000000002E-3</v>
      </c>
      <c r="J6" s="26"/>
    </row>
    <row r="7" spans="1:20" ht="14.1" customHeight="1" x14ac:dyDescent="0.25">
      <c r="A7" s="69">
        <f t="shared" ref="A7:A24" si="1">A6+1</f>
        <v>2025</v>
      </c>
      <c r="B7" s="75">
        <f>(IF(OR(A7&lt;$M$4,$M$4=0),$L$104,SUM(E8:F8)))*(1+FUEL!B7)</f>
        <v>8.7298437144615344E-3</v>
      </c>
      <c r="D7" s="14">
        <f>D6+1</f>
        <v>2024</v>
      </c>
      <c r="E7" s="11">
        <f t="shared" ref="E7:E25" si="2">IF(M$11="","",IFERROR((IF($D7&lt;M$12,0,M$11)/(IF($D7&gt;=$M$12,1,0)+IF(AND($D7&gt;=$N$12,$N$12&lt;&gt;""),1,0)+IF(AND($D7&gt;=$O$12,$O$12&lt;&gt;""),1,0)+IF(AND($D7&gt;=$P$12,$P$12&lt;&gt;""),1,0))),0))</f>
        <v>0</v>
      </c>
      <c r="F7" s="26">
        <f t="shared" si="0"/>
        <v>0</v>
      </c>
      <c r="H7" s="6" t="s">
        <v>77</v>
      </c>
      <c r="I7" s="7">
        <v>4.5241600000000002E-3</v>
      </c>
      <c r="J7" s="26"/>
      <c r="L7" s="192" t="s">
        <v>13</v>
      </c>
      <c r="M7" s="193"/>
      <c r="N7" s="193"/>
      <c r="O7" s="193"/>
      <c r="P7" s="193"/>
      <c r="Q7" s="193"/>
      <c r="R7" s="193"/>
      <c r="S7" s="193"/>
      <c r="T7" s="198"/>
    </row>
    <row r="8" spans="1:20" ht="14.45" customHeight="1" x14ac:dyDescent="0.25">
      <c r="A8" s="69">
        <f t="shared" si="1"/>
        <v>2026</v>
      </c>
      <c r="B8" s="75">
        <f>(IF(OR(A8&lt;$M$4,$M$4=0),$L$104,SUM(E9:F9)))*(1+FUEL!B8)</f>
        <v>8.7298437144615344E-3</v>
      </c>
      <c r="D8" s="14">
        <f t="shared" ref="D8:D25" si="3">D7+1</f>
        <v>2025</v>
      </c>
      <c r="E8" s="11">
        <f t="shared" si="2"/>
        <v>0</v>
      </c>
      <c r="F8" s="26">
        <f t="shared" si="0"/>
        <v>0</v>
      </c>
      <c r="H8" s="6" t="s">
        <v>78</v>
      </c>
      <c r="I8" s="7">
        <v>6.5625600000000003E-3</v>
      </c>
      <c r="J8" s="26"/>
      <c r="L8" s="194"/>
      <c r="M8" s="195"/>
      <c r="N8" s="195"/>
      <c r="O8" s="195"/>
      <c r="P8" s="195"/>
      <c r="Q8" s="195"/>
      <c r="R8" s="195"/>
      <c r="S8" s="195"/>
      <c r="T8" s="199"/>
    </row>
    <row r="9" spans="1:20" ht="15" customHeight="1" thickBot="1" x14ac:dyDescent="0.3">
      <c r="A9" s="69">
        <f t="shared" si="1"/>
        <v>2027</v>
      </c>
      <c r="B9" s="75">
        <f>(IF(OR(A9&lt;$M$4,$M$4=0),$L$104,SUM(E10:F10)))*(1+FUEL!B9)</f>
        <v>8.7298437144615344E-3</v>
      </c>
      <c r="D9" s="14">
        <f t="shared" si="3"/>
        <v>2026</v>
      </c>
      <c r="E9" s="11">
        <f t="shared" si="2"/>
        <v>0</v>
      </c>
      <c r="F9" s="26">
        <f t="shared" si="0"/>
        <v>0</v>
      </c>
      <c r="H9" s="6" t="s">
        <v>79</v>
      </c>
      <c r="I9" s="7">
        <v>6.8304000000000004E-3</v>
      </c>
      <c r="J9" s="26"/>
      <c r="L9" s="196"/>
      <c r="M9" s="197"/>
      <c r="N9" s="197"/>
      <c r="O9" s="197"/>
      <c r="P9" s="197"/>
      <c r="Q9" s="197"/>
      <c r="R9" s="197"/>
      <c r="S9" s="197"/>
      <c r="T9" s="200"/>
    </row>
    <row r="10" spans="1:20" x14ac:dyDescent="0.25">
      <c r="A10" s="69">
        <f t="shared" si="1"/>
        <v>2028</v>
      </c>
      <c r="B10" s="75">
        <f>(IF(OR(A10&lt;$M$4,$M$4=0),$L$104,SUM(E11:F11)))*(1+FUEL!B10)</f>
        <v>8.7298437144615344E-3</v>
      </c>
      <c r="D10" s="14">
        <f t="shared" si="3"/>
        <v>2027</v>
      </c>
      <c r="E10" s="11">
        <f t="shared" si="2"/>
        <v>0</v>
      </c>
      <c r="F10" s="26">
        <f t="shared" si="0"/>
        <v>0</v>
      </c>
      <c r="H10" s="6" t="s">
        <v>80</v>
      </c>
      <c r="I10" s="7">
        <v>7.0127999999999996E-3</v>
      </c>
      <c r="J10" s="26"/>
      <c r="L10" s="28"/>
      <c r="M10" s="20" t="str">
        <f>IF('INCRM FIXED TRANSPORT'!C39="","",'INCRM FIXED TRANSPORT'!C39)</f>
        <v>I-5 Exp</v>
      </c>
      <c r="N10" s="20" t="str">
        <f>IF('INCRM FIXED TRANSPORT'!D39="","",'INCRM FIXED TRANSPORT'!D39)</f>
        <v>GTN</v>
      </c>
      <c r="O10" s="20" t="str">
        <f>IF('INCRM FIXED TRANSPORT'!E39="","",'INCRM FIXED TRANSPORT'!E39)</f>
        <v/>
      </c>
      <c r="P10" s="20" t="str">
        <f>IF('INCRM FIXED TRANSPORT'!F39="","",'INCRM FIXED TRANSPORT'!F39)</f>
        <v/>
      </c>
      <c r="Q10" s="20" t="str">
        <f>IF('INCRM FIXED TRANSPORT'!G39="","",'INCRM FIXED TRANSPORT'!G39)</f>
        <v/>
      </c>
      <c r="R10" s="20" t="str">
        <f>IF('INCRM FIXED TRANSPORT'!H39="","",'INCRM FIXED TRANSPORT'!H39)</f>
        <v/>
      </c>
      <c r="S10" s="20" t="str">
        <f>IF('INCRM FIXED TRANSPORT'!I39="","",'INCRM FIXED TRANSPORT'!I39)</f>
        <v/>
      </c>
      <c r="T10" s="21" t="str">
        <f>IF('INCRM FIXED TRANSPORT'!J39="","",'INCRM FIXED TRANSPORT'!J39)</f>
        <v/>
      </c>
    </row>
    <row r="11" spans="1:20" ht="15.75" thickBot="1" x14ac:dyDescent="0.3">
      <c r="A11" s="69">
        <f t="shared" si="1"/>
        <v>2029</v>
      </c>
      <c r="B11" s="75">
        <f>(IF(OR(A11&lt;$M$4,$M$4=0),$L$104,SUM(E12:F12)))*(1+FUEL!B11)</f>
        <v>8.7298437144615344E-3</v>
      </c>
      <c r="D11" s="14">
        <f t="shared" si="3"/>
        <v>2028</v>
      </c>
      <c r="E11" s="11">
        <f t="shared" si="2"/>
        <v>0</v>
      </c>
      <c r="F11" s="26">
        <f t="shared" si="0"/>
        <v>0</v>
      </c>
      <c r="H11" s="6" t="s">
        <v>81</v>
      </c>
      <c r="I11" s="7">
        <v>7.2721599999999997E-3</v>
      </c>
      <c r="J11" s="26"/>
      <c r="L11" s="12" t="s">
        <v>6</v>
      </c>
      <c r="M11" s="7">
        <v>0</v>
      </c>
      <c r="N11" s="7">
        <v>0</v>
      </c>
      <c r="O11" s="7"/>
      <c r="P11" s="7"/>
      <c r="Q11" s="7"/>
      <c r="R11" s="7"/>
      <c r="S11" s="7"/>
      <c r="T11" s="8"/>
    </row>
    <row r="12" spans="1:20" ht="15.75" thickBot="1" x14ac:dyDescent="0.3">
      <c r="A12" s="69">
        <f t="shared" si="1"/>
        <v>2030</v>
      </c>
      <c r="B12" s="75">
        <f>(IF(OR(A12&lt;$M$4,$M$4=0),$L$104,SUM(E13:F13)))*(1+FUEL!B12)</f>
        <v>8.7298437144615344E-3</v>
      </c>
      <c r="D12" s="14">
        <f t="shared" si="3"/>
        <v>2029</v>
      </c>
      <c r="E12" s="11">
        <f t="shared" si="2"/>
        <v>0</v>
      </c>
      <c r="F12" s="26">
        <f t="shared" si="0"/>
        <v>0</v>
      </c>
      <c r="H12" s="6" t="s">
        <v>82</v>
      </c>
      <c r="I12" s="7">
        <v>7.5070400000000004E-3</v>
      </c>
      <c r="J12" s="26"/>
      <c r="L12" s="13" t="s">
        <v>7</v>
      </c>
      <c r="M12" s="20">
        <f>IF('INCRM FIXED TRANSPORT'!C41="","",'INCRM FIXED TRANSPORT'!C41)</f>
        <v>0</v>
      </c>
      <c r="N12" s="20">
        <f>IF('INCRM FIXED TRANSPORT'!D41="","",'INCRM FIXED TRANSPORT'!D41)</f>
        <v>0</v>
      </c>
      <c r="O12" s="20" t="str">
        <f>IF('INCRM FIXED TRANSPORT'!E41="","",'INCRM FIXED TRANSPORT'!E41)</f>
        <v/>
      </c>
      <c r="P12" s="20" t="str">
        <f>IF('INCRM FIXED TRANSPORT'!F41="","",'INCRM FIXED TRANSPORT'!F41)</f>
        <v/>
      </c>
      <c r="Q12" s="20" t="str">
        <f>IF('INCRM FIXED TRANSPORT'!G41="","",'INCRM FIXED TRANSPORT'!G41)</f>
        <v/>
      </c>
      <c r="R12" s="20" t="str">
        <f>IF('INCRM FIXED TRANSPORT'!H41="","",'INCRM FIXED TRANSPORT'!H41)</f>
        <v/>
      </c>
      <c r="S12" s="20" t="str">
        <f>IF('INCRM FIXED TRANSPORT'!I41="","",'INCRM FIXED TRANSPORT'!I41)</f>
        <v/>
      </c>
      <c r="T12" s="20" t="str">
        <f>IF('INCRM FIXED TRANSPORT'!J41="","",'INCRM FIXED TRANSPORT'!J41)</f>
        <v/>
      </c>
    </row>
    <row r="13" spans="1:20" ht="15.75" thickBot="1" x14ac:dyDescent="0.3">
      <c r="A13" s="69">
        <f t="shared" si="1"/>
        <v>2031</v>
      </c>
      <c r="B13" s="75">
        <f>(IF(OR(A13&lt;$M$4,$M$4=0),$L$104,SUM(E14:F14)))*(1+FUEL!B13)</f>
        <v>8.7298437144615344E-3</v>
      </c>
      <c r="D13" s="14">
        <f t="shared" si="3"/>
        <v>2030</v>
      </c>
      <c r="E13" s="11">
        <f t="shared" si="2"/>
        <v>0</v>
      </c>
      <c r="F13" s="26">
        <f t="shared" si="0"/>
        <v>0</v>
      </c>
      <c r="H13" s="6" t="s">
        <v>83</v>
      </c>
      <c r="I13" s="7">
        <v>7.7424E-3</v>
      </c>
      <c r="J13" s="26"/>
    </row>
    <row r="14" spans="1:20" ht="14.45" customHeight="1" x14ac:dyDescent="0.25">
      <c r="A14" s="69">
        <f t="shared" si="1"/>
        <v>2032</v>
      </c>
      <c r="B14" s="75">
        <f>(IF(OR(A14&lt;$M$4,$M$4=0),$L$104,SUM(E15:F15)))*(1+FUEL!B14)</f>
        <v>8.7298437144615344E-3</v>
      </c>
      <c r="D14" s="14">
        <f t="shared" si="3"/>
        <v>2031</v>
      </c>
      <c r="E14" s="11">
        <f t="shared" si="2"/>
        <v>0</v>
      </c>
      <c r="F14" s="26">
        <f t="shared" si="0"/>
        <v>0</v>
      </c>
      <c r="H14" s="6" t="s">
        <v>84</v>
      </c>
      <c r="I14" s="7">
        <v>8.0155199999999999E-3</v>
      </c>
      <c r="J14" s="26"/>
      <c r="M14" s="5"/>
      <c r="N14" s="202" t="s">
        <v>11</v>
      </c>
      <c r="O14" s="203"/>
      <c r="P14" s="204"/>
    </row>
    <row r="15" spans="1:20" ht="14.45" customHeight="1" x14ac:dyDescent="0.25">
      <c r="A15" s="69">
        <f t="shared" si="1"/>
        <v>2033</v>
      </c>
      <c r="B15" s="75">
        <f>(IF(OR(A15&lt;$M$4,$M$4=0),$L$104,SUM(E16:F16)))*(1+FUEL!B15)</f>
        <v>8.7298437144615344E-3</v>
      </c>
      <c r="D15" s="14">
        <f t="shared" si="3"/>
        <v>2032</v>
      </c>
      <c r="E15" s="11">
        <f t="shared" si="2"/>
        <v>0</v>
      </c>
      <c r="F15" s="26">
        <f t="shared" si="0"/>
        <v>0</v>
      </c>
      <c r="H15" s="6" t="s">
        <v>85</v>
      </c>
      <c r="I15" s="7">
        <v>8.3110400000000004E-3</v>
      </c>
      <c r="J15" s="26"/>
      <c r="L15" s="5"/>
      <c r="M15" s="5"/>
      <c r="N15" s="205"/>
      <c r="O15" s="206"/>
      <c r="P15" s="207"/>
    </row>
    <row r="16" spans="1:20" ht="14.45" customHeight="1" x14ac:dyDescent="0.25">
      <c r="A16" s="69">
        <f t="shared" si="1"/>
        <v>2034</v>
      </c>
      <c r="B16" s="75">
        <f>(IF(OR(A16&lt;$M$4,$M$4=0),$L$104,SUM(E17:F17)))*(1+FUEL!B16)</f>
        <v>8.7298437144615344E-3</v>
      </c>
      <c r="D16" s="14">
        <f t="shared" si="3"/>
        <v>2033</v>
      </c>
      <c r="E16" s="11">
        <f t="shared" si="2"/>
        <v>0</v>
      </c>
      <c r="F16" s="26">
        <f t="shared" si="0"/>
        <v>0</v>
      </c>
      <c r="H16" s="6" t="s">
        <v>86</v>
      </c>
      <c r="I16" s="7">
        <v>9.79936E-3</v>
      </c>
      <c r="J16" s="26"/>
      <c r="L16" s="5"/>
      <c r="M16" s="5"/>
      <c r="N16" s="205"/>
      <c r="O16" s="206"/>
      <c r="P16" s="207"/>
    </row>
    <row r="17" spans="1:16" ht="15" customHeight="1" thickBot="1" x14ac:dyDescent="0.3">
      <c r="A17" s="69">
        <f t="shared" si="1"/>
        <v>2035</v>
      </c>
      <c r="B17" s="75">
        <f>(IF(OR(A17&lt;$M$4,$M$4=0),$L$104,SUM(E18:F18)))*(1+FUEL!B17)</f>
        <v>8.7298437144615344E-3</v>
      </c>
      <c r="D17" s="14">
        <f t="shared" si="3"/>
        <v>2034</v>
      </c>
      <c r="E17" s="11">
        <f t="shared" si="2"/>
        <v>0</v>
      </c>
      <c r="F17" s="26">
        <f t="shared" si="0"/>
        <v>0</v>
      </c>
      <c r="H17" s="6" t="s">
        <v>87</v>
      </c>
      <c r="I17" s="7">
        <v>0.03</v>
      </c>
      <c r="J17" s="26"/>
      <c r="L17" s="5"/>
      <c r="M17" s="5"/>
      <c r="N17" s="208"/>
      <c r="O17" s="209"/>
      <c r="P17" s="210"/>
    </row>
    <row r="18" spans="1:16" x14ac:dyDescent="0.25">
      <c r="A18" s="69">
        <f t="shared" si="1"/>
        <v>2036</v>
      </c>
      <c r="B18" s="75">
        <f>(IF(OR(A18&lt;$M$4,$M$4=0),$L$104,SUM(E19:F19)))*(1+FUEL!B18)</f>
        <v>8.7298437144615344E-3</v>
      </c>
      <c r="D18" s="14">
        <f t="shared" si="3"/>
        <v>2035</v>
      </c>
      <c r="E18" s="11">
        <f t="shared" si="2"/>
        <v>0</v>
      </c>
      <c r="F18" s="26">
        <f t="shared" si="0"/>
        <v>0</v>
      </c>
      <c r="H18" s="6" t="s">
        <v>88</v>
      </c>
      <c r="I18" s="7">
        <v>0.03</v>
      </c>
      <c r="J18" s="26"/>
      <c r="K18" s="28" t="s">
        <v>16</v>
      </c>
      <c r="L18" s="20" t="s">
        <v>6</v>
      </c>
      <c r="M18" s="2"/>
      <c r="P18" s="25"/>
    </row>
    <row r="19" spans="1:16" x14ac:dyDescent="0.25">
      <c r="A19" s="69">
        <f t="shared" si="1"/>
        <v>2037</v>
      </c>
      <c r="B19" s="75">
        <f>(IF(OR(A19&lt;$M$4,$M$4=0),$L$104,SUM(E20:F20)))*(1+FUEL!B19)</f>
        <v>8.7298437144615344E-3</v>
      </c>
      <c r="D19" s="14">
        <f t="shared" si="3"/>
        <v>2036</v>
      </c>
      <c r="E19" s="11">
        <f t="shared" si="2"/>
        <v>0</v>
      </c>
      <c r="F19" s="26">
        <f t="shared" si="0"/>
        <v>0</v>
      </c>
      <c r="H19" s="6" t="s">
        <v>89</v>
      </c>
      <c r="I19" s="7">
        <v>0.03</v>
      </c>
      <c r="J19" s="26"/>
      <c r="K19" s="89" t="s">
        <v>73</v>
      </c>
      <c r="L19" s="89">
        <v>5.3188799999999998E-3</v>
      </c>
      <c r="M19" s="2"/>
      <c r="P19" s="26"/>
    </row>
    <row r="20" spans="1:16" x14ac:dyDescent="0.25">
      <c r="A20" s="69">
        <f t="shared" si="1"/>
        <v>2038</v>
      </c>
      <c r="B20" s="75">
        <f>(IF(OR(A20&lt;$M$4,$M$4=0),$L$104,SUM(E21:F21)))*(1+FUEL!B20)</f>
        <v>8.7298437144615344E-3</v>
      </c>
      <c r="D20" s="14">
        <f t="shared" si="3"/>
        <v>2037</v>
      </c>
      <c r="E20" s="11">
        <f t="shared" si="2"/>
        <v>0</v>
      </c>
      <c r="F20" s="26">
        <f t="shared" si="0"/>
        <v>0</v>
      </c>
      <c r="H20" s="6" t="s">
        <v>90</v>
      </c>
      <c r="I20" s="7">
        <v>0.03</v>
      </c>
      <c r="J20" s="26"/>
      <c r="K20" s="89" t="s">
        <v>74</v>
      </c>
      <c r="L20" s="89">
        <v>5.3188799999999998E-3</v>
      </c>
      <c r="M20" s="2"/>
      <c r="P20" s="26"/>
    </row>
    <row r="21" spans="1:16" x14ac:dyDescent="0.25">
      <c r="A21" s="69">
        <f t="shared" si="1"/>
        <v>2039</v>
      </c>
      <c r="B21" s="75">
        <f>(IF(OR(A21&lt;$M$4,$M$4=0),$L$104,SUM(E22:F22)))*(1+FUEL!B21)</f>
        <v>8.7298437144615344E-3</v>
      </c>
      <c r="D21" s="14">
        <f t="shared" si="3"/>
        <v>2038</v>
      </c>
      <c r="E21" s="11">
        <f t="shared" si="2"/>
        <v>0</v>
      </c>
      <c r="F21" s="26">
        <f t="shared" si="0"/>
        <v>0</v>
      </c>
      <c r="H21" s="6" t="s">
        <v>91</v>
      </c>
      <c r="I21" s="7">
        <v>0.03</v>
      </c>
      <c r="J21" s="26"/>
      <c r="K21" s="89" t="s">
        <v>75</v>
      </c>
      <c r="L21" s="89">
        <v>1.7326399999999999E-3</v>
      </c>
      <c r="M21" s="2"/>
      <c r="P21" s="26"/>
    </row>
    <row r="22" spans="1:16" x14ac:dyDescent="0.25">
      <c r="A22" s="69">
        <f t="shared" si="1"/>
        <v>2040</v>
      </c>
      <c r="B22" s="75">
        <f>(IF(OR(A22&lt;$M$4,$M$4=0),$L$104,SUM(E23:F23)))*(1+FUEL!B22)</f>
        <v>8.7298437144615344E-3</v>
      </c>
      <c r="D22" s="14">
        <f t="shared" si="3"/>
        <v>2039</v>
      </c>
      <c r="E22" s="11">
        <f t="shared" si="2"/>
        <v>0</v>
      </c>
      <c r="F22" s="26">
        <f t="shared" si="0"/>
        <v>0</v>
      </c>
      <c r="H22" s="6" t="s">
        <v>92</v>
      </c>
      <c r="I22" s="7">
        <v>0.03</v>
      </c>
      <c r="J22" s="26"/>
      <c r="K22" s="89" t="s">
        <v>76</v>
      </c>
      <c r="L22" s="89">
        <v>4.3465600000000002E-3</v>
      </c>
      <c r="M22" s="2"/>
      <c r="P22" s="26"/>
    </row>
    <row r="23" spans="1:16" x14ac:dyDescent="0.25">
      <c r="A23" s="69">
        <f t="shared" si="1"/>
        <v>2041</v>
      </c>
      <c r="B23" s="75">
        <f>(IF(OR(A23&lt;$M$4,$M$4=0),$L$104,SUM(E24:F24)))*(1+FUEL!B23)</f>
        <v>8.7298437144615344E-3</v>
      </c>
      <c r="D23" s="14">
        <f t="shared" si="3"/>
        <v>2040</v>
      </c>
      <c r="E23" s="11">
        <f t="shared" si="2"/>
        <v>0</v>
      </c>
      <c r="F23" s="26">
        <f t="shared" si="0"/>
        <v>0</v>
      </c>
      <c r="H23" s="6" t="s">
        <v>93</v>
      </c>
      <c r="I23" s="7">
        <v>0.03</v>
      </c>
      <c r="J23" s="26"/>
      <c r="K23" s="89" t="s">
        <v>77</v>
      </c>
      <c r="L23" s="89">
        <v>4.5241600000000002E-3</v>
      </c>
      <c r="M23" s="2"/>
      <c r="P23" s="26"/>
    </row>
    <row r="24" spans="1:16" ht="15.75" thickBot="1" x14ac:dyDescent="0.3">
      <c r="A24" s="59">
        <f t="shared" si="1"/>
        <v>2042</v>
      </c>
      <c r="B24" s="142">
        <f>(IF(OR(A24&lt;$M$4,$M$4=0),$L$104,SUM(E25:F25)))*(1+FUEL!B24)</f>
        <v>8.7298437144615344E-3</v>
      </c>
      <c r="D24" s="14">
        <f t="shared" si="3"/>
        <v>2041</v>
      </c>
      <c r="E24" s="11">
        <f t="shared" si="2"/>
        <v>0</v>
      </c>
      <c r="F24" s="26">
        <f t="shared" si="0"/>
        <v>0</v>
      </c>
      <c r="H24" s="6" t="s">
        <v>94</v>
      </c>
      <c r="I24" s="7">
        <v>0.03</v>
      </c>
      <c r="J24" s="26"/>
      <c r="K24" s="89" t="s">
        <v>78</v>
      </c>
      <c r="L24" s="89">
        <v>6.5625600000000003E-3</v>
      </c>
      <c r="P24" s="26"/>
    </row>
    <row r="25" spans="1:16" ht="15.75" thickBot="1" x14ac:dyDescent="0.3">
      <c r="D25" s="15">
        <f t="shared" si="3"/>
        <v>2042</v>
      </c>
      <c r="E25" s="72">
        <f t="shared" si="2"/>
        <v>0</v>
      </c>
      <c r="F25" s="27">
        <f t="shared" si="0"/>
        <v>0</v>
      </c>
      <c r="H25" s="6" t="s">
        <v>95</v>
      </c>
      <c r="I25" s="7">
        <v>0.03</v>
      </c>
      <c r="J25" s="26"/>
      <c r="K25" s="89" t="s">
        <v>79</v>
      </c>
      <c r="L25" s="89">
        <v>6.8304000000000004E-3</v>
      </c>
      <c r="P25" s="26"/>
    </row>
    <row r="26" spans="1:16" s="40" customFormat="1" x14ac:dyDescent="0.25">
      <c r="D26" s="76"/>
      <c r="E26" s="76"/>
      <c r="F26" s="76"/>
      <c r="G26" s="73"/>
      <c r="H26" s="6"/>
      <c r="I26" s="7"/>
      <c r="J26" s="26"/>
      <c r="K26" s="89" t="s">
        <v>80</v>
      </c>
      <c r="L26" s="89">
        <v>7.0127999999999996E-3</v>
      </c>
      <c r="P26" s="26"/>
    </row>
    <row r="27" spans="1:16" x14ac:dyDescent="0.25">
      <c r="H27" s="6" t="s">
        <v>96</v>
      </c>
      <c r="I27" s="7">
        <v>0.03</v>
      </c>
      <c r="J27" s="26"/>
      <c r="K27" s="89" t="s">
        <v>81</v>
      </c>
      <c r="L27" s="89">
        <v>7.2721599999999997E-3</v>
      </c>
      <c r="P27" s="26"/>
    </row>
    <row r="28" spans="1:16" x14ac:dyDescent="0.25">
      <c r="H28" s="6" t="s">
        <v>97</v>
      </c>
      <c r="I28" s="7">
        <v>0.03</v>
      </c>
      <c r="J28" s="26"/>
      <c r="K28" s="89" t="s">
        <v>82</v>
      </c>
      <c r="L28" s="89">
        <v>7.5070400000000004E-3</v>
      </c>
      <c r="P28" s="26"/>
    </row>
    <row r="29" spans="1:16" ht="14.45" customHeight="1" x14ac:dyDescent="0.25">
      <c r="G29" s="40"/>
      <c r="H29" s="6" t="s">
        <v>98</v>
      </c>
      <c r="I29" s="7">
        <v>0.03</v>
      </c>
      <c r="J29" s="26"/>
      <c r="K29" s="89" t="s">
        <v>83</v>
      </c>
      <c r="L29" s="89">
        <v>7.7424E-3</v>
      </c>
      <c r="P29" s="26"/>
    </row>
    <row r="30" spans="1:16" ht="14.45" customHeight="1" x14ac:dyDescent="0.25">
      <c r="G30" s="40"/>
      <c r="H30" s="6" t="s">
        <v>99</v>
      </c>
      <c r="I30" s="7">
        <v>0.03</v>
      </c>
      <c r="J30" s="26"/>
      <c r="K30" s="89" t="s">
        <v>84</v>
      </c>
      <c r="L30" s="89">
        <v>8.0155199999999999E-3</v>
      </c>
      <c r="P30" s="26"/>
    </row>
    <row r="31" spans="1:16" ht="15" customHeight="1" x14ac:dyDescent="0.25">
      <c r="G31" s="40"/>
      <c r="H31" s="6" t="s">
        <v>100</v>
      </c>
      <c r="I31" s="7">
        <v>0.03</v>
      </c>
      <c r="J31" s="26"/>
      <c r="K31" s="89" t="s">
        <v>85</v>
      </c>
      <c r="L31" s="89">
        <v>8.3110400000000004E-3</v>
      </c>
      <c r="P31" s="26"/>
    </row>
    <row r="32" spans="1:16" ht="15" customHeight="1" x14ac:dyDescent="0.25">
      <c r="G32" s="40" t="str">
        <f>IF('INCRM FIXED TRANSPORT'!G30="","",'INCRM FIXED TRANSPORT'!G30)</f>
        <v/>
      </c>
      <c r="H32" s="6" t="s">
        <v>101</v>
      </c>
      <c r="I32" s="7">
        <v>0.03</v>
      </c>
      <c r="J32" s="26"/>
      <c r="K32" s="89" t="s">
        <v>86</v>
      </c>
      <c r="L32" s="89">
        <v>9.79936E-3</v>
      </c>
      <c r="P32" s="26"/>
    </row>
    <row r="33" spans="1:70" x14ac:dyDescent="0.25">
      <c r="G33" s="40"/>
      <c r="H33" s="6" t="s">
        <v>102</v>
      </c>
      <c r="I33" s="7">
        <v>0.01</v>
      </c>
      <c r="J33" s="26"/>
      <c r="K33" s="89" t="s">
        <v>156</v>
      </c>
      <c r="L33" s="89">
        <v>9.79936E-3</v>
      </c>
      <c r="P33" s="26"/>
    </row>
    <row r="34" spans="1:70" ht="15.75" thickBot="1" x14ac:dyDescent="0.3">
      <c r="G34" s="40" t="str">
        <f>IF('INCRM FIXED TRANSPORT'!G32="","",'INCRM FIXED TRANSPORT'!G32)</f>
        <v/>
      </c>
      <c r="H34" s="22" t="s">
        <v>103</v>
      </c>
      <c r="I34" s="9">
        <v>9.79936E-3</v>
      </c>
      <c r="J34" s="27"/>
      <c r="K34" s="89" t="s">
        <v>157</v>
      </c>
      <c r="L34" s="89">
        <v>9.79936E-3</v>
      </c>
      <c r="M34" s="40"/>
      <c r="N34" s="40"/>
      <c r="O34" s="40"/>
      <c r="P34" s="26"/>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v>9.79936E-3</v>
      </c>
    </row>
    <row r="35" spans="1:70" x14ac:dyDescent="0.25">
      <c r="H35" s="19" t="s">
        <v>17</v>
      </c>
      <c r="I35" s="19">
        <v>2.7487460000000009E-2</v>
      </c>
      <c r="K35" s="89" t="s">
        <v>87</v>
      </c>
      <c r="L35" s="89">
        <v>8.3199999999999993E-3</v>
      </c>
      <c r="M35" s="26"/>
    </row>
    <row r="36" spans="1:70" ht="15.75" thickBot="1" x14ac:dyDescent="0.3">
      <c r="K36" s="89" t="s">
        <v>111</v>
      </c>
      <c r="L36" s="89">
        <v>8.3199999999999993E-3</v>
      </c>
      <c r="M36" s="26"/>
    </row>
    <row r="37" spans="1:70" x14ac:dyDescent="0.25">
      <c r="A37" s="192" t="s">
        <v>13</v>
      </c>
      <c r="B37" s="193"/>
      <c r="C37" s="198"/>
      <c r="K37" s="89" t="s">
        <v>158</v>
      </c>
      <c r="L37" s="89">
        <v>8.3199999999999993E-3</v>
      </c>
      <c r="M37" s="26"/>
    </row>
    <row r="38" spans="1:70" x14ac:dyDescent="0.25">
      <c r="A38" s="194"/>
      <c r="B38" s="195"/>
      <c r="C38" s="199"/>
      <c r="K38" s="89" t="s">
        <v>89</v>
      </c>
      <c r="L38" s="89">
        <v>8.3199999999999993E-3</v>
      </c>
      <c r="M38" s="26"/>
    </row>
    <row r="39" spans="1:70" ht="15.75" thickBot="1" x14ac:dyDescent="0.3">
      <c r="A39" s="196"/>
      <c r="B39" s="197"/>
      <c r="C39" s="200"/>
      <c r="K39" s="89" t="s">
        <v>159</v>
      </c>
      <c r="L39" s="89">
        <v>8.3199999999999993E-3</v>
      </c>
      <c r="M39" s="26"/>
    </row>
    <row r="40" spans="1:70" x14ac:dyDescent="0.25">
      <c r="A40" s="28"/>
      <c r="B40" s="20" t="str">
        <f>IF('INCRM FIXED TRANSPORT'!B30="","",'INCRM FIXED TRANSPORT'!B30)</f>
        <v>I-5 Exp</v>
      </c>
      <c r="C40" s="21" t="str">
        <f>IF('INCRM FIXED TRANSPORT'!D30="","",'INCRM FIXED TRANSPORT'!D30)</f>
        <v>GTN</v>
      </c>
      <c r="K40" s="89" t="s">
        <v>160</v>
      </c>
      <c r="L40" s="89">
        <v>8.3199999999999993E-3</v>
      </c>
      <c r="M40" s="26"/>
    </row>
    <row r="41" spans="1:70" ht="15.75" thickBot="1" x14ac:dyDescent="0.3">
      <c r="A41" s="12" t="s">
        <v>6</v>
      </c>
      <c r="B41" s="7">
        <v>0.03</v>
      </c>
      <c r="C41" s="8">
        <v>6.8999999999999999E-3</v>
      </c>
      <c r="K41" s="89" t="s">
        <v>161</v>
      </c>
      <c r="L41" s="89">
        <v>8.3199999999999993E-3</v>
      </c>
      <c r="M41" s="26"/>
    </row>
    <row r="42" spans="1:70" ht="15.75" thickBot="1" x14ac:dyDescent="0.3">
      <c r="A42" s="13" t="s">
        <v>7</v>
      </c>
      <c r="B42" s="74">
        <f>IF('INCRM FIXED TRANSPORT'!B32="","",'INCRM FIXED TRANSPORT'!B32)</f>
        <v>2022</v>
      </c>
      <c r="C42" s="24">
        <f>IF('INCRM FIXED TRANSPORT'!D32="","",'INCRM FIXED TRANSPORT'!D32)</f>
        <v>2027</v>
      </c>
      <c r="K42" s="89" t="s">
        <v>162</v>
      </c>
      <c r="L42" s="89">
        <v>8.3199999999999993E-3</v>
      </c>
      <c r="M42" s="26"/>
    </row>
    <row r="43" spans="1:70" x14ac:dyDescent="0.25">
      <c r="K43" s="89" t="s">
        <v>113</v>
      </c>
      <c r="L43" s="89">
        <v>8.3199999999999993E-3</v>
      </c>
      <c r="M43" s="26"/>
    </row>
    <row r="44" spans="1:70" x14ac:dyDescent="0.25">
      <c r="K44" s="89" t="s">
        <v>114</v>
      </c>
      <c r="L44" s="89">
        <v>8.3199999999999993E-3</v>
      </c>
      <c r="M44" s="26"/>
    </row>
    <row r="45" spans="1:70" x14ac:dyDescent="0.25">
      <c r="K45" s="89" t="s">
        <v>90</v>
      </c>
      <c r="L45" s="89">
        <v>8.3199999999999993E-3</v>
      </c>
      <c r="M45" s="26"/>
    </row>
    <row r="46" spans="1:70" x14ac:dyDescent="0.25">
      <c r="K46" s="89" t="s">
        <v>91</v>
      </c>
      <c r="L46" s="89">
        <v>8.3199999999999993E-3</v>
      </c>
      <c r="M46" s="26"/>
    </row>
    <row r="47" spans="1:70" x14ac:dyDescent="0.25">
      <c r="K47" s="89" t="s">
        <v>115</v>
      </c>
      <c r="L47" s="89">
        <v>8.3199999999999993E-3</v>
      </c>
      <c r="M47" s="26"/>
    </row>
    <row r="48" spans="1:70" x14ac:dyDescent="0.25">
      <c r="K48" s="89" t="s">
        <v>163</v>
      </c>
      <c r="L48" s="89">
        <v>8.3199999999999993E-3</v>
      </c>
      <c r="M48" s="26"/>
    </row>
    <row r="49" spans="11:13" x14ac:dyDescent="0.25">
      <c r="K49" s="89" t="s">
        <v>203</v>
      </c>
      <c r="L49" s="89">
        <v>8.3199999999999993E-3</v>
      </c>
      <c r="M49" s="26"/>
    </row>
    <row r="50" spans="11:13" x14ac:dyDescent="0.25">
      <c r="K50" s="89" t="s">
        <v>204</v>
      </c>
      <c r="L50" s="89">
        <v>8.3199999999999993E-3</v>
      </c>
      <c r="M50" s="26"/>
    </row>
    <row r="51" spans="11:13" x14ac:dyDescent="0.25">
      <c r="K51" s="89" t="s">
        <v>205</v>
      </c>
      <c r="L51" s="89">
        <v>8.3199999999999993E-3</v>
      </c>
      <c r="M51" s="26"/>
    </row>
    <row r="52" spans="11:13" x14ac:dyDescent="0.25">
      <c r="K52" s="89" t="s">
        <v>206</v>
      </c>
      <c r="L52" s="89">
        <v>8.3199999999999993E-3</v>
      </c>
      <c r="M52" s="26"/>
    </row>
    <row r="53" spans="11:13" x14ac:dyDescent="0.25">
      <c r="K53" s="89" t="s">
        <v>164</v>
      </c>
      <c r="L53" s="89">
        <v>8.3199999999999993E-3</v>
      </c>
      <c r="M53" s="26"/>
    </row>
    <row r="54" spans="11:13" x14ac:dyDescent="0.25">
      <c r="K54" s="89" t="s">
        <v>165</v>
      </c>
      <c r="L54" s="89">
        <v>8.3199999999999993E-3</v>
      </c>
      <c r="M54" s="26"/>
    </row>
    <row r="55" spans="11:13" x14ac:dyDescent="0.25">
      <c r="K55" s="89" t="s">
        <v>166</v>
      </c>
      <c r="L55" s="89">
        <v>8.3199999999999993E-3</v>
      </c>
      <c r="M55" s="26"/>
    </row>
    <row r="56" spans="11:13" x14ac:dyDescent="0.25">
      <c r="K56" s="89" t="s">
        <v>167</v>
      </c>
      <c r="L56" s="89">
        <v>8.3199999999999993E-3</v>
      </c>
      <c r="M56" s="26"/>
    </row>
    <row r="57" spans="11:13" x14ac:dyDescent="0.25">
      <c r="K57" s="89" t="s">
        <v>168</v>
      </c>
      <c r="L57" s="89">
        <v>8.3199999999999993E-3</v>
      </c>
      <c r="M57" s="26"/>
    </row>
    <row r="58" spans="11:13" x14ac:dyDescent="0.25">
      <c r="K58" s="89" t="s">
        <v>169</v>
      </c>
      <c r="L58" s="89">
        <v>8.3199999999999993E-3</v>
      </c>
      <c r="M58" s="26"/>
    </row>
    <row r="59" spans="11:13" x14ac:dyDescent="0.25">
      <c r="K59" s="89" t="s">
        <v>170</v>
      </c>
      <c r="L59" s="89">
        <v>8.3199999999999993E-3</v>
      </c>
      <c r="M59" s="26"/>
    </row>
    <row r="60" spans="11:13" x14ac:dyDescent="0.25">
      <c r="K60" s="89" t="s">
        <v>171</v>
      </c>
      <c r="L60" s="89">
        <v>8.3199999999999993E-3</v>
      </c>
      <c r="M60" s="26"/>
    </row>
    <row r="61" spans="11:13" x14ac:dyDescent="0.25">
      <c r="K61" s="89" t="s">
        <v>172</v>
      </c>
      <c r="L61" s="89">
        <v>8.3199999999999993E-3</v>
      </c>
      <c r="M61" s="26"/>
    </row>
    <row r="62" spans="11:13" x14ac:dyDescent="0.25">
      <c r="K62" s="89" t="s">
        <v>173</v>
      </c>
      <c r="L62" s="89">
        <v>8.3199999999999993E-3</v>
      </c>
      <c r="M62" s="26"/>
    </row>
    <row r="63" spans="11:13" x14ac:dyDescent="0.25">
      <c r="K63" s="89" t="s">
        <v>174</v>
      </c>
      <c r="L63" s="89">
        <v>8.3199999999999993E-3</v>
      </c>
      <c r="M63" s="26"/>
    </row>
    <row r="64" spans="11:13" x14ac:dyDescent="0.25">
      <c r="K64" s="89" t="s">
        <v>175</v>
      </c>
      <c r="L64" s="89">
        <v>8.3199999999999993E-3</v>
      </c>
      <c r="M64" s="26"/>
    </row>
    <row r="65" spans="11:13" x14ac:dyDescent="0.25">
      <c r="K65" s="89" t="s">
        <v>176</v>
      </c>
      <c r="L65" s="89">
        <v>8.3199999999999993E-3</v>
      </c>
      <c r="M65" s="26"/>
    </row>
    <row r="66" spans="11:13" x14ac:dyDescent="0.25">
      <c r="K66" s="89" t="s">
        <v>177</v>
      </c>
      <c r="L66" s="89">
        <v>8.3199999999999993E-3</v>
      </c>
      <c r="M66" s="26"/>
    </row>
    <row r="67" spans="11:13" x14ac:dyDescent="0.25">
      <c r="K67" s="89" t="s">
        <v>178</v>
      </c>
      <c r="L67" s="89">
        <v>8.3199999999999993E-3</v>
      </c>
      <c r="M67" s="26"/>
    </row>
    <row r="68" spans="11:13" x14ac:dyDescent="0.25">
      <c r="K68" s="89" t="s">
        <v>94</v>
      </c>
      <c r="L68" s="89">
        <v>8.3199999999999993E-3</v>
      </c>
      <c r="M68" s="26"/>
    </row>
    <row r="69" spans="11:13" x14ac:dyDescent="0.25">
      <c r="K69" s="89" t="s">
        <v>179</v>
      </c>
      <c r="L69" s="89">
        <v>8.3199999999999993E-3</v>
      </c>
      <c r="M69" s="26"/>
    </row>
    <row r="70" spans="11:13" x14ac:dyDescent="0.25">
      <c r="K70" s="89" t="s">
        <v>180</v>
      </c>
      <c r="L70" s="89">
        <v>8.3199999999999993E-3</v>
      </c>
      <c r="M70" s="26"/>
    </row>
    <row r="71" spans="11:13" x14ac:dyDescent="0.25">
      <c r="K71" s="89" t="s">
        <v>181</v>
      </c>
      <c r="L71" s="89">
        <v>8.3199999999999993E-3</v>
      </c>
      <c r="M71" s="26"/>
    </row>
    <row r="72" spans="11:13" x14ac:dyDescent="0.25">
      <c r="K72" s="89" t="s">
        <v>182</v>
      </c>
      <c r="L72" s="89">
        <v>8.3199999999999993E-3</v>
      </c>
      <c r="M72" s="26"/>
    </row>
    <row r="73" spans="11:13" x14ac:dyDescent="0.25">
      <c r="K73" s="89" t="s">
        <v>183</v>
      </c>
      <c r="L73" s="89">
        <v>8.3199999999999993E-3</v>
      </c>
      <c r="M73" s="26"/>
    </row>
    <row r="74" spans="11:13" x14ac:dyDescent="0.25">
      <c r="K74" s="89" t="s">
        <v>184</v>
      </c>
      <c r="L74" s="89">
        <v>8.3199999999999993E-3</v>
      </c>
      <c r="M74" s="26"/>
    </row>
    <row r="75" spans="11:13" x14ac:dyDescent="0.25">
      <c r="K75" s="89" t="s">
        <v>185</v>
      </c>
      <c r="L75" s="89">
        <v>8.3199999999999993E-3</v>
      </c>
      <c r="M75" s="26"/>
    </row>
    <row r="76" spans="11:13" x14ac:dyDescent="0.25">
      <c r="K76" s="89" t="s">
        <v>186</v>
      </c>
      <c r="L76" s="89">
        <v>8.3199999999999993E-3</v>
      </c>
      <c r="M76" s="26"/>
    </row>
    <row r="77" spans="11:13" x14ac:dyDescent="0.25">
      <c r="K77" s="89" t="s">
        <v>187</v>
      </c>
      <c r="L77" s="89">
        <v>8.3199999999999993E-3</v>
      </c>
      <c r="M77" s="26"/>
    </row>
    <row r="78" spans="11:13" x14ac:dyDescent="0.25">
      <c r="K78" s="89" t="s">
        <v>188</v>
      </c>
      <c r="L78" s="89">
        <v>8.3199999999999993E-3</v>
      </c>
      <c r="M78" s="26"/>
    </row>
    <row r="79" spans="11:13" x14ac:dyDescent="0.25">
      <c r="K79" s="89" t="s">
        <v>189</v>
      </c>
      <c r="L79" s="89">
        <v>8.3199999999999993E-3</v>
      </c>
      <c r="M79" s="26"/>
    </row>
    <row r="80" spans="11:13" x14ac:dyDescent="0.25">
      <c r="K80" s="89" t="s">
        <v>190</v>
      </c>
      <c r="L80" s="89">
        <v>8.3199999999999993E-3</v>
      </c>
      <c r="M80" s="26"/>
    </row>
    <row r="81" spans="11:13" ht="15.75" thickBot="1" x14ac:dyDescent="0.3">
      <c r="K81" s="89" t="s">
        <v>191</v>
      </c>
      <c r="L81" s="89">
        <v>8.3199999999999993E-3</v>
      </c>
      <c r="M81" s="27"/>
    </row>
    <row r="82" spans="11:13" x14ac:dyDescent="0.25">
      <c r="K82" s="89" t="s">
        <v>192</v>
      </c>
      <c r="L82" s="89">
        <v>8.3199999999999993E-3</v>
      </c>
    </row>
    <row r="83" spans="11:13" x14ac:dyDescent="0.25">
      <c r="K83" s="89" t="s">
        <v>193</v>
      </c>
      <c r="L83" s="89">
        <v>8.3199999999999993E-3</v>
      </c>
    </row>
    <row r="84" spans="11:13" x14ac:dyDescent="0.25">
      <c r="K84" s="89" t="s">
        <v>99</v>
      </c>
      <c r="L84" s="89">
        <v>8.3199999999999993E-3</v>
      </c>
    </row>
    <row r="85" spans="11:13" x14ac:dyDescent="0.25">
      <c r="K85" s="89" t="s">
        <v>207</v>
      </c>
      <c r="L85" s="89">
        <v>8.3199999999999993E-3</v>
      </c>
    </row>
    <row r="86" spans="11:13" x14ac:dyDescent="0.25">
      <c r="K86" s="89" t="s">
        <v>208</v>
      </c>
      <c r="L86" s="89">
        <v>8.3199999999999993E-3</v>
      </c>
    </row>
    <row r="87" spans="11:13" x14ac:dyDescent="0.25">
      <c r="K87" s="89" t="s">
        <v>209</v>
      </c>
      <c r="L87" s="89">
        <v>8.3199999999999993E-3</v>
      </c>
    </row>
    <row r="88" spans="11:13" x14ac:dyDescent="0.25">
      <c r="K88" s="89" t="s">
        <v>194</v>
      </c>
      <c r="L88" s="89">
        <v>8.3199999999999993E-3</v>
      </c>
    </row>
    <row r="89" spans="11:13" x14ac:dyDescent="0.25">
      <c r="K89" s="89" t="s">
        <v>210</v>
      </c>
      <c r="L89" s="89">
        <v>8.3199999999999993E-3</v>
      </c>
    </row>
    <row r="90" spans="11:13" x14ac:dyDescent="0.25">
      <c r="K90" s="89" t="s">
        <v>195</v>
      </c>
      <c r="L90" s="89">
        <v>8.3199999999999993E-3</v>
      </c>
    </row>
    <row r="91" spans="11:13" x14ac:dyDescent="0.25">
      <c r="K91" s="89" t="s">
        <v>196</v>
      </c>
      <c r="L91" s="89">
        <v>8.3199999999999993E-3</v>
      </c>
    </row>
    <row r="92" spans="11:13" x14ac:dyDescent="0.25">
      <c r="K92" s="89" t="s">
        <v>101</v>
      </c>
      <c r="L92" s="89">
        <v>8.3199999999999993E-3</v>
      </c>
    </row>
    <row r="93" spans="11:13" x14ac:dyDescent="0.25">
      <c r="K93" s="89" t="s">
        <v>211</v>
      </c>
      <c r="L93" s="89">
        <v>8.3199999999999993E-3</v>
      </c>
    </row>
    <row r="94" spans="11:13" x14ac:dyDescent="0.25">
      <c r="K94" s="89" t="s">
        <v>212</v>
      </c>
      <c r="L94" s="89">
        <v>8.3199999999999993E-3</v>
      </c>
    </row>
    <row r="95" spans="11:13" x14ac:dyDescent="0.25">
      <c r="K95" s="89" t="s">
        <v>213</v>
      </c>
      <c r="L95" s="89">
        <v>8.3199999999999993E-3</v>
      </c>
    </row>
    <row r="96" spans="11:13" x14ac:dyDescent="0.25">
      <c r="K96" s="89" t="s">
        <v>102</v>
      </c>
      <c r="L96" s="89">
        <v>5.7000000000000002E-2</v>
      </c>
    </row>
    <row r="97" spans="11:12" x14ac:dyDescent="0.25">
      <c r="K97" s="89" t="s">
        <v>214</v>
      </c>
      <c r="L97" s="89">
        <v>8.3199999999999993E-3</v>
      </c>
    </row>
    <row r="98" spans="11:12" x14ac:dyDescent="0.25">
      <c r="K98" s="89" t="s">
        <v>215</v>
      </c>
      <c r="L98" s="89">
        <v>8.3199999999999993E-3</v>
      </c>
    </row>
    <row r="99" spans="11:12" x14ac:dyDescent="0.25">
      <c r="K99" s="89" t="s">
        <v>216</v>
      </c>
      <c r="L99" s="89">
        <v>8.3199999999999993E-3</v>
      </c>
    </row>
    <row r="100" spans="11:12" x14ac:dyDescent="0.25">
      <c r="K100" s="89" t="s">
        <v>217</v>
      </c>
      <c r="L100" s="89">
        <v>8.3199999999999993E-3</v>
      </c>
    </row>
    <row r="101" spans="11:12" x14ac:dyDescent="0.25">
      <c r="K101" s="89" t="s">
        <v>218</v>
      </c>
      <c r="L101" s="89">
        <v>8.3199999999999993E-3</v>
      </c>
    </row>
    <row r="102" spans="11:12" x14ac:dyDescent="0.25">
      <c r="K102" s="89" t="s">
        <v>219</v>
      </c>
      <c r="L102" s="89">
        <v>8.3199999999999993E-3</v>
      </c>
    </row>
    <row r="103" spans="11:12" x14ac:dyDescent="0.25">
      <c r="K103" s="89" t="s">
        <v>220</v>
      </c>
      <c r="L103" s="89">
        <v>8.3199999999999993E-3</v>
      </c>
    </row>
    <row r="104" spans="11:12" x14ac:dyDescent="0.25">
      <c r="L104">
        <f>AVERAGE(L19:L103)</f>
        <v>8.6194484705882316E-3</v>
      </c>
    </row>
  </sheetData>
  <mergeCells count="6">
    <mergeCell ref="A37:C39"/>
    <mergeCell ref="D4:F4"/>
    <mergeCell ref="A1:C3"/>
    <mergeCell ref="N14:P17"/>
    <mergeCell ref="L7:T9"/>
    <mergeCell ref="H1:I1"/>
  </mergeCells>
  <pageMargins left="0.7" right="0.7" top="0.75" bottom="0.75" header="0.3" footer="0.3"/>
  <pageSetup scale="76" orientation="portrait" r:id="rId1"/>
  <rowBreaks count="1" manualBreakCount="1">
    <brk id="35" max="9"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FED0F-0F37-46F1-ABF4-19DADA28D9D0}">
  <dimension ref="A1:N84"/>
  <sheetViews>
    <sheetView view="pageBreakPreview" zoomScaleNormal="100" zoomScaleSheetLayoutView="100" workbookViewId="0">
      <selection sqref="A1:C3"/>
    </sheetView>
  </sheetViews>
  <sheetFormatPr defaultRowHeight="15" x14ac:dyDescent="0.25"/>
  <cols>
    <col min="1" max="1" width="5" bestFit="1" customWidth="1"/>
    <col min="2" max="2" width="14.42578125" bestFit="1" customWidth="1"/>
    <col min="4" max="4" width="16.140625" bestFit="1" customWidth="1"/>
    <col min="5" max="5" width="12" bestFit="1" customWidth="1"/>
    <col min="10" max="10" width="2.5703125" style="3" customWidth="1"/>
    <col min="13" max="13" width="12" bestFit="1" customWidth="1"/>
  </cols>
  <sheetData>
    <row r="1" spans="1:14" ht="21" customHeight="1" x14ac:dyDescent="0.25">
      <c r="A1" s="201" t="s">
        <v>145</v>
      </c>
      <c r="B1" s="201"/>
      <c r="C1" s="211"/>
      <c r="D1" s="202" t="s">
        <v>11</v>
      </c>
      <c r="E1" s="203"/>
      <c r="F1" s="204"/>
      <c r="L1" s="202" t="s">
        <v>11</v>
      </c>
      <c r="M1" s="203"/>
      <c r="N1" s="204"/>
    </row>
    <row r="2" spans="1:14" ht="15" customHeight="1" x14ac:dyDescent="0.25">
      <c r="A2" s="201"/>
      <c r="B2" s="201"/>
      <c r="C2" s="211"/>
      <c r="D2" s="205"/>
      <c r="E2" s="206"/>
      <c r="F2" s="207"/>
      <c r="L2" s="205"/>
      <c r="M2" s="206"/>
      <c r="N2" s="207"/>
    </row>
    <row r="3" spans="1:14" ht="15.75" customHeight="1" thickBot="1" x14ac:dyDescent="0.3">
      <c r="A3" s="201"/>
      <c r="B3" s="201"/>
      <c r="C3" s="211"/>
      <c r="D3" s="205"/>
      <c r="E3" s="206"/>
      <c r="F3" s="207"/>
      <c r="L3" s="205"/>
      <c r="M3" s="206"/>
      <c r="N3" s="207"/>
    </row>
    <row r="4" spans="1:14" ht="15.75" customHeight="1" thickBot="1" x14ac:dyDescent="0.3">
      <c r="A4" s="67"/>
      <c r="B4" s="68" t="s">
        <v>133</v>
      </c>
      <c r="D4" s="28" t="s">
        <v>16</v>
      </c>
      <c r="E4" s="20" t="s">
        <v>6</v>
      </c>
      <c r="F4" s="25"/>
      <c r="L4" s="208"/>
      <c r="M4" s="209"/>
      <c r="N4" s="210"/>
    </row>
    <row r="5" spans="1:14" x14ac:dyDescent="0.25">
      <c r="A5" s="69">
        <f>'NEW FINAL CALCULATION '!A2</f>
        <v>2023</v>
      </c>
      <c r="B5" s="75">
        <f>$M$84/100</f>
        <v>1.2807692307692305E-2</v>
      </c>
      <c r="C5" s="40"/>
      <c r="D5" s="6" t="s">
        <v>73</v>
      </c>
      <c r="E5" s="7">
        <v>5.0000000000000001E-3</v>
      </c>
      <c r="F5" s="26"/>
      <c r="L5" s="28" t="s">
        <v>16</v>
      </c>
      <c r="M5" s="20" t="s">
        <v>6</v>
      </c>
      <c r="N5" s="25"/>
    </row>
    <row r="6" spans="1:14" x14ac:dyDescent="0.25">
      <c r="A6" s="69">
        <f>A5+1</f>
        <v>2024</v>
      </c>
      <c r="B6" s="75">
        <f t="shared" ref="B6:B24" si="0">$M$84/100</f>
        <v>1.2807692307692305E-2</v>
      </c>
      <c r="D6" s="6" t="s">
        <v>74</v>
      </c>
      <c r="E6" s="7">
        <v>5.0000000000000001E-3</v>
      </c>
      <c r="F6" s="26"/>
      <c r="L6" s="89" t="s">
        <v>73</v>
      </c>
      <c r="M6" s="89">
        <v>5.0000000000000001E-3</v>
      </c>
      <c r="N6" s="26"/>
    </row>
    <row r="7" spans="1:14" x14ac:dyDescent="0.25">
      <c r="A7" s="69">
        <f t="shared" ref="A7:A24" si="1">A6+1</f>
        <v>2025</v>
      </c>
      <c r="B7" s="75">
        <f t="shared" si="0"/>
        <v>1.2807692307692305E-2</v>
      </c>
      <c r="D7" s="6" t="s">
        <v>75</v>
      </c>
      <c r="E7" s="7">
        <v>5.0000000000000001E-3</v>
      </c>
      <c r="F7" s="26"/>
      <c r="L7" s="89" t="s">
        <v>74</v>
      </c>
      <c r="M7" s="89">
        <v>5.0000000000000001E-3</v>
      </c>
      <c r="N7" s="26"/>
    </row>
    <row r="8" spans="1:14" x14ac:dyDescent="0.25">
      <c r="A8" s="69">
        <f t="shared" si="1"/>
        <v>2026</v>
      </c>
      <c r="B8" s="75">
        <f t="shared" si="0"/>
        <v>1.2807692307692305E-2</v>
      </c>
      <c r="D8" s="6" t="s">
        <v>76</v>
      </c>
      <c r="E8" s="7">
        <v>5.0000000000000001E-3</v>
      </c>
      <c r="F8" s="26"/>
      <c r="L8" s="89" t="s">
        <v>75</v>
      </c>
      <c r="M8" s="89">
        <v>5.0000000000000001E-3</v>
      </c>
      <c r="N8" s="26"/>
    </row>
    <row r="9" spans="1:14" x14ac:dyDescent="0.25">
      <c r="A9" s="69">
        <f t="shared" si="1"/>
        <v>2027</v>
      </c>
      <c r="B9" s="75">
        <f t="shared" si="0"/>
        <v>1.2807692307692305E-2</v>
      </c>
      <c r="D9" s="6" t="s">
        <v>77</v>
      </c>
      <c r="E9" s="7">
        <v>5.0000000000000001E-3</v>
      </c>
      <c r="F9" s="26"/>
      <c r="L9" s="89" t="s">
        <v>76</v>
      </c>
      <c r="M9" s="89">
        <v>5.0000000000000001E-3</v>
      </c>
      <c r="N9" s="26"/>
    </row>
    <row r="10" spans="1:14" x14ac:dyDescent="0.25">
      <c r="A10" s="69">
        <f t="shared" si="1"/>
        <v>2028</v>
      </c>
      <c r="B10" s="75">
        <f t="shared" si="0"/>
        <v>1.2807692307692305E-2</v>
      </c>
      <c r="D10" s="6" t="s">
        <v>78</v>
      </c>
      <c r="E10" s="7">
        <v>5.0000000000000001E-3</v>
      </c>
      <c r="F10" s="26"/>
      <c r="L10" s="89" t="s">
        <v>77</v>
      </c>
      <c r="M10" s="89">
        <v>5.0000000000000001E-3</v>
      </c>
      <c r="N10" s="26"/>
    </row>
    <row r="11" spans="1:14" x14ac:dyDescent="0.25">
      <c r="A11" s="69">
        <f t="shared" si="1"/>
        <v>2029</v>
      </c>
      <c r="B11" s="75">
        <f t="shared" si="0"/>
        <v>1.2807692307692305E-2</v>
      </c>
      <c r="D11" s="6" t="s">
        <v>79</v>
      </c>
      <c r="E11" s="7">
        <v>5.0000000000000001E-3</v>
      </c>
      <c r="F11" s="26"/>
      <c r="L11" s="89" t="s">
        <v>78</v>
      </c>
      <c r="M11" s="89">
        <v>5.0000000000000001E-3</v>
      </c>
      <c r="N11" s="26"/>
    </row>
    <row r="12" spans="1:14" x14ac:dyDescent="0.25">
      <c r="A12" s="69">
        <f t="shared" si="1"/>
        <v>2030</v>
      </c>
      <c r="B12" s="75">
        <f t="shared" si="0"/>
        <v>1.2807692307692305E-2</v>
      </c>
      <c r="D12" s="6" t="s">
        <v>80</v>
      </c>
      <c r="E12" s="7">
        <v>5.0000000000000001E-3</v>
      </c>
      <c r="F12" s="26"/>
      <c r="L12" s="89" t="s">
        <v>79</v>
      </c>
      <c r="M12" s="89">
        <v>5.0000000000000001E-3</v>
      </c>
      <c r="N12" s="26"/>
    </row>
    <row r="13" spans="1:14" x14ac:dyDescent="0.25">
      <c r="A13" s="69">
        <f t="shared" si="1"/>
        <v>2031</v>
      </c>
      <c r="B13" s="75">
        <f t="shared" si="0"/>
        <v>1.2807692307692305E-2</v>
      </c>
      <c r="D13" s="6" t="s">
        <v>81</v>
      </c>
      <c r="E13" s="7">
        <v>5.0000000000000001E-3</v>
      </c>
      <c r="F13" s="26"/>
      <c r="L13" s="89" t="s">
        <v>80</v>
      </c>
      <c r="M13" s="89">
        <v>5.0000000000000001E-3</v>
      </c>
      <c r="N13" s="26"/>
    </row>
    <row r="14" spans="1:14" x14ac:dyDescent="0.25">
      <c r="A14" s="69">
        <f t="shared" si="1"/>
        <v>2032</v>
      </c>
      <c r="B14" s="75">
        <f t="shared" si="0"/>
        <v>1.2807692307692305E-2</v>
      </c>
      <c r="D14" s="6" t="s">
        <v>82</v>
      </c>
      <c r="E14" s="7">
        <v>5.0000000000000001E-3</v>
      </c>
      <c r="F14" s="26"/>
      <c r="L14" s="89" t="s">
        <v>81</v>
      </c>
      <c r="M14" s="89">
        <v>5.0000000000000001E-3</v>
      </c>
      <c r="N14" s="26"/>
    </row>
    <row r="15" spans="1:14" x14ac:dyDescent="0.25">
      <c r="A15" s="69">
        <f t="shared" si="1"/>
        <v>2033</v>
      </c>
      <c r="B15" s="75">
        <f t="shared" si="0"/>
        <v>1.2807692307692305E-2</v>
      </c>
      <c r="D15" s="6" t="s">
        <v>83</v>
      </c>
      <c r="E15" s="7">
        <v>5.0000000000000001E-3</v>
      </c>
      <c r="F15" s="26"/>
      <c r="L15" s="89" t="s">
        <v>82</v>
      </c>
      <c r="M15" s="89">
        <v>5.0000000000000001E-3</v>
      </c>
      <c r="N15" s="26"/>
    </row>
    <row r="16" spans="1:14" x14ac:dyDescent="0.25">
      <c r="A16" s="69">
        <f t="shared" si="1"/>
        <v>2034</v>
      </c>
      <c r="B16" s="75">
        <f t="shared" si="0"/>
        <v>1.2807692307692305E-2</v>
      </c>
      <c r="D16" s="6" t="s">
        <v>84</v>
      </c>
      <c r="E16" s="7">
        <v>5.0000000000000001E-3</v>
      </c>
      <c r="F16" s="26"/>
      <c r="L16" s="89" t="s">
        <v>83</v>
      </c>
      <c r="M16" s="89">
        <v>5.0000000000000001E-3</v>
      </c>
      <c r="N16" s="26"/>
    </row>
    <row r="17" spans="1:14" x14ac:dyDescent="0.25">
      <c r="A17" s="69">
        <f t="shared" si="1"/>
        <v>2035</v>
      </c>
      <c r="B17" s="75">
        <f t="shared" si="0"/>
        <v>1.2807692307692305E-2</v>
      </c>
      <c r="D17" s="6" t="s">
        <v>85</v>
      </c>
      <c r="E17" s="7">
        <v>5.0000000000000001E-3</v>
      </c>
      <c r="F17" s="26"/>
      <c r="L17" s="89" t="s">
        <v>84</v>
      </c>
      <c r="M17" s="89">
        <v>5.0000000000000001E-3</v>
      </c>
      <c r="N17" s="26"/>
    </row>
    <row r="18" spans="1:14" x14ac:dyDescent="0.25">
      <c r="A18" s="69">
        <f t="shared" si="1"/>
        <v>2036</v>
      </c>
      <c r="B18" s="75">
        <f t="shared" si="0"/>
        <v>1.2807692307692305E-2</v>
      </c>
      <c r="D18" s="6" t="s">
        <v>86</v>
      </c>
      <c r="E18" s="7">
        <v>5.0000000000000001E-3</v>
      </c>
      <c r="F18" s="26"/>
      <c r="L18" s="89" t="s">
        <v>85</v>
      </c>
      <c r="M18" s="89">
        <v>5.0000000000000001E-3</v>
      </c>
      <c r="N18" s="26"/>
    </row>
    <row r="19" spans="1:14" x14ac:dyDescent="0.25">
      <c r="A19" s="69">
        <f t="shared" si="1"/>
        <v>2037</v>
      </c>
      <c r="B19" s="75">
        <f t="shared" si="0"/>
        <v>1.2807692307692305E-2</v>
      </c>
      <c r="D19" s="6" t="s">
        <v>104</v>
      </c>
      <c r="E19" s="7">
        <v>1.61</v>
      </c>
      <c r="F19" s="26"/>
      <c r="L19" s="89" t="s">
        <v>86</v>
      </c>
      <c r="M19" s="89">
        <v>5.0000000000000001E-3</v>
      </c>
      <c r="N19" s="26"/>
    </row>
    <row r="20" spans="1:14" x14ac:dyDescent="0.25">
      <c r="A20" s="69">
        <f t="shared" si="1"/>
        <v>2038</v>
      </c>
      <c r="B20" s="75">
        <f t="shared" si="0"/>
        <v>1.2807692307692305E-2</v>
      </c>
      <c r="D20" s="6" t="s">
        <v>105</v>
      </c>
      <c r="E20" s="7">
        <v>0.17</v>
      </c>
      <c r="F20" s="26"/>
      <c r="L20" s="89" t="s">
        <v>156</v>
      </c>
      <c r="M20" s="89">
        <v>5.0000000000000001E-3</v>
      </c>
      <c r="N20" s="26"/>
    </row>
    <row r="21" spans="1:14" x14ac:dyDescent="0.25">
      <c r="A21" s="69">
        <f t="shared" si="1"/>
        <v>2039</v>
      </c>
      <c r="B21" s="75">
        <f t="shared" si="0"/>
        <v>1.2807692307692305E-2</v>
      </c>
      <c r="D21" s="6" t="s">
        <v>106</v>
      </c>
      <c r="E21" s="7">
        <v>0.17</v>
      </c>
      <c r="F21" s="26"/>
      <c r="L21" s="89" t="s">
        <v>157</v>
      </c>
      <c r="M21" s="89">
        <v>5.0000000000000001E-3</v>
      </c>
      <c r="N21" s="26"/>
    </row>
    <row r="22" spans="1:14" x14ac:dyDescent="0.25">
      <c r="A22" s="69">
        <f t="shared" si="1"/>
        <v>2040</v>
      </c>
      <c r="B22" s="75">
        <f t="shared" si="0"/>
        <v>1.2807692307692305E-2</v>
      </c>
      <c r="D22" s="6" t="s">
        <v>107</v>
      </c>
      <c r="E22" s="7">
        <v>0.17</v>
      </c>
      <c r="F22" s="26"/>
      <c r="L22" s="89" t="s">
        <v>87</v>
      </c>
      <c r="M22" s="89">
        <v>1.61</v>
      </c>
      <c r="N22" s="26"/>
    </row>
    <row r="23" spans="1:14" x14ac:dyDescent="0.25">
      <c r="A23" s="69">
        <f t="shared" si="1"/>
        <v>2041</v>
      </c>
      <c r="B23" s="75">
        <f t="shared" si="0"/>
        <v>1.2807692307692305E-2</v>
      </c>
      <c r="D23" s="6" t="s">
        <v>108</v>
      </c>
      <c r="E23" s="7">
        <v>1.61</v>
      </c>
      <c r="F23" s="26"/>
      <c r="L23" s="89" t="s">
        <v>111</v>
      </c>
      <c r="M23" s="89">
        <v>1.61</v>
      </c>
      <c r="N23" s="26"/>
    </row>
    <row r="24" spans="1:14" ht="15.75" thickBot="1" x14ac:dyDescent="0.3">
      <c r="A24" s="59">
        <f t="shared" si="1"/>
        <v>2042</v>
      </c>
      <c r="B24" s="142">
        <f t="shared" si="0"/>
        <v>1.2807692307692305E-2</v>
      </c>
      <c r="D24" s="6" t="s">
        <v>109</v>
      </c>
      <c r="E24" s="7">
        <v>0.17</v>
      </c>
      <c r="F24" s="26"/>
      <c r="L24" s="89" t="s">
        <v>158</v>
      </c>
      <c r="M24" s="89">
        <v>1.61</v>
      </c>
      <c r="N24" s="26"/>
    </row>
    <row r="25" spans="1:14" x14ac:dyDescent="0.25">
      <c r="D25" s="6" t="s">
        <v>110</v>
      </c>
      <c r="E25" s="7">
        <v>1.61</v>
      </c>
      <c r="F25" s="26"/>
      <c r="L25" s="89" t="s">
        <v>89</v>
      </c>
      <c r="M25" s="89">
        <v>1.61</v>
      </c>
      <c r="N25" s="26"/>
    </row>
    <row r="26" spans="1:14" x14ac:dyDescent="0.25">
      <c r="D26" s="6" t="s">
        <v>111</v>
      </c>
      <c r="E26" s="7">
        <v>1.61</v>
      </c>
      <c r="F26" s="26"/>
      <c r="L26" s="89" t="s">
        <v>159</v>
      </c>
      <c r="M26" s="89">
        <v>1.61</v>
      </c>
      <c r="N26" s="26"/>
    </row>
    <row r="27" spans="1:14" x14ac:dyDescent="0.25">
      <c r="D27" s="6" t="s">
        <v>112</v>
      </c>
      <c r="E27" s="7">
        <v>1.61</v>
      </c>
      <c r="F27" s="26"/>
      <c r="L27" s="89" t="s">
        <v>160</v>
      </c>
      <c r="M27" s="89">
        <v>1.61</v>
      </c>
      <c r="N27" s="26"/>
    </row>
    <row r="28" spans="1:14" x14ac:dyDescent="0.25">
      <c r="D28" s="6" t="s">
        <v>113</v>
      </c>
      <c r="E28" s="7">
        <v>1.61</v>
      </c>
      <c r="F28" s="26"/>
      <c r="L28" s="89" t="s">
        <v>161</v>
      </c>
      <c r="M28" s="89">
        <v>1.61</v>
      </c>
      <c r="N28" s="26"/>
    </row>
    <row r="29" spans="1:14" x14ac:dyDescent="0.25">
      <c r="D29" s="6" t="s">
        <v>114</v>
      </c>
      <c r="E29" s="7">
        <v>1.61</v>
      </c>
      <c r="F29" s="26"/>
      <c r="L29" s="89" t="s">
        <v>162</v>
      </c>
      <c r="M29" s="89">
        <v>1.61</v>
      </c>
      <c r="N29" s="26"/>
    </row>
    <row r="30" spans="1:14" x14ac:dyDescent="0.25">
      <c r="D30" s="6" t="s">
        <v>115</v>
      </c>
      <c r="E30" s="7">
        <v>1.61</v>
      </c>
      <c r="F30" s="26"/>
      <c r="L30" s="89" t="s">
        <v>113</v>
      </c>
      <c r="M30" s="89">
        <v>1.61</v>
      </c>
      <c r="N30" s="26"/>
    </row>
    <row r="31" spans="1:14" x14ac:dyDescent="0.25">
      <c r="D31" s="6" t="s">
        <v>116</v>
      </c>
      <c r="E31" s="7">
        <v>1.61</v>
      </c>
      <c r="F31" s="26"/>
      <c r="L31" s="89" t="s">
        <v>114</v>
      </c>
      <c r="M31" s="89">
        <v>1.61</v>
      </c>
      <c r="N31" s="26"/>
    </row>
    <row r="32" spans="1:14" x14ac:dyDescent="0.25">
      <c r="D32" s="6" t="s">
        <v>117</v>
      </c>
      <c r="E32" s="7">
        <v>1.61</v>
      </c>
      <c r="F32" s="26"/>
      <c r="L32" s="89" t="s">
        <v>90</v>
      </c>
      <c r="M32" s="89">
        <v>1.61</v>
      </c>
      <c r="N32" s="26"/>
    </row>
    <row r="33" spans="4:14" x14ac:dyDescent="0.25">
      <c r="D33" s="6" t="s">
        <v>94</v>
      </c>
      <c r="E33" s="7">
        <v>1.61</v>
      </c>
      <c r="F33" s="26"/>
      <c r="L33" s="89" t="s">
        <v>91</v>
      </c>
      <c r="M33" s="89">
        <v>1.61</v>
      </c>
      <c r="N33" s="26"/>
    </row>
    <row r="34" spans="4:14" x14ac:dyDescent="0.25">
      <c r="D34" s="6" t="s">
        <v>95</v>
      </c>
      <c r="E34" s="7">
        <v>1.61</v>
      </c>
      <c r="F34" s="26"/>
      <c r="L34" s="89" t="s">
        <v>115</v>
      </c>
      <c r="M34" s="89">
        <v>1.61</v>
      </c>
      <c r="N34" s="26"/>
    </row>
    <row r="35" spans="4:14" x14ac:dyDescent="0.25">
      <c r="D35" s="6" t="s">
        <v>96</v>
      </c>
      <c r="E35" s="7">
        <v>1.61</v>
      </c>
      <c r="F35" s="26"/>
      <c r="L35" s="89" t="s">
        <v>163</v>
      </c>
      <c r="M35" s="89">
        <v>1.61</v>
      </c>
      <c r="N35" s="26"/>
    </row>
    <row r="36" spans="4:14" x14ac:dyDescent="0.25">
      <c r="D36" s="6" t="s">
        <v>97</v>
      </c>
      <c r="E36" s="7">
        <v>1.61</v>
      </c>
      <c r="F36" s="26"/>
      <c r="L36" s="89" t="s">
        <v>203</v>
      </c>
      <c r="M36" s="89">
        <v>1.61</v>
      </c>
      <c r="N36" s="26"/>
    </row>
    <row r="37" spans="4:14" x14ac:dyDescent="0.25">
      <c r="D37" s="6" t="s">
        <v>98</v>
      </c>
      <c r="E37" s="7">
        <v>1.61</v>
      </c>
      <c r="F37" s="26"/>
      <c r="L37" s="89" t="s">
        <v>204</v>
      </c>
      <c r="M37" s="89">
        <v>1.61</v>
      </c>
      <c r="N37" s="26"/>
    </row>
    <row r="38" spans="4:14" x14ac:dyDescent="0.25">
      <c r="D38" s="6" t="s">
        <v>99</v>
      </c>
      <c r="E38" s="7">
        <v>1.61</v>
      </c>
      <c r="F38" s="26"/>
      <c r="L38" s="89" t="s">
        <v>205</v>
      </c>
      <c r="M38" s="89">
        <v>1.61</v>
      </c>
      <c r="N38" s="26"/>
    </row>
    <row r="39" spans="4:14" x14ac:dyDescent="0.25">
      <c r="D39" s="6" t="s">
        <v>100</v>
      </c>
      <c r="E39" s="7">
        <v>1.61</v>
      </c>
      <c r="F39" s="26"/>
      <c r="L39" s="89" t="s">
        <v>206</v>
      </c>
      <c r="M39" s="89">
        <v>1.61</v>
      </c>
      <c r="N39" s="26"/>
    </row>
    <row r="40" spans="4:14" x14ac:dyDescent="0.25">
      <c r="D40" s="6" t="s">
        <v>101</v>
      </c>
      <c r="E40" s="7">
        <v>1.61</v>
      </c>
      <c r="F40" s="26"/>
      <c r="L40" s="89" t="s">
        <v>164</v>
      </c>
      <c r="M40" s="89">
        <v>1.61</v>
      </c>
      <c r="N40" s="26"/>
    </row>
    <row r="41" spans="4:14" x14ac:dyDescent="0.25">
      <c r="D41" s="6" t="s">
        <v>118</v>
      </c>
      <c r="E41" s="7">
        <v>1.61</v>
      </c>
      <c r="F41" s="26"/>
      <c r="L41" s="89" t="s">
        <v>165</v>
      </c>
      <c r="M41" s="89">
        <v>1.61</v>
      </c>
      <c r="N41" s="26"/>
    </row>
    <row r="42" spans="4:14" x14ac:dyDescent="0.25">
      <c r="D42" s="6" t="s">
        <v>119</v>
      </c>
      <c r="E42" s="7">
        <v>0.53</v>
      </c>
      <c r="F42" s="26"/>
      <c r="L42" s="89" t="s">
        <v>166</v>
      </c>
      <c r="M42" s="89">
        <v>1.61</v>
      </c>
      <c r="N42" s="26"/>
    </row>
    <row r="43" spans="4:14" x14ac:dyDescent="0.25">
      <c r="D43" s="6" t="s">
        <v>120</v>
      </c>
      <c r="E43" s="7">
        <v>0.53</v>
      </c>
      <c r="F43" s="26"/>
      <c r="L43" s="89" t="s">
        <v>167</v>
      </c>
      <c r="M43" s="89">
        <v>1.61</v>
      </c>
      <c r="N43" s="26"/>
    </row>
    <row r="44" spans="4:14" x14ac:dyDescent="0.25">
      <c r="D44" s="6" t="s">
        <v>121</v>
      </c>
      <c r="E44" s="7">
        <v>1.61</v>
      </c>
      <c r="F44" s="26"/>
      <c r="L44" s="89" t="s">
        <v>168</v>
      </c>
      <c r="M44" s="89">
        <v>1.61</v>
      </c>
      <c r="N44" s="26"/>
    </row>
    <row r="45" spans="4:14" ht="15.75" thickBot="1" x14ac:dyDescent="0.3">
      <c r="D45" s="22" t="s">
        <v>122</v>
      </c>
      <c r="E45" s="9">
        <v>5.0000000000000001E-3</v>
      </c>
      <c r="F45" s="27"/>
      <c r="L45" s="89" t="s">
        <v>169</v>
      </c>
      <c r="M45" s="89">
        <v>1.61</v>
      </c>
      <c r="N45" s="26"/>
    </row>
    <row r="46" spans="4:14" x14ac:dyDescent="0.25">
      <c r="D46" s="19" t="s">
        <v>17</v>
      </c>
      <c r="E46" s="19">
        <f>AVERAGE(M6:M67)</f>
        <v>1.195806451612903</v>
      </c>
      <c r="L46" s="89" t="s">
        <v>170</v>
      </c>
      <c r="M46" s="89">
        <v>1.61</v>
      </c>
      <c r="N46" s="26"/>
    </row>
    <row r="47" spans="4:14" x14ac:dyDescent="0.25">
      <c r="L47" s="89" t="s">
        <v>171</v>
      </c>
      <c r="M47" s="89">
        <v>1.61</v>
      </c>
      <c r="N47" s="26"/>
    </row>
    <row r="48" spans="4:14" x14ac:dyDescent="0.25">
      <c r="L48" s="89" t="s">
        <v>172</v>
      </c>
      <c r="M48" s="89">
        <v>1.61</v>
      </c>
      <c r="N48" s="26"/>
    </row>
    <row r="49" spans="12:14" x14ac:dyDescent="0.25">
      <c r="L49" s="89" t="s">
        <v>173</v>
      </c>
      <c r="M49" s="89">
        <v>1.61</v>
      </c>
      <c r="N49" s="26"/>
    </row>
    <row r="50" spans="12:14" x14ac:dyDescent="0.25">
      <c r="L50" s="89" t="s">
        <v>174</v>
      </c>
      <c r="M50" s="89">
        <v>1.61</v>
      </c>
      <c r="N50" s="26"/>
    </row>
    <row r="51" spans="12:14" x14ac:dyDescent="0.25">
      <c r="L51" s="89" t="s">
        <v>175</v>
      </c>
      <c r="M51" s="89">
        <v>1.61</v>
      </c>
      <c r="N51" s="26"/>
    </row>
    <row r="52" spans="12:14" x14ac:dyDescent="0.25">
      <c r="L52" s="89" t="s">
        <v>176</v>
      </c>
      <c r="M52" s="89">
        <v>1.61</v>
      </c>
      <c r="N52" s="26"/>
    </row>
    <row r="53" spans="12:14" x14ac:dyDescent="0.25">
      <c r="L53" s="89" t="s">
        <v>177</v>
      </c>
      <c r="M53" s="89">
        <v>1.61</v>
      </c>
      <c r="N53" s="26"/>
    </row>
    <row r="54" spans="12:14" x14ac:dyDescent="0.25">
      <c r="L54" s="89" t="s">
        <v>178</v>
      </c>
      <c r="M54" s="89">
        <v>1.61</v>
      </c>
      <c r="N54" s="26"/>
    </row>
    <row r="55" spans="12:14" x14ac:dyDescent="0.25">
      <c r="L55" s="89" t="s">
        <v>94</v>
      </c>
      <c r="M55" s="89">
        <v>1.61</v>
      </c>
      <c r="N55" s="26"/>
    </row>
    <row r="56" spans="12:14" x14ac:dyDescent="0.25">
      <c r="L56" s="89" t="s">
        <v>179</v>
      </c>
      <c r="M56" s="89">
        <v>1.61</v>
      </c>
      <c r="N56" s="26"/>
    </row>
    <row r="57" spans="12:14" x14ac:dyDescent="0.25">
      <c r="L57" s="89" t="s">
        <v>180</v>
      </c>
      <c r="M57" s="89">
        <v>1.61</v>
      </c>
      <c r="N57" s="26"/>
    </row>
    <row r="58" spans="12:14" x14ac:dyDescent="0.25">
      <c r="L58" s="89" t="s">
        <v>181</v>
      </c>
      <c r="M58" s="89">
        <v>1.61</v>
      </c>
      <c r="N58" s="26"/>
    </row>
    <row r="59" spans="12:14" x14ac:dyDescent="0.25">
      <c r="L59" s="89" t="s">
        <v>182</v>
      </c>
      <c r="M59" s="89">
        <v>1.61</v>
      </c>
      <c r="N59" s="26"/>
    </row>
    <row r="60" spans="12:14" x14ac:dyDescent="0.25">
      <c r="L60" s="89" t="s">
        <v>183</v>
      </c>
      <c r="M60" s="89">
        <v>1.61</v>
      </c>
      <c r="N60" s="26"/>
    </row>
    <row r="61" spans="12:14" x14ac:dyDescent="0.25">
      <c r="L61" s="89" t="s">
        <v>184</v>
      </c>
      <c r="M61" s="89">
        <v>1.61</v>
      </c>
      <c r="N61" s="26"/>
    </row>
    <row r="62" spans="12:14" x14ac:dyDescent="0.25">
      <c r="L62" s="89" t="s">
        <v>185</v>
      </c>
      <c r="M62" s="89">
        <v>1.61</v>
      </c>
      <c r="N62" s="26"/>
    </row>
    <row r="63" spans="12:14" x14ac:dyDescent="0.25">
      <c r="L63" s="89" t="s">
        <v>186</v>
      </c>
      <c r="M63" s="89">
        <v>1.61</v>
      </c>
      <c r="N63" s="26"/>
    </row>
    <row r="64" spans="12:14" x14ac:dyDescent="0.25">
      <c r="L64" s="89" t="s">
        <v>187</v>
      </c>
      <c r="M64" s="89">
        <v>1.61</v>
      </c>
      <c r="N64" s="26"/>
    </row>
    <row r="65" spans="12:14" x14ac:dyDescent="0.25">
      <c r="L65" s="89" t="s">
        <v>188</v>
      </c>
      <c r="M65" s="89">
        <v>1.61</v>
      </c>
      <c r="N65" s="26"/>
    </row>
    <row r="66" spans="12:14" x14ac:dyDescent="0.25">
      <c r="L66" s="89" t="s">
        <v>189</v>
      </c>
      <c r="M66" s="89">
        <v>1.61</v>
      </c>
      <c r="N66" s="26"/>
    </row>
    <row r="67" spans="12:14" ht="15.75" thickBot="1" x14ac:dyDescent="0.3">
      <c r="L67" s="89" t="s">
        <v>190</v>
      </c>
      <c r="M67" s="89">
        <v>1.61</v>
      </c>
      <c r="N67" s="27"/>
    </row>
    <row r="68" spans="12:14" x14ac:dyDescent="0.25">
      <c r="L68" s="89" t="s">
        <v>191</v>
      </c>
      <c r="M68" s="89">
        <v>1.61</v>
      </c>
    </row>
    <row r="69" spans="12:14" x14ac:dyDescent="0.25">
      <c r="L69" s="89" t="s">
        <v>192</v>
      </c>
      <c r="M69" s="89">
        <v>1.61</v>
      </c>
    </row>
    <row r="70" spans="12:14" x14ac:dyDescent="0.25">
      <c r="L70" s="89" t="s">
        <v>193</v>
      </c>
      <c r="M70" s="89">
        <v>1.61</v>
      </c>
    </row>
    <row r="71" spans="12:14" x14ac:dyDescent="0.25">
      <c r="L71" s="89" t="s">
        <v>99</v>
      </c>
      <c r="M71" s="89">
        <v>1.61</v>
      </c>
    </row>
    <row r="72" spans="12:14" x14ac:dyDescent="0.25">
      <c r="L72" s="89" t="s">
        <v>100</v>
      </c>
      <c r="M72" s="89">
        <v>1.61</v>
      </c>
    </row>
    <row r="73" spans="12:14" x14ac:dyDescent="0.25">
      <c r="L73" s="89" t="s">
        <v>194</v>
      </c>
      <c r="M73" s="89">
        <v>1.61</v>
      </c>
    </row>
    <row r="74" spans="12:14" x14ac:dyDescent="0.25">
      <c r="L74" s="89" t="s">
        <v>195</v>
      </c>
      <c r="M74" s="89">
        <v>1.61</v>
      </c>
    </row>
    <row r="75" spans="12:14" x14ac:dyDescent="0.25">
      <c r="L75" s="89" t="s">
        <v>196</v>
      </c>
      <c r="M75" s="89">
        <v>1.61</v>
      </c>
    </row>
    <row r="76" spans="12:14" x14ac:dyDescent="0.25">
      <c r="L76" s="89" t="s">
        <v>101</v>
      </c>
      <c r="M76" s="89">
        <v>1.61</v>
      </c>
    </row>
    <row r="77" spans="12:14" x14ac:dyDescent="0.25">
      <c r="L77" s="89" t="s">
        <v>211</v>
      </c>
      <c r="M77" s="89">
        <v>1.61</v>
      </c>
    </row>
    <row r="78" spans="12:14" x14ac:dyDescent="0.25">
      <c r="L78" s="89" t="s">
        <v>215</v>
      </c>
      <c r="M78" s="89">
        <v>1.61</v>
      </c>
    </row>
    <row r="79" spans="12:14" x14ac:dyDescent="0.25">
      <c r="L79" s="89" t="s">
        <v>216</v>
      </c>
      <c r="M79" s="89">
        <v>1.61</v>
      </c>
    </row>
    <row r="80" spans="12:14" x14ac:dyDescent="0.25">
      <c r="L80" s="89" t="s">
        <v>217</v>
      </c>
      <c r="M80" s="89">
        <v>1.61</v>
      </c>
    </row>
    <row r="81" spans="12:13" x14ac:dyDescent="0.25">
      <c r="L81" s="89" t="s">
        <v>218</v>
      </c>
      <c r="M81" s="89">
        <v>1.61</v>
      </c>
    </row>
    <row r="82" spans="12:13" x14ac:dyDescent="0.25">
      <c r="L82" s="89" t="s">
        <v>219</v>
      </c>
      <c r="M82" s="89">
        <v>1.61</v>
      </c>
    </row>
    <row r="83" spans="12:13" x14ac:dyDescent="0.25">
      <c r="L83" s="89" t="s">
        <v>220</v>
      </c>
      <c r="M83" s="89">
        <v>1.61</v>
      </c>
    </row>
    <row r="84" spans="12:13" x14ac:dyDescent="0.25">
      <c r="M84">
        <f>AVERAGE(M6:M83)</f>
        <v>1.2807692307692304</v>
      </c>
    </row>
  </sheetData>
  <mergeCells count="3">
    <mergeCell ref="L1:N4"/>
    <mergeCell ref="A1:C3"/>
    <mergeCell ref="D1:F3"/>
  </mergeCells>
  <pageMargins left="0.7" right="0.7" top="0.75" bottom="0.75" header="0.3" footer="0.3"/>
  <pageSetup scale="98" orientation="portrait" r:id="rId1"/>
  <rowBreaks count="1" manualBreakCount="1">
    <brk id="47"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15422-D9F0-4EA9-B8D5-638C07F2F046}">
  <sheetPr>
    <tabColor rgb="FFFF0000"/>
  </sheetPr>
  <dimension ref="A1:P25"/>
  <sheetViews>
    <sheetView view="pageBreakPreview" zoomScale="60" zoomScaleNormal="100" workbookViewId="0">
      <selection activeCell="D3" sqref="D1:E1048576"/>
    </sheetView>
  </sheetViews>
  <sheetFormatPr defaultRowHeight="15" x14ac:dyDescent="0.25"/>
  <cols>
    <col min="1" max="1" width="6.28515625" bestFit="1" customWidth="1"/>
    <col min="2" max="2" width="18.28515625" bestFit="1" customWidth="1"/>
    <col min="3" max="3" width="12" customWidth="1"/>
    <col min="4" max="5" width="9.140625" customWidth="1"/>
    <col min="6" max="6" width="2.5703125" style="73" customWidth="1"/>
    <col min="8" max="8" width="12.85546875" bestFit="1" customWidth="1"/>
  </cols>
  <sheetData>
    <row r="1" spans="1:16" s="40" customFormat="1" x14ac:dyDescent="0.25">
      <c r="A1" s="184" t="s">
        <v>146</v>
      </c>
      <c r="B1" s="184"/>
      <c r="C1" s="184"/>
      <c r="D1" s="184"/>
      <c r="E1" s="184"/>
      <c r="F1" s="73"/>
    </row>
    <row r="2" spans="1:16" s="40" customFormat="1" x14ac:dyDescent="0.25">
      <c r="A2" s="184"/>
      <c r="B2" s="184"/>
      <c r="C2" s="184"/>
      <c r="D2" s="184"/>
      <c r="E2" s="184"/>
      <c r="F2" s="73"/>
    </row>
    <row r="3" spans="1:16" ht="15.75" thickBot="1" x14ac:dyDescent="0.3"/>
    <row r="4" spans="1:16" x14ac:dyDescent="0.25">
      <c r="A4" s="67"/>
      <c r="B4" s="68" t="s">
        <v>132</v>
      </c>
      <c r="D4" s="189" t="s">
        <v>8</v>
      </c>
      <c r="E4" s="191"/>
    </row>
    <row r="5" spans="1:16" ht="15.75" thickBot="1" x14ac:dyDescent="0.3">
      <c r="A5" s="69">
        <v>2021</v>
      </c>
      <c r="B5" s="70">
        <f>SUM(E6:E6)*(1+INFLATION!B6)</f>
        <v>0</v>
      </c>
      <c r="D5" s="12"/>
      <c r="E5" s="17" t="str">
        <f>IF(I9="","",I9)</f>
        <v/>
      </c>
    </row>
    <row r="6" spans="1:16" ht="14.1" customHeight="1" x14ac:dyDescent="0.25">
      <c r="A6" s="69">
        <v>2022</v>
      </c>
      <c r="B6" s="70">
        <f>SUM(E7:E7)*(1+INFLATION!B7)</f>
        <v>0</v>
      </c>
      <c r="D6" s="14">
        <v>2021</v>
      </c>
      <c r="E6" s="26">
        <v>0</v>
      </c>
      <c r="H6" s="192" t="s">
        <v>12</v>
      </c>
      <c r="I6" s="193"/>
      <c r="J6" s="193"/>
      <c r="K6" s="193"/>
      <c r="L6" s="193"/>
      <c r="M6" s="193"/>
      <c r="N6" s="193"/>
      <c r="O6" s="193"/>
      <c r="P6" s="198"/>
    </row>
    <row r="7" spans="1:16" ht="14.45" customHeight="1" x14ac:dyDescent="0.25">
      <c r="A7" s="69">
        <v>2023</v>
      </c>
      <c r="B7" s="70">
        <f>SUM(E8:E8)*(1+INFLATION!B8)</f>
        <v>0</v>
      </c>
      <c r="D7" s="14">
        <v>2022</v>
      </c>
      <c r="E7" s="26">
        <v>0</v>
      </c>
      <c r="H7" s="194"/>
      <c r="I7" s="195"/>
      <c r="J7" s="195"/>
      <c r="K7" s="195"/>
      <c r="L7" s="195"/>
      <c r="M7" s="195"/>
      <c r="N7" s="195"/>
      <c r="O7" s="195"/>
      <c r="P7" s="199"/>
    </row>
    <row r="8" spans="1:16" ht="15" customHeight="1" thickBot="1" x14ac:dyDescent="0.3">
      <c r="A8" s="69">
        <v>2024</v>
      </c>
      <c r="B8" s="70">
        <f>SUM(E9:E9)*(1+INFLATION!B9)</f>
        <v>0</v>
      </c>
      <c r="D8" s="14">
        <v>2023</v>
      </c>
      <c r="E8" s="26">
        <v>0</v>
      </c>
      <c r="H8" s="196"/>
      <c r="I8" s="197"/>
      <c r="J8" s="197"/>
      <c r="K8" s="197"/>
      <c r="L8" s="197"/>
      <c r="M8" s="197"/>
      <c r="N8" s="197"/>
      <c r="O8" s="197"/>
      <c r="P8" s="200"/>
    </row>
    <row r="9" spans="1:16" x14ac:dyDescent="0.25">
      <c r="A9" s="69">
        <v>2025</v>
      </c>
      <c r="B9" s="70">
        <f>SUM(E10:E10)*(1+INFLATION!B10)</f>
        <v>0</v>
      </c>
      <c r="D9" s="14">
        <v>2024</v>
      </c>
      <c r="E9" s="26">
        <v>0</v>
      </c>
      <c r="H9" s="1"/>
      <c r="I9" s="7"/>
      <c r="J9" s="7"/>
      <c r="K9" s="7"/>
      <c r="L9" s="7"/>
      <c r="M9" s="7"/>
      <c r="N9" s="7"/>
      <c r="O9" s="7"/>
      <c r="P9" s="8"/>
    </row>
    <row r="10" spans="1:16" x14ac:dyDescent="0.25">
      <c r="A10" s="69">
        <v>2026</v>
      </c>
      <c r="B10" s="70">
        <f>SUM(E11:E11)*(1+INFLATION!B11)</f>
        <v>0</v>
      </c>
      <c r="D10" s="14">
        <v>2025</v>
      </c>
      <c r="E10" s="26">
        <v>0</v>
      </c>
      <c r="H10" s="12" t="s">
        <v>6</v>
      </c>
      <c r="I10" s="7"/>
      <c r="J10" s="7"/>
      <c r="K10" s="7"/>
      <c r="L10" s="7"/>
      <c r="M10" s="7"/>
      <c r="N10" s="7"/>
      <c r="O10" s="7"/>
      <c r="P10" s="8"/>
    </row>
    <row r="11" spans="1:16" ht="15.75" thickBot="1" x14ac:dyDescent="0.3">
      <c r="A11" s="69">
        <v>2027</v>
      </c>
      <c r="B11" s="70">
        <f>SUM(E12:E12)*(1+INFLATION!B12)</f>
        <v>0</v>
      </c>
      <c r="D11" s="14">
        <v>2026</v>
      </c>
      <c r="E11" s="26">
        <v>0</v>
      </c>
      <c r="H11" s="13" t="s">
        <v>7</v>
      </c>
      <c r="I11" s="9"/>
      <c r="J11" s="9"/>
      <c r="K11" s="9"/>
      <c r="L11" s="9"/>
      <c r="M11" s="9"/>
      <c r="N11" s="9"/>
      <c r="O11" s="9"/>
      <c r="P11" s="10"/>
    </row>
    <row r="12" spans="1:16" x14ac:dyDescent="0.25">
      <c r="A12" s="69">
        <v>2028</v>
      </c>
      <c r="B12" s="70">
        <f>SUM(E13:E13)*(1+INFLATION!B13)</f>
        <v>0</v>
      </c>
      <c r="D12" s="14">
        <v>2027</v>
      </c>
      <c r="E12" s="26">
        <v>0</v>
      </c>
    </row>
    <row r="13" spans="1:16" x14ac:dyDescent="0.25">
      <c r="A13" s="69">
        <v>2029</v>
      </c>
      <c r="B13" s="70">
        <f>SUM(E14:E14)*(1+INFLATION!B14)</f>
        <v>0</v>
      </c>
      <c r="D13" s="14">
        <v>2028</v>
      </c>
      <c r="E13" s="26">
        <v>0</v>
      </c>
    </row>
    <row r="14" spans="1:16" x14ac:dyDescent="0.25">
      <c r="A14" s="69">
        <v>2030</v>
      </c>
      <c r="B14" s="70">
        <f>SUM(E15:E15)*(1+INFLATION!B15)</f>
        <v>0</v>
      </c>
      <c r="D14" s="14">
        <v>2029</v>
      </c>
      <c r="E14" s="26">
        <v>0</v>
      </c>
    </row>
    <row r="15" spans="1:16" x14ac:dyDescent="0.25">
      <c r="A15" s="69">
        <v>2031</v>
      </c>
      <c r="B15" s="70">
        <f>SUM(E16:E16)*(1+INFLATION!B16)</f>
        <v>0</v>
      </c>
      <c r="D15" s="14">
        <v>2030</v>
      </c>
      <c r="E15" s="26">
        <v>0</v>
      </c>
    </row>
    <row r="16" spans="1:16" x14ac:dyDescent="0.25">
      <c r="A16" s="69">
        <v>2032</v>
      </c>
      <c r="B16" s="70">
        <f>SUM(E17:E17)*(1+INFLATION!B17)</f>
        <v>0</v>
      </c>
      <c r="D16" s="14">
        <v>2031</v>
      </c>
      <c r="E16" s="26">
        <v>0</v>
      </c>
    </row>
    <row r="17" spans="1:5" x14ac:dyDescent="0.25">
      <c r="A17" s="69">
        <v>2033</v>
      </c>
      <c r="B17" s="70">
        <f>SUM(E18:E18)*(1+INFLATION!B18)</f>
        <v>0</v>
      </c>
      <c r="D17" s="14">
        <v>2032</v>
      </c>
      <c r="E17" s="26">
        <v>0</v>
      </c>
    </row>
    <row r="18" spans="1:5" x14ac:dyDescent="0.25">
      <c r="A18" s="69">
        <v>2034</v>
      </c>
      <c r="B18" s="70">
        <f>SUM(E19:E19)*(1+INFLATION!B19)</f>
        <v>0</v>
      </c>
      <c r="D18" s="14">
        <v>2033</v>
      </c>
      <c r="E18" s="26">
        <v>0</v>
      </c>
    </row>
    <row r="19" spans="1:5" x14ac:dyDescent="0.25">
      <c r="A19" s="69">
        <v>2035</v>
      </c>
      <c r="B19" s="70">
        <f>SUM(E20:E20)*(1+INFLATION!B20)</f>
        <v>0</v>
      </c>
      <c r="D19" s="14">
        <v>2034</v>
      </c>
      <c r="E19" s="26">
        <v>0</v>
      </c>
    </row>
    <row r="20" spans="1:5" x14ac:dyDescent="0.25">
      <c r="A20" s="69">
        <v>2036</v>
      </c>
      <c r="B20" s="70">
        <f>SUM(E21:E21)*(1+INFLATION!B21)</f>
        <v>0</v>
      </c>
      <c r="D20" s="14">
        <v>2035</v>
      </c>
      <c r="E20" s="26">
        <v>0</v>
      </c>
    </row>
    <row r="21" spans="1:5" x14ac:dyDescent="0.25">
      <c r="A21" s="69">
        <v>2037</v>
      </c>
      <c r="B21" s="70">
        <f>SUM(E22:E22)*(1+INFLATION!B22)</f>
        <v>0</v>
      </c>
      <c r="D21" s="14">
        <v>2036</v>
      </c>
      <c r="E21" s="26">
        <v>0</v>
      </c>
    </row>
    <row r="22" spans="1:5" x14ac:dyDescent="0.25">
      <c r="A22" s="69">
        <v>2038</v>
      </c>
      <c r="B22" s="70">
        <f>SUM(E23:E23)*(1+INFLATION!B23)</f>
        <v>0</v>
      </c>
      <c r="D22" s="14">
        <v>2037</v>
      </c>
      <c r="E22" s="26">
        <v>0</v>
      </c>
    </row>
    <row r="23" spans="1:5" x14ac:dyDescent="0.25">
      <c r="A23" s="69">
        <v>2039</v>
      </c>
      <c r="B23" s="70">
        <f>SUM(E24:E24)*(1+INFLATION!B24)</f>
        <v>0</v>
      </c>
      <c r="D23" s="14">
        <v>2038</v>
      </c>
      <c r="E23" s="26">
        <v>0</v>
      </c>
    </row>
    <row r="24" spans="1:5" ht="15.75" thickBot="1" x14ac:dyDescent="0.3">
      <c r="A24" s="59">
        <v>2040</v>
      </c>
      <c r="B24" s="71">
        <f>SUM(E25:E25)*(1+INFLATION!B25)</f>
        <v>0</v>
      </c>
      <c r="D24" s="14">
        <v>2039</v>
      </c>
      <c r="E24" s="26">
        <v>0</v>
      </c>
    </row>
    <row r="25" spans="1:5" ht="15.75" thickBot="1" x14ac:dyDescent="0.3">
      <c r="D25" s="15">
        <v>2040</v>
      </c>
      <c r="E25" s="27">
        <v>0</v>
      </c>
    </row>
  </sheetData>
  <mergeCells count="3">
    <mergeCell ref="H6:P8"/>
    <mergeCell ref="D4:E4"/>
    <mergeCell ref="A1:E2"/>
  </mergeCells>
  <pageMargins left="0.7" right="0.7" top="0.75" bottom="0.75" header="0.3" footer="0.3"/>
  <pageSetup orientation="portrait"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A0B2A-C3C6-4B3B-8C1E-F17DDB000BCC}">
  <sheetPr>
    <tabColor rgb="FFFF0000"/>
  </sheetPr>
  <dimension ref="A1:O80"/>
  <sheetViews>
    <sheetView view="pageBreakPreview" zoomScale="60" zoomScaleNormal="100" workbookViewId="0">
      <selection sqref="A1:E2"/>
    </sheetView>
  </sheetViews>
  <sheetFormatPr defaultRowHeight="15" x14ac:dyDescent="0.25"/>
  <cols>
    <col min="1" max="1" width="6.28515625" bestFit="1" customWidth="1"/>
    <col min="2" max="2" width="18.28515625" bestFit="1" customWidth="1"/>
    <col min="3" max="3" width="12" customWidth="1"/>
    <col min="4" max="5" width="11.28515625" customWidth="1"/>
    <col min="7" max="7" width="14.28515625" bestFit="1" customWidth="1"/>
    <col min="8" max="8" width="11.85546875" customWidth="1"/>
  </cols>
  <sheetData>
    <row r="1" spans="1:15" ht="15.75" thickBot="1" x14ac:dyDescent="0.3">
      <c r="A1" s="184" t="s">
        <v>147</v>
      </c>
      <c r="B1" s="184"/>
      <c r="C1" s="184"/>
      <c r="D1" s="184"/>
      <c r="E1" s="184"/>
      <c r="G1" s="23" t="s">
        <v>14</v>
      </c>
      <c r="H1" s="24">
        <f>MIN(H11:O11)</f>
        <v>0</v>
      </c>
    </row>
    <row r="2" spans="1:15" s="40" customFormat="1" x14ac:dyDescent="0.25">
      <c r="A2" s="184"/>
      <c r="B2" s="184"/>
      <c r="C2" s="184"/>
      <c r="D2" s="184"/>
      <c r="E2" s="184"/>
      <c r="G2" s="16"/>
      <c r="H2" s="16"/>
    </row>
    <row r="3" spans="1:15" s="40" customFormat="1" ht="15.75" thickBot="1" x14ac:dyDescent="0.3">
      <c r="G3" s="16"/>
      <c r="H3" s="16"/>
    </row>
    <row r="4" spans="1:15" x14ac:dyDescent="0.25">
      <c r="A4" s="67"/>
      <c r="B4" s="68" t="s">
        <v>132</v>
      </c>
      <c r="D4" s="189" t="s">
        <v>15</v>
      </c>
      <c r="E4" s="191"/>
    </row>
    <row r="5" spans="1:15" ht="15.75" thickBot="1" x14ac:dyDescent="0.3">
      <c r="A5" s="69">
        <v>2019</v>
      </c>
      <c r="B5" s="70">
        <f>IF(OR(A5&lt;$H$1,$H$1=0),$J$80,SUM(E6:E6))*(1+INFLATION!B6)</f>
        <v>0</v>
      </c>
      <c r="D5" s="12"/>
      <c r="E5" s="17" t="str">
        <f>IF(H9="","",H9)</f>
        <v/>
      </c>
    </row>
    <row r="6" spans="1:15" ht="14.1" customHeight="1" x14ac:dyDescent="0.25">
      <c r="A6" s="69">
        <v>2020</v>
      </c>
      <c r="B6" s="70">
        <f>IF(OR(A6&lt;$H$1,$H$1=0),$J$80,SUM(E7:E7))*(1+INFLATION!B7)</f>
        <v>0</v>
      </c>
      <c r="D6" s="14">
        <v>2019</v>
      </c>
      <c r="E6" s="26">
        <v>0</v>
      </c>
      <c r="G6" s="192" t="s">
        <v>13</v>
      </c>
      <c r="H6" s="193"/>
      <c r="I6" s="193"/>
      <c r="J6" s="193"/>
      <c r="K6" s="193"/>
      <c r="L6" s="193"/>
      <c r="M6" s="193"/>
      <c r="N6" s="193"/>
      <c r="O6" s="198"/>
    </row>
    <row r="7" spans="1:15" ht="14.45" customHeight="1" x14ac:dyDescent="0.25">
      <c r="A7" s="69">
        <v>2021</v>
      </c>
      <c r="B7" s="70">
        <f>IF(OR(A7&lt;$H$1,$H$1=0),$J$80,SUM(E8:E8))*(1+INFLATION!B8)</f>
        <v>0</v>
      </c>
      <c r="D7" s="14">
        <v>2020</v>
      </c>
      <c r="E7" s="26">
        <v>0</v>
      </c>
      <c r="G7" s="194"/>
      <c r="H7" s="195"/>
      <c r="I7" s="195"/>
      <c r="J7" s="195"/>
      <c r="K7" s="195"/>
      <c r="L7" s="195"/>
      <c r="M7" s="195"/>
      <c r="N7" s="195"/>
      <c r="O7" s="199"/>
    </row>
    <row r="8" spans="1:15" ht="15" customHeight="1" thickBot="1" x14ac:dyDescent="0.3">
      <c r="A8" s="69">
        <v>2022</v>
      </c>
      <c r="B8" s="70">
        <f>IF(OR(A8&lt;$H$1,$H$1=0),$J$80,SUM(E9:E9))*(1+INFLATION!B9)</f>
        <v>0</v>
      </c>
      <c r="D8" s="14">
        <v>2021</v>
      </c>
      <c r="E8" s="26">
        <v>0</v>
      </c>
      <c r="G8" s="196"/>
      <c r="H8" s="197"/>
      <c r="I8" s="197"/>
      <c r="J8" s="197"/>
      <c r="K8" s="197"/>
      <c r="L8" s="197"/>
      <c r="M8" s="197"/>
      <c r="N8" s="197"/>
      <c r="O8" s="200"/>
    </row>
    <row r="9" spans="1:15" x14ac:dyDescent="0.25">
      <c r="A9" s="69">
        <v>2023</v>
      </c>
      <c r="B9" s="70">
        <f>IF(OR(A9&lt;$H$1,$H$1=0),$J$80,SUM(E10:E10))*(1+INFLATION!B10)</f>
        <v>0</v>
      </c>
      <c r="D9" s="14">
        <v>2022</v>
      </c>
      <c r="E9" s="26">
        <v>0</v>
      </c>
      <c r="G9" s="28"/>
      <c r="H9" s="20" t="str">
        <f>IF('FIXED STORAGE'!I9="","",'FIXED STORAGE'!I9)</f>
        <v/>
      </c>
      <c r="I9" s="20" t="str">
        <f>IF('FIXED STORAGE'!J9="","",'FIXED STORAGE'!J9)</f>
        <v/>
      </c>
      <c r="J9" s="20" t="str">
        <f>IF('FIXED STORAGE'!K9="","",'FIXED STORAGE'!K9)</f>
        <v/>
      </c>
      <c r="K9" s="20" t="str">
        <f>IF('FIXED STORAGE'!L9="","",'FIXED STORAGE'!L9)</f>
        <v/>
      </c>
      <c r="L9" s="20" t="str">
        <f>IF('FIXED STORAGE'!M9="","",'FIXED STORAGE'!M9)</f>
        <v/>
      </c>
      <c r="M9" s="20" t="str">
        <f>IF('FIXED STORAGE'!N9="","",'FIXED STORAGE'!N9)</f>
        <v/>
      </c>
      <c r="N9" s="20" t="str">
        <f>IF('FIXED STORAGE'!O9="","",'FIXED STORAGE'!O9)</f>
        <v/>
      </c>
      <c r="O9" s="21" t="str">
        <f>IF('FIXED STORAGE'!P9="","",'FIXED STORAGE'!P9)</f>
        <v/>
      </c>
    </row>
    <row r="10" spans="1:15" ht="15.75" thickBot="1" x14ac:dyDescent="0.3">
      <c r="A10" s="69">
        <v>2024</v>
      </c>
      <c r="B10" s="70">
        <f>IF(OR(A10&lt;$H$1,$H$1=0),$J$80,SUM(E11:E11))*(1+INFLATION!B11)</f>
        <v>0</v>
      </c>
      <c r="D10" s="14">
        <v>2023</v>
      </c>
      <c r="E10" s="26">
        <v>0</v>
      </c>
      <c r="G10" s="12" t="s">
        <v>6</v>
      </c>
      <c r="H10" s="7"/>
      <c r="I10" s="7"/>
      <c r="J10" s="7"/>
      <c r="K10" s="7"/>
      <c r="L10" s="7"/>
      <c r="M10" s="7"/>
      <c r="N10" s="7"/>
      <c r="O10" s="8"/>
    </row>
    <row r="11" spans="1:15" ht="15.75" thickBot="1" x14ac:dyDescent="0.3">
      <c r="A11" s="69">
        <v>2025</v>
      </c>
      <c r="B11" s="70">
        <f>IF(OR(A11&lt;$H$1,$H$1=0),$J$80,SUM(E12:E12))*(1+INFLATION!B12)</f>
        <v>0</v>
      </c>
      <c r="D11" s="14">
        <v>2024</v>
      </c>
      <c r="E11" s="26">
        <v>0</v>
      </c>
      <c r="G11" s="13" t="s">
        <v>7</v>
      </c>
      <c r="H11" s="20" t="str">
        <f>IF('FIXED STORAGE'!I11="","",'FIXED STORAGE'!I11)</f>
        <v/>
      </c>
      <c r="I11" s="20" t="str">
        <f>IF('FIXED STORAGE'!J11="","",'FIXED STORAGE'!J11)</f>
        <v/>
      </c>
      <c r="J11" s="20" t="str">
        <f>IF('FIXED STORAGE'!K11="","",'FIXED STORAGE'!K11)</f>
        <v/>
      </c>
      <c r="K11" s="20" t="str">
        <f>IF('FIXED STORAGE'!L11="","",'FIXED STORAGE'!L11)</f>
        <v/>
      </c>
      <c r="L11" s="20" t="str">
        <f>IF('FIXED STORAGE'!M11="","",'FIXED STORAGE'!M11)</f>
        <v/>
      </c>
      <c r="M11" s="20" t="str">
        <f>IF('FIXED STORAGE'!N11="","",'FIXED STORAGE'!N11)</f>
        <v/>
      </c>
      <c r="N11" s="20" t="str">
        <f>IF('FIXED STORAGE'!O11="","",'FIXED STORAGE'!O11)</f>
        <v/>
      </c>
      <c r="O11" s="20" t="str">
        <f>IF('FIXED STORAGE'!P11="","",'FIXED STORAGE'!P11)</f>
        <v/>
      </c>
    </row>
    <row r="12" spans="1:15" ht="15.75" thickBot="1" x14ac:dyDescent="0.3">
      <c r="A12" s="69">
        <v>2026</v>
      </c>
      <c r="B12" s="70">
        <f>IF(OR(A12&lt;$H$1,$H$1=0),$J$80,SUM(E13:E13))*(1+INFLATION!B13)</f>
        <v>0</v>
      </c>
      <c r="D12" s="14">
        <v>2025</v>
      </c>
      <c r="E12" s="26">
        <v>0</v>
      </c>
    </row>
    <row r="13" spans="1:15" ht="14.45" customHeight="1" x14ac:dyDescent="0.25">
      <c r="A13" s="69">
        <v>2027</v>
      </c>
      <c r="B13" s="70">
        <f>IF(OR(A13&lt;$H$1,$H$1=0),$J$80,SUM(E14:E14))*(1+INFLATION!B14)</f>
        <v>0</v>
      </c>
      <c r="D13" s="14">
        <v>2026</v>
      </c>
      <c r="E13" s="26">
        <v>0</v>
      </c>
      <c r="H13" s="5"/>
      <c r="I13" s="202" t="s">
        <v>11</v>
      </c>
      <c r="J13" s="203"/>
      <c r="K13" s="204"/>
    </row>
    <row r="14" spans="1:15" ht="14.45" customHeight="1" x14ac:dyDescent="0.25">
      <c r="A14" s="69">
        <v>2028</v>
      </c>
      <c r="B14" s="70">
        <f>IF(OR(A14&lt;$H$1,$H$1=0),$J$80,SUM(E15:E15))*(1+INFLATION!B15)</f>
        <v>0</v>
      </c>
      <c r="D14" s="14">
        <v>2027</v>
      </c>
      <c r="E14" s="26">
        <v>0</v>
      </c>
      <c r="G14" s="5"/>
      <c r="H14" s="5"/>
      <c r="I14" s="205"/>
      <c r="J14" s="206"/>
      <c r="K14" s="207"/>
    </row>
    <row r="15" spans="1:15" ht="14.45" customHeight="1" x14ac:dyDescent="0.25">
      <c r="A15" s="69">
        <v>2029</v>
      </c>
      <c r="B15" s="70">
        <f>IF(OR(A15&lt;$H$1,$H$1=0),$J$80,SUM(E16:E16))*(1+INFLATION!B16)</f>
        <v>0</v>
      </c>
      <c r="D15" s="14">
        <v>2028</v>
      </c>
      <c r="E15" s="26">
        <v>0</v>
      </c>
      <c r="G15" s="5"/>
      <c r="H15" s="5"/>
      <c r="I15" s="205"/>
      <c r="J15" s="206"/>
      <c r="K15" s="207"/>
    </row>
    <row r="16" spans="1:15" ht="15" customHeight="1" thickBot="1" x14ac:dyDescent="0.3">
      <c r="A16" s="69">
        <v>2030</v>
      </c>
      <c r="B16" s="70">
        <f>IF(OR(A16&lt;$H$1,$H$1=0),$J$80,SUM(E17:E17))*(1+INFLATION!B17)</f>
        <v>0</v>
      </c>
      <c r="D16" s="14">
        <v>2029</v>
      </c>
      <c r="E16" s="26">
        <v>0</v>
      </c>
      <c r="G16" s="5"/>
      <c r="H16" s="5"/>
      <c r="I16" s="208"/>
      <c r="J16" s="209"/>
      <c r="K16" s="210"/>
    </row>
    <row r="17" spans="1:11" x14ac:dyDescent="0.25">
      <c r="A17" s="69">
        <v>2031</v>
      </c>
      <c r="B17" s="70">
        <f>IF(OR(A17&lt;$H$1,$H$1=0),$J$80,SUM(E18:E18))*(1+INFLATION!B18)</f>
        <v>0</v>
      </c>
      <c r="D17" s="14">
        <v>2030</v>
      </c>
      <c r="E17" s="26">
        <v>0</v>
      </c>
      <c r="G17" s="2"/>
      <c r="H17" s="2"/>
      <c r="I17" s="28" t="s">
        <v>16</v>
      </c>
      <c r="J17" s="20" t="s">
        <v>6</v>
      </c>
      <c r="K17" s="25"/>
    </row>
    <row r="18" spans="1:11" x14ac:dyDescent="0.25">
      <c r="A18" s="69">
        <v>2032</v>
      </c>
      <c r="B18" s="70">
        <f>IF(OR(A18&lt;$H$1,$H$1=0),$J$80,SUM(E19:E19))*(1+INFLATION!B19)</f>
        <v>0</v>
      </c>
      <c r="D18" s="14">
        <v>2031</v>
      </c>
      <c r="E18" s="26">
        <v>0</v>
      </c>
      <c r="G18" s="2"/>
      <c r="H18" s="2"/>
      <c r="I18" s="6"/>
      <c r="J18" s="7">
        <v>0</v>
      </c>
      <c r="K18" s="26"/>
    </row>
    <row r="19" spans="1:11" x14ac:dyDescent="0.25">
      <c r="A19" s="69">
        <v>2033</v>
      </c>
      <c r="B19" s="70">
        <f>IF(OR(A19&lt;$H$1,$H$1=0),$J$80,SUM(E20:E20))*(1+INFLATION!B20)</f>
        <v>0</v>
      </c>
      <c r="D19" s="14">
        <v>2032</v>
      </c>
      <c r="E19" s="26">
        <v>0</v>
      </c>
      <c r="G19" s="2"/>
      <c r="H19" s="2"/>
      <c r="I19" s="6"/>
      <c r="J19" s="7"/>
      <c r="K19" s="26"/>
    </row>
    <row r="20" spans="1:11" x14ac:dyDescent="0.25">
      <c r="A20" s="69">
        <v>2034</v>
      </c>
      <c r="B20" s="70">
        <f>IF(OR(A20&lt;$H$1,$H$1=0),$J$80,SUM(E21:E21))*(1+INFLATION!B21)</f>
        <v>0</v>
      </c>
      <c r="D20" s="14">
        <v>2033</v>
      </c>
      <c r="E20" s="26">
        <v>0</v>
      </c>
      <c r="G20" s="2"/>
      <c r="H20" s="2"/>
      <c r="I20" s="6"/>
      <c r="J20" s="7"/>
      <c r="K20" s="26"/>
    </row>
    <row r="21" spans="1:11" x14ac:dyDescent="0.25">
      <c r="A21" s="69">
        <v>2035</v>
      </c>
      <c r="B21" s="70">
        <f>IF(OR(A21&lt;$H$1,$H$1=0),$J$80,SUM(E22:E22))*(1+INFLATION!B22)</f>
        <v>0</v>
      </c>
      <c r="D21" s="14">
        <v>2034</v>
      </c>
      <c r="E21" s="26">
        <v>0</v>
      </c>
      <c r="G21" s="2"/>
      <c r="H21" s="2"/>
      <c r="I21" s="6"/>
      <c r="J21" s="7"/>
      <c r="K21" s="26"/>
    </row>
    <row r="22" spans="1:11" x14ac:dyDescent="0.25">
      <c r="A22" s="69">
        <v>2036</v>
      </c>
      <c r="B22" s="70">
        <f>IF(OR(A22&lt;$H$1,$H$1=0),$J$80,SUM(E23:E23))*(1+INFLATION!B23)</f>
        <v>0</v>
      </c>
      <c r="D22" s="14">
        <v>2035</v>
      </c>
      <c r="E22" s="26">
        <v>0</v>
      </c>
      <c r="G22" s="2"/>
      <c r="H22" s="2"/>
      <c r="I22" s="6"/>
      <c r="J22" s="7"/>
      <c r="K22" s="26"/>
    </row>
    <row r="23" spans="1:11" x14ac:dyDescent="0.25">
      <c r="A23" s="69">
        <v>2037</v>
      </c>
      <c r="B23" s="70">
        <f>IF(OR(A23&lt;$H$1,$H$1=0),$J$80,SUM(E24:E24))*(1+INFLATION!B24)</f>
        <v>0</v>
      </c>
      <c r="D23" s="14">
        <v>2036</v>
      </c>
      <c r="E23" s="26">
        <v>0</v>
      </c>
      <c r="I23" s="6"/>
      <c r="J23" s="7"/>
      <c r="K23" s="26"/>
    </row>
    <row r="24" spans="1:11" ht="15.75" thickBot="1" x14ac:dyDescent="0.3">
      <c r="A24" s="59">
        <v>2038</v>
      </c>
      <c r="B24" s="71">
        <f>IF(OR(A24&lt;$H$1,$H$1=0),$J$80,SUM(E25:E25))*(1+INFLATION!B25)</f>
        <v>0</v>
      </c>
      <c r="D24" s="14">
        <v>2037</v>
      </c>
      <c r="E24" s="26">
        <v>0</v>
      </c>
      <c r="I24" s="6"/>
      <c r="J24" s="7"/>
      <c r="K24" s="26"/>
    </row>
    <row r="25" spans="1:11" ht="15.75" thickBot="1" x14ac:dyDescent="0.3">
      <c r="D25" s="15">
        <v>2038</v>
      </c>
      <c r="E25" s="27">
        <v>0</v>
      </c>
      <c r="I25" s="6"/>
      <c r="J25" s="7"/>
      <c r="K25" s="26"/>
    </row>
    <row r="26" spans="1:11" x14ac:dyDescent="0.25">
      <c r="I26" s="6"/>
      <c r="J26" s="7"/>
      <c r="K26" s="26"/>
    </row>
    <row r="27" spans="1:11" x14ac:dyDescent="0.25">
      <c r="I27" s="6"/>
      <c r="J27" s="7"/>
      <c r="K27" s="26"/>
    </row>
    <row r="28" spans="1:11" x14ac:dyDescent="0.25">
      <c r="I28" s="6"/>
      <c r="J28" s="7"/>
      <c r="K28" s="26"/>
    </row>
    <row r="29" spans="1:11" x14ac:dyDescent="0.25">
      <c r="I29" s="6"/>
      <c r="J29" s="7"/>
      <c r="K29" s="26"/>
    </row>
    <row r="30" spans="1:11" x14ac:dyDescent="0.25">
      <c r="I30" s="6"/>
      <c r="J30" s="7"/>
      <c r="K30" s="26"/>
    </row>
    <row r="31" spans="1:11" x14ac:dyDescent="0.25">
      <c r="I31" s="6"/>
      <c r="J31" s="7"/>
      <c r="K31" s="26"/>
    </row>
    <row r="32" spans="1:11" x14ac:dyDescent="0.25">
      <c r="I32" s="6"/>
      <c r="J32" s="7"/>
      <c r="K32" s="26"/>
    </row>
    <row r="33" spans="9:11" x14ac:dyDescent="0.25">
      <c r="I33" s="6"/>
      <c r="J33" s="7"/>
      <c r="K33" s="26"/>
    </row>
    <row r="34" spans="9:11" x14ac:dyDescent="0.25">
      <c r="I34" s="6"/>
      <c r="J34" s="7"/>
      <c r="K34" s="26"/>
    </row>
    <row r="35" spans="9:11" x14ac:dyDescent="0.25">
      <c r="I35" s="6"/>
      <c r="J35" s="7"/>
      <c r="K35" s="26"/>
    </row>
    <row r="36" spans="9:11" x14ac:dyDescent="0.25">
      <c r="I36" s="6"/>
      <c r="J36" s="7"/>
      <c r="K36" s="26"/>
    </row>
    <row r="37" spans="9:11" x14ac:dyDescent="0.25">
      <c r="I37" s="6"/>
      <c r="J37" s="7"/>
      <c r="K37" s="26"/>
    </row>
    <row r="38" spans="9:11" x14ac:dyDescent="0.25">
      <c r="I38" s="6"/>
      <c r="J38" s="7"/>
      <c r="K38" s="26"/>
    </row>
    <row r="39" spans="9:11" x14ac:dyDescent="0.25">
      <c r="I39" s="6"/>
      <c r="J39" s="7"/>
      <c r="K39" s="26"/>
    </row>
    <row r="40" spans="9:11" x14ac:dyDescent="0.25">
      <c r="I40" s="6"/>
      <c r="J40" s="7"/>
      <c r="K40" s="26"/>
    </row>
    <row r="41" spans="9:11" x14ac:dyDescent="0.25">
      <c r="I41" s="6"/>
      <c r="J41" s="7"/>
      <c r="K41" s="26"/>
    </row>
    <row r="42" spans="9:11" x14ac:dyDescent="0.25">
      <c r="I42" s="6"/>
      <c r="J42" s="7"/>
      <c r="K42" s="26"/>
    </row>
    <row r="43" spans="9:11" x14ac:dyDescent="0.25">
      <c r="I43" s="6"/>
      <c r="J43" s="7"/>
      <c r="K43" s="26"/>
    </row>
    <row r="44" spans="9:11" x14ac:dyDescent="0.25">
      <c r="I44" s="6"/>
      <c r="J44" s="7"/>
      <c r="K44" s="26"/>
    </row>
    <row r="45" spans="9:11" x14ac:dyDescent="0.25">
      <c r="I45" s="6"/>
      <c r="J45" s="7"/>
      <c r="K45" s="26"/>
    </row>
    <row r="46" spans="9:11" x14ac:dyDescent="0.25">
      <c r="I46" s="6"/>
      <c r="J46" s="7"/>
      <c r="K46" s="26"/>
    </row>
    <row r="47" spans="9:11" x14ac:dyDescent="0.25">
      <c r="I47" s="6"/>
      <c r="J47" s="7"/>
      <c r="K47" s="26"/>
    </row>
    <row r="48" spans="9:11" x14ac:dyDescent="0.25">
      <c r="I48" s="6"/>
      <c r="J48" s="7"/>
      <c r="K48" s="26"/>
    </row>
    <row r="49" spans="9:11" x14ac:dyDescent="0.25">
      <c r="I49" s="6"/>
      <c r="J49" s="7"/>
      <c r="K49" s="26"/>
    </row>
    <row r="50" spans="9:11" x14ac:dyDescent="0.25">
      <c r="I50" s="6"/>
      <c r="J50" s="7"/>
      <c r="K50" s="26"/>
    </row>
    <row r="51" spans="9:11" x14ac:dyDescent="0.25">
      <c r="I51" s="6"/>
      <c r="J51" s="7"/>
      <c r="K51" s="26"/>
    </row>
    <row r="52" spans="9:11" x14ac:dyDescent="0.25">
      <c r="I52" s="6"/>
      <c r="J52" s="7"/>
      <c r="K52" s="26"/>
    </row>
    <row r="53" spans="9:11" x14ac:dyDescent="0.25">
      <c r="I53" s="6"/>
      <c r="J53" s="7"/>
      <c r="K53" s="26"/>
    </row>
    <row r="54" spans="9:11" x14ac:dyDescent="0.25">
      <c r="I54" s="6"/>
      <c r="J54" s="7"/>
      <c r="K54" s="26"/>
    </row>
    <row r="55" spans="9:11" x14ac:dyDescent="0.25">
      <c r="I55" s="6"/>
      <c r="J55" s="7"/>
      <c r="K55" s="26"/>
    </row>
    <row r="56" spans="9:11" x14ac:dyDescent="0.25">
      <c r="I56" s="6"/>
      <c r="J56" s="7"/>
      <c r="K56" s="26"/>
    </row>
    <row r="57" spans="9:11" x14ac:dyDescent="0.25">
      <c r="I57" s="6"/>
      <c r="J57" s="7"/>
      <c r="K57" s="26"/>
    </row>
    <row r="58" spans="9:11" x14ac:dyDescent="0.25">
      <c r="I58" s="6"/>
      <c r="J58" s="7"/>
      <c r="K58" s="26"/>
    </row>
    <row r="59" spans="9:11" x14ac:dyDescent="0.25">
      <c r="I59" s="6"/>
      <c r="J59" s="7"/>
      <c r="K59" s="26"/>
    </row>
    <row r="60" spans="9:11" x14ac:dyDescent="0.25">
      <c r="I60" s="6"/>
      <c r="J60" s="7"/>
      <c r="K60" s="26"/>
    </row>
    <row r="61" spans="9:11" x14ac:dyDescent="0.25">
      <c r="I61" s="6"/>
      <c r="J61" s="7"/>
      <c r="K61" s="26"/>
    </row>
    <row r="62" spans="9:11" x14ac:dyDescent="0.25">
      <c r="I62" s="6"/>
      <c r="J62" s="7"/>
      <c r="K62" s="26"/>
    </row>
    <row r="63" spans="9:11" x14ac:dyDescent="0.25">
      <c r="I63" s="6"/>
      <c r="J63" s="7"/>
      <c r="K63" s="26"/>
    </row>
    <row r="64" spans="9:11" x14ac:dyDescent="0.25">
      <c r="I64" s="6"/>
      <c r="J64" s="7"/>
      <c r="K64" s="26"/>
    </row>
    <row r="65" spans="9:11" x14ac:dyDescent="0.25">
      <c r="I65" s="6"/>
      <c r="J65" s="7"/>
      <c r="K65" s="26"/>
    </row>
    <row r="66" spans="9:11" x14ac:dyDescent="0.25">
      <c r="I66" s="6"/>
      <c r="J66" s="7"/>
      <c r="K66" s="26"/>
    </row>
    <row r="67" spans="9:11" x14ac:dyDescent="0.25">
      <c r="I67" s="6"/>
      <c r="J67" s="7"/>
      <c r="K67" s="26"/>
    </row>
    <row r="68" spans="9:11" x14ac:dyDescent="0.25">
      <c r="I68" s="6"/>
      <c r="J68" s="7"/>
      <c r="K68" s="26"/>
    </row>
    <row r="69" spans="9:11" x14ac:dyDescent="0.25">
      <c r="I69" s="6"/>
      <c r="J69" s="7"/>
      <c r="K69" s="26"/>
    </row>
    <row r="70" spans="9:11" x14ac:dyDescent="0.25">
      <c r="I70" s="6"/>
      <c r="J70" s="7"/>
      <c r="K70" s="26"/>
    </row>
    <row r="71" spans="9:11" x14ac:dyDescent="0.25">
      <c r="I71" s="6"/>
      <c r="J71" s="7"/>
      <c r="K71" s="26"/>
    </row>
    <row r="72" spans="9:11" x14ac:dyDescent="0.25">
      <c r="I72" s="6"/>
      <c r="J72" s="7"/>
      <c r="K72" s="26"/>
    </row>
    <row r="73" spans="9:11" x14ac:dyDescent="0.25">
      <c r="I73" s="6"/>
      <c r="J73" s="7"/>
      <c r="K73" s="26"/>
    </row>
    <row r="74" spans="9:11" x14ac:dyDescent="0.25">
      <c r="I74" s="6"/>
      <c r="J74" s="7"/>
      <c r="K74" s="26"/>
    </row>
    <row r="75" spans="9:11" x14ac:dyDescent="0.25">
      <c r="I75" s="6"/>
      <c r="J75" s="7"/>
      <c r="K75" s="26"/>
    </row>
    <row r="76" spans="9:11" x14ac:dyDescent="0.25">
      <c r="I76" s="6"/>
      <c r="J76" s="7"/>
      <c r="K76" s="26"/>
    </row>
    <row r="77" spans="9:11" x14ac:dyDescent="0.25">
      <c r="I77" s="6"/>
      <c r="J77" s="7"/>
      <c r="K77" s="26"/>
    </row>
    <row r="78" spans="9:11" x14ac:dyDescent="0.25">
      <c r="I78" s="6"/>
      <c r="J78" s="7"/>
      <c r="K78" s="26"/>
    </row>
    <row r="79" spans="9:11" ht="15.75" thickBot="1" x14ac:dyDescent="0.3">
      <c r="I79" s="22"/>
      <c r="J79" s="9"/>
      <c r="K79" s="27"/>
    </row>
    <row r="80" spans="9:11" x14ac:dyDescent="0.25">
      <c r="I80" s="19" t="s">
        <v>17</v>
      </c>
      <c r="J80" s="19">
        <f>AVERAGE(J18:J79)</f>
        <v>0</v>
      </c>
    </row>
  </sheetData>
  <mergeCells count="4">
    <mergeCell ref="A1:E2"/>
    <mergeCell ref="D4:E4"/>
    <mergeCell ref="G6:O8"/>
    <mergeCell ref="I13:K1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E1495-657A-42E8-8A54-96E390B5E325}">
  <sheetPr>
    <tabColor rgb="FFFFC000"/>
  </sheetPr>
  <dimension ref="A1:AE32"/>
  <sheetViews>
    <sheetView view="pageBreakPreview" zoomScale="60" zoomScaleNormal="100" workbookViewId="0">
      <selection sqref="A1:O2"/>
    </sheetView>
  </sheetViews>
  <sheetFormatPr defaultRowHeight="15" x14ac:dyDescent="0.25"/>
  <cols>
    <col min="7" max="7" width="10.85546875" bestFit="1" customWidth="1"/>
    <col min="10" max="10" width="17.28515625" bestFit="1" customWidth="1"/>
    <col min="16" max="16" width="1.42578125" style="3" customWidth="1"/>
    <col min="24" max="24" width="1" style="3" customWidth="1"/>
  </cols>
  <sheetData>
    <row r="1" spans="1:31" s="40" customFormat="1" ht="15" customHeight="1" x14ac:dyDescent="0.35">
      <c r="A1" s="212" t="s">
        <v>221</v>
      </c>
      <c r="B1" s="213"/>
      <c r="C1" s="213"/>
      <c r="D1" s="213"/>
      <c r="E1" s="213"/>
      <c r="F1" s="213"/>
      <c r="G1" s="213"/>
      <c r="H1" s="213"/>
      <c r="I1" s="213"/>
      <c r="J1" s="213"/>
      <c r="K1" s="213"/>
      <c r="L1" s="213"/>
      <c r="M1" s="213"/>
      <c r="N1" s="213"/>
      <c r="O1" s="214"/>
      <c r="P1" s="73"/>
      <c r="Q1" s="212" t="s">
        <v>148</v>
      </c>
      <c r="R1" s="213"/>
      <c r="S1" s="213"/>
      <c r="T1" s="213"/>
      <c r="U1" s="213"/>
      <c r="V1" s="213"/>
      <c r="W1" s="214"/>
      <c r="X1" s="243"/>
      <c r="Y1" s="243"/>
      <c r="Z1" s="243"/>
      <c r="AA1" s="243"/>
      <c r="AB1" s="243"/>
      <c r="AC1" s="243"/>
      <c r="AD1" s="243"/>
      <c r="AE1" s="244"/>
    </row>
    <row r="2" spans="1:31" s="40" customFormat="1" ht="15.75" customHeight="1" thickBot="1" x14ac:dyDescent="0.4">
      <c r="A2" s="215"/>
      <c r="B2" s="216"/>
      <c r="C2" s="216"/>
      <c r="D2" s="216"/>
      <c r="E2" s="216"/>
      <c r="F2" s="216"/>
      <c r="G2" s="216"/>
      <c r="H2" s="216"/>
      <c r="I2" s="216"/>
      <c r="J2" s="216"/>
      <c r="K2" s="216"/>
      <c r="L2" s="216"/>
      <c r="M2" s="216"/>
      <c r="N2" s="216"/>
      <c r="O2" s="217"/>
      <c r="P2" s="73"/>
      <c r="Q2" s="215"/>
      <c r="R2" s="216"/>
      <c r="S2" s="216"/>
      <c r="T2" s="216"/>
      <c r="U2" s="216"/>
      <c r="V2" s="216"/>
      <c r="W2" s="217"/>
      <c r="X2" s="245"/>
      <c r="Y2" s="245"/>
      <c r="Z2" s="245"/>
      <c r="AA2" s="245"/>
      <c r="AB2" s="245"/>
      <c r="AC2" s="245"/>
      <c r="AD2" s="245"/>
      <c r="AE2" s="246"/>
    </row>
    <row r="3" spans="1:31" ht="31.5" x14ac:dyDescent="0.5">
      <c r="A3" s="67" t="s">
        <v>47</v>
      </c>
      <c r="B3" s="78" t="s">
        <v>27</v>
      </c>
      <c r="C3" s="78" t="s">
        <v>28</v>
      </c>
      <c r="D3" s="78" t="s">
        <v>29</v>
      </c>
      <c r="E3" s="78" t="s">
        <v>30</v>
      </c>
      <c r="F3" s="78" t="s">
        <v>31</v>
      </c>
      <c r="G3" s="78" t="s">
        <v>32</v>
      </c>
      <c r="H3" s="68" t="s">
        <v>33</v>
      </c>
      <c r="J3" s="194" t="s">
        <v>34</v>
      </c>
      <c r="K3" s="195"/>
      <c r="L3" s="195"/>
      <c r="M3" s="195"/>
      <c r="N3" s="195"/>
      <c r="O3" s="199"/>
      <c r="P3" s="73"/>
      <c r="Q3" s="192" t="s">
        <v>38</v>
      </c>
      <c r="R3" s="193"/>
      <c r="S3" s="193"/>
      <c r="T3" s="193"/>
      <c r="U3" s="193"/>
      <c r="V3" s="193"/>
      <c r="W3" s="198"/>
      <c r="Y3" s="192" t="s">
        <v>39</v>
      </c>
      <c r="Z3" s="193"/>
      <c r="AA3" s="193"/>
      <c r="AB3" s="193"/>
      <c r="AC3" s="193"/>
      <c r="AD3" s="193"/>
      <c r="AE3" s="198"/>
    </row>
    <row r="4" spans="1:31" x14ac:dyDescent="0.25">
      <c r="A4" s="69">
        <f>'NEW FINAL CALCULATION '!A2</f>
        <v>2023</v>
      </c>
      <c r="B4" s="79">
        <f t="shared" ref="B4:H19" si="0">IF($K$13="Peak",(VLOOKUP(B$3,$J$5:$M$11,2,FALSE)*$Z5)+(VLOOKUP(B$3,$J$5:$M$11,3,FALSE)*$AA5)+(VLOOKUP(B$3,$J$5:$M$11,4,FALSE)*$AB5),(VLOOKUP(B$3,$J$5:$M$11,2,FALSE)*$R5)+(VLOOKUP(B$3,$J$5:$M$11,3,FALSE)*$S5)+(VLOOKUP(B$3,$J$5:$M$11,4,FALSE)*$T5))</f>
        <v>5.6070676008162081</v>
      </c>
      <c r="C4" s="79">
        <f t="shared" si="0"/>
        <v>5.7748587627523413</v>
      </c>
      <c r="D4" s="79">
        <f t="shared" si="0"/>
        <v>5.7448166534513465</v>
      </c>
      <c r="E4" s="79">
        <f t="shared" si="0"/>
        <v>6.0154918447611756</v>
      </c>
      <c r="F4" s="79">
        <f>IF($K$13="Peak",(VLOOKUP(F$3,$J$5:$M$11,2,FALSE)*$Z5)+(VLOOKUP(F$3,$J$5:$M$11,3,FALSE)*$AA5)+(VLOOKUP(F$3,$J$5:$M$11,4,FALSE)*$AB5),(VLOOKUP(F$3,$J$5:$M$11,2,FALSE)*$R5)+(VLOOKUP(F$3,$J$5:$M$11,3,FALSE)*$S5)+(VLOOKUP(F$3,$J$5:$M$11,4,FALSE)*$T5))</f>
        <v>6.0154918447611756</v>
      </c>
      <c r="G4" s="79">
        <f t="shared" si="0"/>
        <v>5.6197004172968583</v>
      </c>
      <c r="H4" s="70">
        <f t="shared" si="0"/>
        <v>5.8790729355007105</v>
      </c>
      <c r="J4" s="12"/>
      <c r="K4" s="11" t="s">
        <v>35</v>
      </c>
      <c r="L4" s="11" t="s">
        <v>37</v>
      </c>
      <c r="M4" s="11" t="s">
        <v>36</v>
      </c>
      <c r="N4" s="11"/>
      <c r="O4" s="26"/>
      <c r="P4" s="73"/>
      <c r="Q4" s="1"/>
      <c r="R4" s="11" t="s">
        <v>35</v>
      </c>
      <c r="S4" s="11" t="s">
        <v>37</v>
      </c>
      <c r="T4" s="11" t="s">
        <v>36</v>
      </c>
      <c r="U4" s="2"/>
      <c r="V4" s="2"/>
      <c r="W4" s="33"/>
      <c r="Y4" s="1"/>
      <c r="Z4" s="11" t="s">
        <v>35</v>
      </c>
      <c r="AA4" s="11" t="s">
        <v>37</v>
      </c>
      <c r="AB4" s="11" t="s">
        <v>36</v>
      </c>
      <c r="AC4" s="2"/>
      <c r="AD4" s="2"/>
      <c r="AE4" s="33"/>
    </row>
    <row r="5" spans="1:31" x14ac:dyDescent="0.25">
      <c r="A5" s="69">
        <f>A4+1</f>
        <v>2024</v>
      </c>
      <c r="B5" s="79">
        <f t="shared" si="0"/>
        <v>3.7278672204606371</v>
      </c>
      <c r="C5" s="79">
        <f t="shared" ref="C5:C23" si="1">IF($K$13="Peak",(VLOOKUP(C$3,$J$5:$M$11,2,FALSE)*$Z6)+(VLOOKUP(C$3,$J$5:$M$11,3,FALSE)*$AA6)+(VLOOKUP(C$3,$J$5:$M$11,4,FALSE)*$AB6),(VLOOKUP(C$3,$J$5:$M$11,2,FALSE)*$R6)+(VLOOKUP(C$3,$J$5:$M$11,3,FALSE)*$S6)+(VLOOKUP(C$3,$J$5:$M$11,4,FALSE)*$T6))</f>
        <v>3.8428546001467927</v>
      </c>
      <c r="D5" s="79">
        <f t="shared" ref="D5:D23" si="2">IF($K$13="Peak",(VLOOKUP(D$3,$J$5:$M$11,2,FALSE)*$Z6)+(VLOOKUP(D$3,$J$5:$M$11,3,FALSE)*$AA6)+(VLOOKUP(D$3,$J$5:$M$11,4,FALSE)*$AB6),(VLOOKUP(D$3,$J$5:$M$11,2,FALSE)*$R6)+(VLOOKUP(D$3,$J$5:$M$11,3,FALSE)*$S6)+(VLOOKUP(D$3,$J$5:$M$11,4,FALSE)*$T6))</f>
        <v>3.8222667253808891</v>
      </c>
      <c r="E5" s="79">
        <f t="shared" ref="E5:E23" si="3">IF($K$13="Peak",(VLOOKUP(E$3,$J$5:$M$11,2,FALSE)*$Z6)+(VLOOKUP(E$3,$J$5:$M$11,3,FALSE)*$AA6)+(VLOOKUP(E$3,$J$5:$M$11,4,FALSE)*$AB6),(VLOOKUP(E$3,$J$5:$M$11,2,FALSE)*$R6)+(VLOOKUP(E$3,$J$5:$M$11,3,FALSE)*$S6)+(VLOOKUP(E$3,$J$5:$M$11,4,FALSE)*$T6))</f>
        <v>4.0045571146534691</v>
      </c>
      <c r="F5" s="79">
        <f t="shared" ref="F5:F23" si="4">IF($K$13="Peak",(VLOOKUP(F$3,$J$5:$M$11,2,FALSE)*$Z6)+(VLOOKUP(F$3,$J$5:$M$11,3,FALSE)*$AA6)+(VLOOKUP(F$3,$J$5:$M$11,4,FALSE)*$AB6),(VLOOKUP(F$3,$J$5:$M$11,2,FALSE)*$R6)+(VLOOKUP(F$3,$J$5:$M$11,3,FALSE)*$S6)+(VLOOKUP(F$3,$J$5:$M$11,4,FALSE)*$T6))</f>
        <v>4.0045571146534691</v>
      </c>
      <c r="G5" s="79">
        <f t="shared" ref="G5:G23" si="5">IF($K$13="Peak",(VLOOKUP(G$3,$J$5:$M$11,2,FALSE)*$Z6)+(VLOOKUP(G$3,$J$5:$M$11,3,FALSE)*$AA6)+(VLOOKUP(G$3,$J$5:$M$11,4,FALSE)*$AB6),(VLOOKUP(G$3,$J$5:$M$11,2,FALSE)*$R6)+(VLOOKUP(G$3,$J$5:$M$11,3,FALSE)*$S6)+(VLOOKUP(G$3,$J$5:$M$11,4,FALSE)*$T6))</f>
        <v>3.7365244968535309</v>
      </c>
      <c r="H5" s="70">
        <f t="shared" ref="H5:H23" si="6">IF($K$13="Peak",(VLOOKUP(H$3,$J$5:$M$11,2,FALSE)*$Z6)+(VLOOKUP(H$3,$J$5:$M$11,3,FALSE)*$AA6)+(VLOOKUP(H$3,$J$5:$M$11,4,FALSE)*$AB6),(VLOOKUP(H$3,$J$5:$M$11,2,FALSE)*$R6)+(VLOOKUP(H$3,$J$5:$M$11,3,FALSE)*$S6)+(VLOOKUP(H$3,$J$5:$M$11,4,FALSE)*$T6))</f>
        <v>3.9115386184901815</v>
      </c>
      <c r="J5" s="14" t="s">
        <v>27</v>
      </c>
      <c r="K5" s="7">
        <v>0</v>
      </c>
      <c r="L5" s="7">
        <v>0.40908289415237914</v>
      </c>
      <c r="M5" s="7">
        <v>0.59091710584762092</v>
      </c>
      <c r="N5" s="11"/>
      <c r="O5" s="26"/>
      <c r="P5" s="73"/>
      <c r="Q5" s="14">
        <f>A4</f>
        <v>2023</v>
      </c>
      <c r="R5" s="7">
        <v>6.8280983810024596</v>
      </c>
      <c r="S5" s="7">
        <v>6.6638883745475539</v>
      </c>
      <c r="T5" s="7">
        <v>4.8754467077330084</v>
      </c>
      <c r="U5" s="2"/>
      <c r="V5" s="2"/>
      <c r="W5" s="33"/>
      <c r="Y5" s="14">
        <f>Q5</f>
        <v>2023</v>
      </c>
      <c r="Z5" s="7">
        <v>2.0299999999999998</v>
      </c>
      <c r="AA5" s="7">
        <v>3.17</v>
      </c>
      <c r="AB5" s="7">
        <v>4.01</v>
      </c>
      <c r="AC5" s="2"/>
      <c r="AD5" s="2"/>
      <c r="AE5" s="33"/>
    </row>
    <row r="6" spans="1:31" x14ac:dyDescent="0.25">
      <c r="A6" s="69">
        <f t="shared" ref="A6:A23" si="7">A5+1</f>
        <v>2025</v>
      </c>
      <c r="B6" s="79">
        <f t="shared" si="0"/>
        <v>3.1424121397855389</v>
      </c>
      <c r="C6" s="79">
        <f t="shared" si="1"/>
        <v>3.2363607482219523</v>
      </c>
      <c r="D6" s="79">
        <f t="shared" si="2"/>
        <v>3.2195397528205527</v>
      </c>
      <c r="E6" s="79">
        <f t="shared" si="3"/>
        <v>3.3734496916816288</v>
      </c>
      <c r="F6" s="79">
        <f t="shared" si="4"/>
        <v>3.3734496916816288</v>
      </c>
      <c r="G6" s="79">
        <f t="shared" si="5"/>
        <v>3.1494854296733661</v>
      </c>
      <c r="H6" s="70">
        <f t="shared" si="6"/>
        <v>3.2967217064719345</v>
      </c>
      <c r="J6" s="14" t="s">
        <v>28</v>
      </c>
      <c r="K6" s="7">
        <v>0</v>
      </c>
      <c r="L6" s="7">
        <v>0.50290265078721119</v>
      </c>
      <c r="M6" s="7">
        <v>0.49709734921278881</v>
      </c>
      <c r="N6" s="11"/>
      <c r="O6" s="26"/>
      <c r="P6" s="73"/>
      <c r="Q6" s="14">
        <f t="shared" ref="Q6:Q24" si="8">A5</f>
        <v>2024</v>
      </c>
      <c r="R6" s="7">
        <v>4.5502343541539796</v>
      </c>
      <c r="S6" s="7">
        <v>4.4521071039386353</v>
      </c>
      <c r="T6" s="7">
        <v>3.2264870020477998</v>
      </c>
      <c r="U6" s="2"/>
      <c r="V6" s="2"/>
      <c r="W6" s="33"/>
      <c r="Y6" s="14">
        <f t="shared" ref="Y6:Y24" si="9">Q6</f>
        <v>2024</v>
      </c>
      <c r="Z6" s="7">
        <v>1.9947131077094886</v>
      </c>
      <c r="AA6" s="7">
        <v>2.9384978790466545</v>
      </c>
      <c r="AB6" s="7">
        <v>3.3748664861836417</v>
      </c>
      <c r="AC6" s="2"/>
      <c r="AD6" s="2"/>
      <c r="AE6" s="33"/>
    </row>
    <row r="7" spans="1:31" x14ac:dyDescent="0.25">
      <c r="A7" s="69">
        <f t="shared" si="7"/>
        <v>2026</v>
      </c>
      <c r="B7" s="79">
        <f t="shared" si="0"/>
        <v>2.9213900331283154</v>
      </c>
      <c r="C7" s="79">
        <f t="shared" si="1"/>
        <v>2.9992422478799239</v>
      </c>
      <c r="D7" s="79">
        <f t="shared" si="2"/>
        <v>2.9853032255982694</v>
      </c>
      <c r="E7" s="79">
        <f t="shared" si="3"/>
        <v>3.1022319833351308</v>
      </c>
      <c r="F7" s="79">
        <f t="shared" si="4"/>
        <v>3.1022319833351308</v>
      </c>
      <c r="G7" s="79">
        <f t="shared" si="5"/>
        <v>2.9272514428129535</v>
      </c>
      <c r="H7" s="70">
        <f t="shared" si="6"/>
        <v>3.0402050366660784</v>
      </c>
      <c r="J7" s="14" t="s">
        <v>29</v>
      </c>
      <c r="K7" s="7">
        <v>0</v>
      </c>
      <c r="L7" s="7">
        <v>0.48610472561109702</v>
      </c>
      <c r="M7" s="7">
        <v>0.51389527438890292</v>
      </c>
      <c r="N7" s="11"/>
      <c r="O7" s="26"/>
      <c r="P7" s="73"/>
      <c r="Q7" s="14">
        <f t="shared" si="8"/>
        <v>2025</v>
      </c>
      <c r="R7" s="7">
        <v>3.8366752488098097</v>
      </c>
      <c r="S7" s="7">
        <v>3.7341408095979873</v>
      </c>
      <c r="T7" s="7">
        <v>2.7327674122859169</v>
      </c>
      <c r="U7" s="2"/>
      <c r="V7" s="2"/>
      <c r="W7" s="33"/>
      <c r="Y7" s="14">
        <f t="shared" si="9"/>
        <v>2025</v>
      </c>
      <c r="Z7" s="7">
        <v>1.9815987749205051</v>
      </c>
      <c r="AA7" s="7">
        <v>2.7558425296680387</v>
      </c>
      <c r="AB7" s="7">
        <v>2.9533708377709882</v>
      </c>
      <c r="AC7" s="2"/>
      <c r="AD7" s="2"/>
      <c r="AE7" s="33"/>
    </row>
    <row r="8" spans="1:31" x14ac:dyDescent="0.25">
      <c r="A8" s="69">
        <f t="shared" si="7"/>
        <v>2027</v>
      </c>
      <c r="B8" s="79">
        <f t="shared" si="0"/>
        <v>2.7753274615400549</v>
      </c>
      <c r="C8" s="79">
        <f t="shared" si="1"/>
        <v>2.838770563818541</v>
      </c>
      <c r="D8" s="79">
        <f t="shared" si="2"/>
        <v>2.8274114159882755</v>
      </c>
      <c r="E8" s="79">
        <f t="shared" si="3"/>
        <v>2.915519951140638</v>
      </c>
      <c r="F8" s="79">
        <f t="shared" si="4"/>
        <v>2.915519951140638</v>
      </c>
      <c r="G8" s="79">
        <f t="shared" si="5"/>
        <v>2.7801040246128599</v>
      </c>
      <c r="H8" s="70">
        <f t="shared" si="6"/>
        <v>2.8660251516962365</v>
      </c>
      <c r="J8" s="14" t="s">
        <v>30</v>
      </c>
      <c r="K8" s="7">
        <v>0.22237147071914926</v>
      </c>
      <c r="L8" s="7">
        <v>0.39466264163829928</v>
      </c>
      <c r="M8" s="7">
        <v>0.38296588764255141</v>
      </c>
      <c r="N8" s="11"/>
      <c r="O8" s="26"/>
      <c r="P8" s="73"/>
      <c r="Q8" s="14">
        <f t="shared" si="8"/>
        <v>2026</v>
      </c>
      <c r="R8" s="7">
        <v>3.4489840290828409</v>
      </c>
      <c r="S8" s="7">
        <v>3.4117367050335394</v>
      </c>
      <c r="T8" s="7">
        <v>2.5819305155480223</v>
      </c>
      <c r="U8" s="2"/>
      <c r="V8" s="2"/>
      <c r="W8" s="33"/>
      <c r="Y8" s="14">
        <f t="shared" si="9"/>
        <v>2026</v>
      </c>
      <c r="Z8" s="7">
        <v>2.0740821191892755</v>
      </c>
      <c r="AA8" s="7">
        <v>2.8641912995158507</v>
      </c>
      <c r="AB8" s="7">
        <v>3.1650983877752989</v>
      </c>
      <c r="AC8" s="2"/>
      <c r="AD8" s="2"/>
      <c r="AE8" s="33"/>
    </row>
    <row r="9" spans="1:31" x14ac:dyDescent="0.25">
      <c r="A9" s="69">
        <f t="shared" si="7"/>
        <v>2028</v>
      </c>
      <c r="B9" s="79">
        <f t="shared" si="0"/>
        <v>2.7892619520136281</v>
      </c>
      <c r="C9" s="79">
        <f t="shared" si="1"/>
        <v>2.8495457146141101</v>
      </c>
      <c r="D9" s="79">
        <f t="shared" si="2"/>
        <v>2.8387522296401619</v>
      </c>
      <c r="E9" s="79">
        <f t="shared" si="3"/>
        <v>2.9204469655650169</v>
      </c>
      <c r="F9" s="79">
        <f t="shared" si="4"/>
        <v>2.9204469655650169</v>
      </c>
      <c r="G9" s="79">
        <f t="shared" si="5"/>
        <v>2.7938006517932079</v>
      </c>
      <c r="H9" s="70">
        <f t="shared" si="6"/>
        <v>2.8737138380775145</v>
      </c>
      <c r="J9" s="14" t="s">
        <v>31</v>
      </c>
      <c r="K9" s="7">
        <v>0.22237147071914926</v>
      </c>
      <c r="L9" s="7">
        <v>0.39466264163829928</v>
      </c>
      <c r="M9" s="7">
        <v>0.38296588764255141</v>
      </c>
      <c r="N9" s="11"/>
      <c r="O9" s="26"/>
      <c r="P9" s="73"/>
      <c r="Q9" s="14">
        <f t="shared" si="8"/>
        <v>2027</v>
      </c>
      <c r="R9" s="7">
        <v>3.1729903217086113</v>
      </c>
      <c r="S9" s="7">
        <v>3.1749193569903471</v>
      </c>
      <c r="T9" s="7">
        <v>2.4986960906540112</v>
      </c>
      <c r="U9" s="2"/>
      <c r="V9" s="2"/>
      <c r="W9" s="33"/>
      <c r="Y9" s="14">
        <f t="shared" si="9"/>
        <v>2027</v>
      </c>
      <c r="Z9" s="7">
        <v>2.2023907571761483</v>
      </c>
      <c r="AA9" s="7">
        <v>2.99798354441924</v>
      </c>
      <c r="AB9" s="7">
        <v>3.4590823612950703</v>
      </c>
      <c r="AC9" s="2"/>
      <c r="AD9" s="2"/>
      <c r="AE9" s="33"/>
    </row>
    <row r="10" spans="1:31" x14ac:dyDescent="0.25">
      <c r="A10" s="69">
        <f t="shared" si="7"/>
        <v>2029</v>
      </c>
      <c r="B10" s="79">
        <f t="shared" si="0"/>
        <v>2.838937010769647</v>
      </c>
      <c r="C10" s="79">
        <f t="shared" si="1"/>
        <v>2.902001907858486</v>
      </c>
      <c r="D10" s="79">
        <f t="shared" si="2"/>
        <v>2.8907104756427646</v>
      </c>
      <c r="E10" s="79">
        <f t="shared" si="3"/>
        <v>2.9763358924757721</v>
      </c>
      <c r="F10" s="79">
        <f t="shared" si="4"/>
        <v>2.9763358924757721</v>
      </c>
      <c r="G10" s="79">
        <f t="shared" si="5"/>
        <v>2.8436850991796767</v>
      </c>
      <c r="H10" s="70">
        <f t="shared" si="6"/>
        <v>2.9274230690954575</v>
      </c>
      <c r="J10" s="14" t="s">
        <v>32</v>
      </c>
      <c r="K10" s="7">
        <v>0</v>
      </c>
      <c r="L10" s="7">
        <v>0.41614648292637035</v>
      </c>
      <c r="M10" s="7">
        <v>0.58385351707362976</v>
      </c>
      <c r="N10" s="11"/>
      <c r="O10" s="26"/>
      <c r="P10" s="73"/>
      <c r="Q10" s="14">
        <f t="shared" si="8"/>
        <v>2028</v>
      </c>
      <c r="R10" s="7">
        <v>3.1580103498453886</v>
      </c>
      <c r="S10" s="7">
        <v>3.1689549698087358</v>
      </c>
      <c r="T10" s="7">
        <v>2.5264062704434158</v>
      </c>
      <c r="U10" s="2"/>
      <c r="V10" s="2"/>
      <c r="W10" s="33"/>
      <c r="Y10" s="14">
        <f t="shared" si="9"/>
        <v>2028</v>
      </c>
      <c r="Z10" s="7">
        <v>2.3298811729892606</v>
      </c>
      <c r="AA10" s="7">
        <v>3.1180941169787753</v>
      </c>
      <c r="AB10" s="7">
        <v>3.6286226466243581</v>
      </c>
      <c r="AC10" s="2"/>
      <c r="AD10" s="2"/>
      <c r="AE10" s="33"/>
    </row>
    <row r="11" spans="1:31" x14ac:dyDescent="0.25">
      <c r="A11" s="69">
        <f t="shared" si="7"/>
        <v>2030</v>
      </c>
      <c r="B11" s="79">
        <f t="shared" si="0"/>
        <v>2.9068572256475567</v>
      </c>
      <c r="C11" s="79">
        <f t="shared" si="1"/>
        <v>2.9706245691230277</v>
      </c>
      <c r="D11" s="79">
        <f t="shared" si="2"/>
        <v>2.9592073676422164</v>
      </c>
      <c r="E11" s="79">
        <f t="shared" si="3"/>
        <v>3.0341883507899996</v>
      </c>
      <c r="F11" s="79">
        <f t="shared" si="4"/>
        <v>3.0341883507899996</v>
      </c>
      <c r="G11" s="79">
        <f t="shared" si="5"/>
        <v>2.9116582004920528</v>
      </c>
      <c r="H11" s="70">
        <f t="shared" si="6"/>
        <v>2.986430394442138</v>
      </c>
      <c r="J11" s="14" t="s">
        <v>33</v>
      </c>
      <c r="K11" s="7">
        <v>0.18978352190384595</v>
      </c>
      <c r="L11" s="7">
        <v>0.35396464302396091</v>
      </c>
      <c r="M11" s="7">
        <v>0.45625183507219313</v>
      </c>
      <c r="N11" s="11"/>
      <c r="O11" s="26"/>
      <c r="P11" s="73"/>
      <c r="Q11" s="14">
        <f t="shared" si="8"/>
        <v>2029</v>
      </c>
      <c r="R11" s="7">
        <v>3.2254247504838767</v>
      </c>
      <c r="S11" s="7">
        <v>3.2361468075650399</v>
      </c>
      <c r="T11" s="7">
        <v>2.5639547304282151</v>
      </c>
      <c r="U11" s="2"/>
      <c r="V11" s="2"/>
      <c r="W11" s="33"/>
      <c r="Y11" s="14">
        <f t="shared" si="9"/>
        <v>2029</v>
      </c>
      <c r="Z11" s="7">
        <v>2.4055622175352109</v>
      </c>
      <c r="AA11" s="7">
        <v>3.193336755599999</v>
      </c>
      <c r="AB11" s="7">
        <v>3.6632894304503507</v>
      </c>
      <c r="AC11" s="2"/>
      <c r="AD11" s="2"/>
      <c r="AE11" s="33"/>
    </row>
    <row r="12" spans="1:31" x14ac:dyDescent="0.25">
      <c r="A12" s="69">
        <f t="shared" si="7"/>
        <v>2031</v>
      </c>
      <c r="B12" s="79">
        <f t="shared" si="0"/>
        <v>2.9054546070981928</v>
      </c>
      <c r="C12" s="79">
        <f t="shared" si="1"/>
        <v>2.9684634089089545</v>
      </c>
      <c r="D12" s="79">
        <f t="shared" si="2"/>
        <v>2.9571820202524761</v>
      </c>
      <c r="E12" s="79">
        <f t="shared" si="3"/>
        <v>3.0233345376933909</v>
      </c>
      <c r="F12" s="79">
        <f t="shared" si="4"/>
        <v>3.0233345376933909</v>
      </c>
      <c r="G12" s="79">
        <f t="shared" si="5"/>
        <v>2.9101984721549474</v>
      </c>
      <c r="H12" s="70">
        <f t="shared" si="6"/>
        <v>2.9773077618398744</v>
      </c>
      <c r="J12" s="1"/>
      <c r="K12" s="2"/>
      <c r="L12" s="2"/>
      <c r="M12" s="2"/>
      <c r="N12" s="2"/>
      <c r="O12" s="33"/>
      <c r="P12" s="73"/>
      <c r="Q12" s="14">
        <f t="shared" si="8"/>
        <v>2030</v>
      </c>
      <c r="R12" s="7">
        <v>3.2454931126700632</v>
      </c>
      <c r="S12" s="7">
        <v>3.3084913313592184</v>
      </c>
      <c r="T12" s="7">
        <v>2.6288120637645673</v>
      </c>
      <c r="U12" s="2"/>
      <c r="V12" s="2"/>
      <c r="W12" s="33"/>
      <c r="Y12" s="14">
        <f t="shared" si="9"/>
        <v>2030</v>
      </c>
      <c r="Z12" s="7">
        <v>2.2758322587101887</v>
      </c>
      <c r="AA12" s="7">
        <v>3.2047557894889782</v>
      </c>
      <c r="AB12" s="7">
        <v>3.5878257553733954</v>
      </c>
      <c r="AC12" s="2"/>
      <c r="AD12" s="2"/>
      <c r="AE12" s="33"/>
    </row>
    <row r="13" spans="1:31" ht="15.75" thickBot="1" x14ac:dyDescent="0.3">
      <c r="A13" s="69">
        <f t="shared" si="7"/>
        <v>2032</v>
      </c>
      <c r="B13" s="79">
        <f t="shared" si="0"/>
        <v>2.9856949098954999</v>
      </c>
      <c r="C13" s="79">
        <f t="shared" si="1"/>
        <v>3.0479053106242433</v>
      </c>
      <c r="D13" s="79">
        <f t="shared" si="2"/>
        <v>3.0367668714073845</v>
      </c>
      <c r="E13" s="79">
        <f t="shared" si="3"/>
        <v>3.103183513527461</v>
      </c>
      <c r="F13" s="79">
        <f t="shared" si="4"/>
        <v>3.103183513527461</v>
      </c>
      <c r="G13" s="79">
        <f t="shared" si="5"/>
        <v>2.9903786641917662</v>
      </c>
      <c r="H13" s="70">
        <f t="shared" si="6"/>
        <v>3.0575784070221816</v>
      </c>
      <c r="J13" s="13" t="s">
        <v>40</v>
      </c>
      <c r="K13" s="9" t="s">
        <v>41</v>
      </c>
      <c r="L13" s="34"/>
      <c r="M13" s="34"/>
      <c r="N13" s="34"/>
      <c r="O13" s="35"/>
      <c r="P13" s="73"/>
      <c r="Q13" s="14">
        <f t="shared" si="8"/>
        <v>2031</v>
      </c>
      <c r="R13" s="7">
        <v>3.2043718389228593</v>
      </c>
      <c r="S13" s="7">
        <v>3.3023110917495115</v>
      </c>
      <c r="T13" s="7">
        <v>2.6307169193620643</v>
      </c>
      <c r="U13" s="2"/>
      <c r="V13" s="2"/>
      <c r="W13" s="33"/>
      <c r="Y13" s="14">
        <f t="shared" si="9"/>
        <v>2031</v>
      </c>
      <c r="Z13" s="7">
        <v>2.3190567445199841</v>
      </c>
      <c r="AA13" s="7">
        <v>3.2888346968863811</v>
      </c>
      <c r="AB13" s="7">
        <v>3.6526626946771019</v>
      </c>
      <c r="AC13" s="2"/>
      <c r="AD13" s="2"/>
      <c r="AE13" s="33"/>
    </row>
    <row r="14" spans="1:31" x14ac:dyDescent="0.25">
      <c r="A14" s="69">
        <f t="shared" si="7"/>
        <v>2033</v>
      </c>
      <c r="B14" s="79">
        <f t="shared" si="0"/>
        <v>3.0795133701986463</v>
      </c>
      <c r="C14" s="79">
        <f t="shared" si="1"/>
        <v>3.1402271100470607</v>
      </c>
      <c r="D14" s="79">
        <f t="shared" si="2"/>
        <v>3.1293566399486865</v>
      </c>
      <c r="E14" s="79">
        <f t="shared" si="3"/>
        <v>3.1964566977686086</v>
      </c>
      <c r="F14" s="79">
        <f t="shared" si="4"/>
        <v>3.1964566977686086</v>
      </c>
      <c r="G14" s="79">
        <f t="shared" si="5"/>
        <v>3.0840844425036997</v>
      </c>
      <c r="H14" s="70">
        <f t="shared" si="6"/>
        <v>3.1516144470155139</v>
      </c>
      <c r="P14" s="73"/>
      <c r="Q14" s="14">
        <f t="shared" si="8"/>
        <v>2032</v>
      </c>
      <c r="R14" s="7">
        <v>3.2857817762681703</v>
      </c>
      <c r="S14" s="7">
        <v>3.377522721763877</v>
      </c>
      <c r="T14" s="7">
        <v>2.7144384955823835</v>
      </c>
      <c r="U14" s="2"/>
      <c r="V14" s="2"/>
      <c r="W14" s="33"/>
      <c r="Y14" s="14">
        <f t="shared" si="9"/>
        <v>2032</v>
      </c>
      <c r="Z14" s="7">
        <v>2.3892803431191298</v>
      </c>
      <c r="AA14" s="7">
        <v>3.377968602593155</v>
      </c>
      <c r="AB14" s="7">
        <v>3.7285276789593023</v>
      </c>
      <c r="AC14" s="2"/>
      <c r="AD14" s="2"/>
      <c r="AE14" s="33"/>
    </row>
    <row r="15" spans="1:31" x14ac:dyDescent="0.25">
      <c r="A15" s="69">
        <f t="shared" si="7"/>
        <v>2034</v>
      </c>
      <c r="B15" s="79">
        <f t="shared" si="0"/>
        <v>3.0778470483044589</v>
      </c>
      <c r="C15" s="79">
        <f t="shared" si="1"/>
        <v>3.1388707088908685</v>
      </c>
      <c r="D15" s="79">
        <f t="shared" si="2"/>
        <v>3.1279447491434675</v>
      </c>
      <c r="E15" s="79">
        <f t="shared" si="3"/>
        <v>3.1904520293713192</v>
      </c>
      <c r="F15" s="79">
        <f t="shared" si="4"/>
        <v>3.1904520293713192</v>
      </c>
      <c r="G15" s="79">
        <f t="shared" si="5"/>
        <v>3.0824414542092171</v>
      </c>
      <c r="H15" s="70">
        <f t="shared" si="6"/>
        <v>3.1461041306781148</v>
      </c>
      <c r="P15" s="73"/>
      <c r="Q15" s="14">
        <f t="shared" si="8"/>
        <v>2033</v>
      </c>
      <c r="R15" s="7">
        <v>3.3826395594068028</v>
      </c>
      <c r="S15" s="7">
        <v>3.4619145692984383</v>
      </c>
      <c r="T15" s="7">
        <v>2.8147828560418566</v>
      </c>
      <c r="U15" s="2"/>
      <c r="V15" s="2"/>
      <c r="W15" s="33"/>
      <c r="Y15" s="14">
        <f t="shared" si="9"/>
        <v>2033</v>
      </c>
      <c r="Z15" s="7">
        <v>2.4085339805770096</v>
      </c>
      <c r="AA15" s="7">
        <v>3.3730792681263511</v>
      </c>
      <c r="AB15" s="7">
        <v>3.7241910491966759</v>
      </c>
      <c r="AC15" s="2"/>
      <c r="AD15" s="2"/>
      <c r="AE15" s="33"/>
    </row>
    <row r="16" spans="1:31" x14ac:dyDescent="0.25">
      <c r="A16" s="69">
        <f t="shared" si="7"/>
        <v>2035</v>
      </c>
      <c r="B16" s="79">
        <f t="shared" si="0"/>
        <v>3.1685832442583917</v>
      </c>
      <c r="C16" s="79">
        <f t="shared" si="1"/>
        <v>3.2330914476759514</v>
      </c>
      <c r="D16" s="79">
        <f t="shared" si="2"/>
        <v>3.2215415991885865</v>
      </c>
      <c r="E16" s="79">
        <f t="shared" si="3"/>
        <v>3.2771596464762758</v>
      </c>
      <c r="F16" s="79">
        <f t="shared" si="4"/>
        <v>3.2771596464762758</v>
      </c>
      <c r="G16" s="79">
        <f t="shared" si="5"/>
        <v>3.173439997652713</v>
      </c>
      <c r="H16" s="70">
        <f t="shared" si="6"/>
        <v>3.2318120803891777</v>
      </c>
      <c r="P16" s="73"/>
      <c r="Q16" s="14">
        <f t="shared" si="8"/>
        <v>2034</v>
      </c>
      <c r="R16" s="7">
        <v>3.3603266468741273</v>
      </c>
      <c r="S16" s="7">
        <v>3.4622002612668643</v>
      </c>
      <c r="T16" s="7">
        <v>2.8117651847410574</v>
      </c>
      <c r="U16" s="2"/>
      <c r="V16" s="2"/>
      <c r="W16" s="33"/>
      <c r="Y16" s="14">
        <f t="shared" si="9"/>
        <v>2034</v>
      </c>
      <c r="Z16" s="7">
        <v>2.5109564845096308</v>
      </c>
      <c r="AA16" s="7">
        <v>3.4742361847587526</v>
      </c>
      <c r="AB16" s="7">
        <v>3.8448022749515003</v>
      </c>
      <c r="AC16" s="2"/>
      <c r="AD16" s="2"/>
      <c r="AE16" s="33"/>
    </row>
    <row r="17" spans="1:31" x14ac:dyDescent="0.25">
      <c r="A17" s="69">
        <f t="shared" si="7"/>
        <v>2036</v>
      </c>
      <c r="B17" s="79">
        <f t="shared" si="0"/>
        <v>3.1981828444958986</v>
      </c>
      <c r="C17" s="79">
        <f t="shared" si="1"/>
        <v>3.2675975202889784</v>
      </c>
      <c r="D17" s="79">
        <f t="shared" si="2"/>
        <v>3.2551691941888077</v>
      </c>
      <c r="E17" s="79">
        <f t="shared" si="3"/>
        <v>3.3028965973402657</v>
      </c>
      <c r="F17" s="79">
        <f t="shared" si="4"/>
        <v>3.3028965973402657</v>
      </c>
      <c r="G17" s="79">
        <f t="shared" si="5"/>
        <v>3.2034090009289269</v>
      </c>
      <c r="H17" s="70">
        <f t="shared" si="6"/>
        <v>3.2558762012813238</v>
      </c>
      <c r="P17" s="73"/>
      <c r="Q17" s="14">
        <f t="shared" si="8"/>
        <v>2035</v>
      </c>
      <c r="R17" s="7">
        <v>3.4201612231220224</v>
      </c>
      <c r="S17" s="7">
        <v>3.5748836039502385</v>
      </c>
      <c r="T17" s="7">
        <v>2.8873077059585173</v>
      </c>
      <c r="U17" s="2"/>
      <c r="V17" s="2"/>
      <c r="W17" s="33"/>
      <c r="Y17" s="14">
        <f t="shared" si="9"/>
        <v>2035</v>
      </c>
      <c r="Z17" s="7">
        <v>2.5878741856614802</v>
      </c>
      <c r="AA17" s="7">
        <v>3.5690259196834013</v>
      </c>
      <c r="AB17" s="7">
        <v>3.9339704517420788</v>
      </c>
      <c r="AC17" s="2"/>
      <c r="AD17" s="2"/>
      <c r="AE17" s="33"/>
    </row>
    <row r="18" spans="1:31" x14ac:dyDescent="0.25">
      <c r="A18" s="69">
        <f t="shared" si="7"/>
        <v>2037</v>
      </c>
      <c r="B18" s="79">
        <f t="shared" si="0"/>
        <v>3.1517869689162126</v>
      </c>
      <c r="C18" s="79">
        <f t="shared" si="1"/>
        <v>3.2273403999706418</v>
      </c>
      <c r="D18" s="79">
        <f t="shared" si="2"/>
        <v>3.2138129626037895</v>
      </c>
      <c r="E18" s="79">
        <f t="shared" si="3"/>
        <v>3.249174661383269</v>
      </c>
      <c r="F18" s="79">
        <f t="shared" si="4"/>
        <v>3.249174661383269</v>
      </c>
      <c r="G18" s="79">
        <f t="shared" si="5"/>
        <v>3.1574753056437288</v>
      </c>
      <c r="H18" s="70">
        <f t="shared" si="6"/>
        <v>3.2004266813735183</v>
      </c>
      <c r="P18" s="73"/>
      <c r="Q18" s="14">
        <f t="shared" si="8"/>
        <v>2036</v>
      </c>
      <c r="R18" s="7">
        <v>3.4143881646352128</v>
      </c>
      <c r="S18" s="7">
        <v>3.6353862736483582</v>
      </c>
      <c r="T18" s="7">
        <v>2.8955135828327352</v>
      </c>
      <c r="U18" s="2"/>
      <c r="V18" s="2"/>
      <c r="W18" s="33"/>
      <c r="Y18" s="14">
        <f t="shared" si="9"/>
        <v>2036</v>
      </c>
      <c r="Z18" s="7">
        <v>2.5912726255594558</v>
      </c>
      <c r="AA18" s="7">
        <v>3.5859664281124859</v>
      </c>
      <c r="AB18" s="7">
        <v>3.922225119122102</v>
      </c>
      <c r="AC18" s="2"/>
      <c r="AD18" s="2"/>
      <c r="AE18" s="33"/>
    </row>
    <row r="19" spans="1:31" x14ac:dyDescent="0.25">
      <c r="A19" s="69">
        <f t="shared" si="7"/>
        <v>2038</v>
      </c>
      <c r="B19" s="79">
        <f t="shared" si="0"/>
        <v>3.2221012545760868</v>
      </c>
      <c r="C19" s="79">
        <f t="shared" si="1"/>
        <v>3.2991956940766722</v>
      </c>
      <c r="D19" s="79">
        <f t="shared" si="2"/>
        <v>3.2853923473970825</v>
      </c>
      <c r="E19" s="79">
        <f t="shared" si="3"/>
        <v>3.3208646241122164</v>
      </c>
      <c r="F19" s="79">
        <f t="shared" si="4"/>
        <v>3.3208646241122164</v>
      </c>
      <c r="G19" s="79">
        <f t="shared" si="5"/>
        <v>3.227905612175447</v>
      </c>
      <c r="H19" s="70">
        <f t="shared" si="6"/>
        <v>3.2712118588810855</v>
      </c>
      <c r="P19" s="73"/>
      <c r="Q19" s="14">
        <f t="shared" si="8"/>
        <v>2037</v>
      </c>
      <c r="R19" s="7">
        <v>3.3125233557495575</v>
      </c>
      <c r="S19" s="7">
        <v>3.6276549141861305</v>
      </c>
      <c r="T19" s="7">
        <v>2.8223508528198145</v>
      </c>
      <c r="U19" s="2"/>
      <c r="V19" s="2"/>
      <c r="W19" s="33"/>
      <c r="Y19" s="14">
        <f t="shared" si="9"/>
        <v>2037</v>
      </c>
      <c r="Z19" s="7">
        <v>2.6298055509583973</v>
      </c>
      <c r="AA19" s="7">
        <v>3.7117820121765446</v>
      </c>
      <c r="AB19" s="7">
        <v>3.9882583601591923</v>
      </c>
      <c r="AC19" s="2"/>
      <c r="AD19" s="2"/>
      <c r="AE19" s="33"/>
    </row>
    <row r="20" spans="1:31" x14ac:dyDescent="0.25">
      <c r="A20" s="69">
        <f t="shared" si="7"/>
        <v>2039</v>
      </c>
      <c r="B20" s="79">
        <f t="shared" ref="B20:B23" si="10">IF($K$13="Peak",(VLOOKUP(B$3,$J$5:$M$11,2,FALSE)*$Z21)+(VLOOKUP(B$3,$J$5:$M$11,3,FALSE)*$AA21)+(VLOOKUP(B$3,$J$5:$M$11,4,FALSE)*$AB21),(VLOOKUP(B$3,$J$5:$M$11,2,FALSE)*$R21)+(VLOOKUP(B$3,$J$5:$M$11,3,FALSE)*$S21)+(VLOOKUP(B$3,$J$5:$M$11,4,FALSE)*$T21))</f>
        <v>3.283959768100404</v>
      </c>
      <c r="C20" s="79">
        <f t="shared" si="1"/>
        <v>3.3591129000999365</v>
      </c>
      <c r="D20" s="79">
        <f t="shared" si="2"/>
        <v>3.3456571341359251</v>
      </c>
      <c r="E20" s="79">
        <f t="shared" si="3"/>
        <v>3.3848051661075074</v>
      </c>
      <c r="F20" s="79">
        <f t="shared" si="4"/>
        <v>3.3848051661075074</v>
      </c>
      <c r="G20" s="79">
        <f t="shared" si="5"/>
        <v>3.2896179667417456</v>
      </c>
      <c r="H20" s="70">
        <f t="shared" si="6"/>
        <v>3.3357331305055569</v>
      </c>
      <c r="P20" s="73"/>
      <c r="Q20" s="14">
        <f t="shared" si="8"/>
        <v>2038</v>
      </c>
      <c r="R20" s="7">
        <v>3.3833698988434766</v>
      </c>
      <c r="S20" s="7">
        <v>3.7076751326233999</v>
      </c>
      <c r="T20" s="7">
        <v>2.8859458693440803</v>
      </c>
      <c r="U20" s="2"/>
      <c r="V20" s="2"/>
      <c r="W20" s="33"/>
      <c r="Y20" s="14">
        <f t="shared" si="9"/>
        <v>2038</v>
      </c>
      <c r="Z20" s="7">
        <v>2.6795460152248252</v>
      </c>
      <c r="AA20" s="7">
        <v>3.7804557331993456</v>
      </c>
      <c r="AB20" s="7">
        <v>4.0385900888644723</v>
      </c>
      <c r="AC20" s="2"/>
      <c r="AD20" s="2"/>
      <c r="AE20" s="33"/>
    </row>
    <row r="21" spans="1:31" x14ac:dyDescent="0.25">
      <c r="A21" s="69">
        <f t="shared" si="7"/>
        <v>2040</v>
      </c>
      <c r="B21" s="79">
        <f t="shared" si="10"/>
        <v>3.3099471312772057</v>
      </c>
      <c r="C21" s="79">
        <f t="shared" si="1"/>
        <v>3.3820796944233869</v>
      </c>
      <c r="D21" s="79">
        <f t="shared" si="2"/>
        <v>3.3691647451424265</v>
      </c>
      <c r="E21" s="79">
        <f t="shared" si="3"/>
        <v>3.4106153185445929</v>
      </c>
      <c r="F21" s="79">
        <f t="shared" si="4"/>
        <v>3.4106153185445929</v>
      </c>
      <c r="G21" s="79">
        <f t="shared" si="5"/>
        <v>3.3153779145317577</v>
      </c>
      <c r="H21" s="70">
        <f t="shared" si="6"/>
        <v>3.3629475799153608</v>
      </c>
      <c r="P21" s="73"/>
      <c r="Q21" s="14">
        <f t="shared" si="8"/>
        <v>2039</v>
      </c>
      <c r="R21" s="7">
        <v>3.4617141292761282</v>
      </c>
      <c r="S21" s="7">
        <v>3.757306458066771</v>
      </c>
      <c r="T21" s="7">
        <v>2.9562690785727539</v>
      </c>
      <c r="U21" s="2"/>
      <c r="V21" s="2"/>
      <c r="W21" s="33"/>
      <c r="Y21" s="14">
        <f t="shared" si="9"/>
        <v>2039</v>
      </c>
      <c r="Z21" s="7">
        <v>2.7914851155342069</v>
      </c>
      <c r="AA21" s="7">
        <v>3.8088626664015974</v>
      </c>
      <c r="AB21" s="7">
        <v>4.1619111961667281</v>
      </c>
      <c r="AC21" s="2"/>
      <c r="AD21" s="2"/>
      <c r="AE21" s="33"/>
    </row>
    <row r="22" spans="1:31" x14ac:dyDescent="0.25">
      <c r="A22" s="69">
        <f t="shared" si="7"/>
        <v>2041</v>
      </c>
      <c r="B22" s="79">
        <f t="shared" si="10"/>
        <v>3.3831756123057368</v>
      </c>
      <c r="C22" s="79">
        <f t="shared" si="1"/>
        <v>3.4544067101609719</v>
      </c>
      <c r="D22" s="79">
        <f t="shared" si="2"/>
        <v>3.441653163414502</v>
      </c>
      <c r="E22" s="79">
        <f t="shared" si="3"/>
        <v>3.4864482348699255</v>
      </c>
      <c r="F22" s="79">
        <f t="shared" si="4"/>
        <v>3.4864482348699255</v>
      </c>
      <c r="G22" s="79">
        <f t="shared" si="5"/>
        <v>3.3885385252061369</v>
      </c>
      <c r="H22" s="70">
        <f t="shared" si="6"/>
        <v>3.4388101742004467</v>
      </c>
      <c r="P22" s="73"/>
      <c r="Q22" s="14">
        <f t="shared" si="8"/>
        <v>2040</v>
      </c>
      <c r="R22" s="7">
        <v>3.4979873884989501</v>
      </c>
      <c r="S22" s="7">
        <v>3.7642689818189425</v>
      </c>
      <c r="T22" s="7">
        <v>2.9954270477374259</v>
      </c>
      <c r="U22" s="2"/>
      <c r="V22" s="2"/>
      <c r="W22" s="33"/>
      <c r="Y22" s="14">
        <f t="shared" si="9"/>
        <v>2040</v>
      </c>
      <c r="Z22" s="7">
        <v>2.9129916680013377</v>
      </c>
      <c r="AA22" s="7">
        <v>3.9279025658296289</v>
      </c>
      <c r="AB22" s="7">
        <v>4.299725563392637</v>
      </c>
      <c r="AC22" s="2"/>
      <c r="AD22" s="2"/>
      <c r="AE22" s="33"/>
    </row>
    <row r="23" spans="1:31" ht="15.75" thickBot="1" x14ac:dyDescent="0.3">
      <c r="A23" s="59">
        <f t="shared" si="7"/>
        <v>2042</v>
      </c>
      <c r="B23" s="80">
        <f t="shared" si="10"/>
        <v>3.5145647155313742</v>
      </c>
      <c r="C23" s="80">
        <f t="shared" si="1"/>
        <v>3.5779930232884656</v>
      </c>
      <c r="D23" s="80">
        <f t="shared" si="2"/>
        <v>3.5666365243380556</v>
      </c>
      <c r="E23" s="80">
        <f t="shared" si="3"/>
        <v>3.6228653541810445</v>
      </c>
      <c r="F23" s="80">
        <f t="shared" si="4"/>
        <v>3.6228653541810445</v>
      </c>
      <c r="G23" s="80">
        <f t="shared" si="5"/>
        <v>3.5193401647405436</v>
      </c>
      <c r="H23" s="71">
        <f t="shared" si="6"/>
        <v>3.5780509717901849</v>
      </c>
      <c r="P23" s="73"/>
      <c r="Q23" s="14">
        <f t="shared" si="8"/>
        <v>2041</v>
      </c>
      <c r="R23" s="7">
        <v>3.5862355405367921</v>
      </c>
      <c r="S23" s="7">
        <v>3.8318196474293256</v>
      </c>
      <c r="T23" s="7">
        <v>3.0725861937284944</v>
      </c>
      <c r="U23" s="2"/>
      <c r="V23" s="2"/>
      <c r="W23" s="33"/>
      <c r="Y23" s="14">
        <f t="shared" si="9"/>
        <v>2041</v>
      </c>
      <c r="Z23" s="7">
        <v>3.0542694429320649</v>
      </c>
      <c r="AA23" s="7">
        <v>4.0581146179505714</v>
      </c>
      <c r="AB23" s="7">
        <v>4.4550460912945979</v>
      </c>
      <c r="AC23" s="2"/>
      <c r="AD23" s="2"/>
      <c r="AE23" s="33"/>
    </row>
    <row r="24" spans="1:31" ht="15.75" thickBot="1" x14ac:dyDescent="0.3">
      <c r="P24" s="73"/>
      <c r="Q24" s="15">
        <f t="shared" si="8"/>
        <v>2042</v>
      </c>
      <c r="R24" s="9">
        <v>3.7688648506728772</v>
      </c>
      <c r="S24" s="9">
        <v>3.9140634287343614</v>
      </c>
      <c r="T24" s="9">
        <v>3.2379978532930478</v>
      </c>
      <c r="U24" s="34"/>
      <c r="V24" s="34"/>
      <c r="W24" s="35"/>
      <c r="Y24" s="15">
        <f t="shared" si="9"/>
        <v>2042</v>
      </c>
      <c r="Z24" s="9">
        <v>3.1260504885148883</v>
      </c>
      <c r="AA24" s="9">
        <v>4.1320812098243609</v>
      </c>
      <c r="AB24" s="9">
        <v>4.5130965384887283</v>
      </c>
      <c r="AC24" s="34"/>
      <c r="AD24" s="34"/>
      <c r="AE24" s="35"/>
    </row>
    <row r="25" spans="1:31" x14ac:dyDescent="0.25">
      <c r="P25" s="40"/>
      <c r="W25" s="40"/>
      <c r="X25" s="40"/>
    </row>
    <row r="31" spans="1:31" hidden="1" x14ac:dyDescent="0.25">
      <c r="A31" t="s">
        <v>41</v>
      </c>
    </row>
    <row r="32" spans="1:31" hidden="1" x14ac:dyDescent="0.25">
      <c r="A32" t="s">
        <v>42</v>
      </c>
    </row>
  </sheetData>
  <mergeCells count="5">
    <mergeCell ref="Q3:W3"/>
    <mergeCell ref="Y3:AE3"/>
    <mergeCell ref="J3:O3"/>
    <mergeCell ref="A1:O2"/>
    <mergeCell ref="Q1:W2"/>
  </mergeCells>
  <dataValidations count="1">
    <dataValidation type="list" allowBlank="1" showInputMessage="1" showErrorMessage="1" sqref="K13" xr:uid="{C69055BE-07C2-49B7-9DB2-1F80270B337B}">
      <formula1>$A$31:$A$32</formula1>
    </dataValidation>
  </dataValidations>
  <pageMargins left="0.7" right="0.7" top="0.75" bottom="0.75" header="0.3" footer="0.3"/>
  <pageSetup scale="61" orientation="portrait" r:id="rId1"/>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50FFF-AC0F-40DA-9162-263049C7FC2B}">
  <sheetPr>
    <tabColor rgb="FFFFC000"/>
  </sheetPr>
  <dimension ref="A1:X39"/>
  <sheetViews>
    <sheetView view="pageBreakPreview" zoomScale="118" zoomScaleNormal="100" zoomScaleSheetLayoutView="118" workbookViewId="0">
      <selection sqref="A1:D3"/>
    </sheetView>
  </sheetViews>
  <sheetFormatPr defaultRowHeight="15" x14ac:dyDescent="0.25"/>
  <cols>
    <col min="2" max="2" width="10.85546875" bestFit="1" customWidth="1"/>
    <col min="5" max="5" width="8.7109375" style="40" customWidth="1"/>
    <col min="6" max="6" width="8.7109375" style="73"/>
    <col min="7" max="7" width="22.42578125" customWidth="1"/>
    <col min="11" max="11" width="8.7109375" style="40"/>
  </cols>
  <sheetData>
    <row r="1" spans="1:24" s="40" customFormat="1" ht="14.45" customHeight="1" x14ac:dyDescent="0.35">
      <c r="A1" s="212" t="s">
        <v>267</v>
      </c>
      <c r="B1" s="213"/>
      <c r="C1" s="213"/>
      <c r="D1" s="214"/>
      <c r="E1" s="143"/>
      <c r="F1" s="143"/>
      <c r="H1" s="212" t="s">
        <v>263</v>
      </c>
      <c r="I1" s="213"/>
      <c r="J1" s="214"/>
      <c r="K1" s="143"/>
      <c r="L1" s="143"/>
    </row>
    <row r="2" spans="1:24" s="40" customFormat="1" ht="15" customHeight="1" x14ac:dyDescent="0.35">
      <c r="A2" s="220"/>
      <c r="B2" s="221"/>
      <c r="C2" s="221"/>
      <c r="D2" s="222"/>
      <c r="E2" s="143"/>
      <c r="F2" s="143"/>
      <c r="H2" s="220"/>
      <c r="I2" s="221"/>
      <c r="J2" s="222"/>
      <c r="K2" s="143"/>
      <c r="L2" s="143"/>
    </row>
    <row r="3" spans="1:24" s="40" customFormat="1" ht="15" customHeight="1" thickBot="1" x14ac:dyDescent="0.4">
      <c r="A3" s="220"/>
      <c r="B3" s="221"/>
      <c r="C3" s="221"/>
      <c r="D3" s="222"/>
      <c r="E3" s="143"/>
      <c r="F3" s="143"/>
      <c r="H3" s="215"/>
      <c r="I3" s="216"/>
      <c r="J3" s="217"/>
      <c r="P3" s="143"/>
      <c r="Q3" s="143"/>
    </row>
    <row r="4" spans="1:24" ht="15.75" thickBot="1" x14ac:dyDescent="0.3">
      <c r="A4" s="23" t="s">
        <v>49</v>
      </c>
      <c r="B4" s="51" t="s">
        <v>153</v>
      </c>
      <c r="C4" s="51" t="s">
        <v>153</v>
      </c>
      <c r="D4" s="4"/>
      <c r="E4" s="2"/>
      <c r="F4" s="154"/>
      <c r="H4" s="81"/>
      <c r="I4" s="82"/>
      <c r="J4" s="83" t="s">
        <v>153</v>
      </c>
      <c r="L4" s="40"/>
      <c r="M4" s="40"/>
      <c r="N4" s="40"/>
      <c r="O4" s="40"/>
      <c r="P4" s="40"/>
      <c r="Q4" s="31"/>
      <c r="R4" s="3"/>
      <c r="T4" s="19" t="s">
        <v>50</v>
      </c>
      <c r="U4" s="19" t="s">
        <v>124</v>
      </c>
      <c r="V4" s="40"/>
      <c r="W4" s="218" t="s">
        <v>67</v>
      </c>
      <c r="X4" s="218"/>
    </row>
    <row r="5" spans="1:24" x14ac:dyDescent="0.25">
      <c r="A5" s="67" t="s">
        <v>47</v>
      </c>
      <c r="B5" s="78" t="s">
        <v>32</v>
      </c>
      <c r="C5" s="78" t="s">
        <v>31</v>
      </c>
      <c r="D5" s="68" t="s">
        <v>33</v>
      </c>
      <c r="E5" s="2"/>
      <c r="F5" s="154"/>
      <c r="H5" s="54" t="s">
        <v>45</v>
      </c>
      <c r="I5" s="55" t="s">
        <v>46</v>
      </c>
      <c r="J5" s="84" t="s">
        <v>47</v>
      </c>
      <c r="L5" s="40"/>
      <c r="M5" s="40"/>
      <c r="N5" s="40"/>
      <c r="O5" s="40"/>
      <c r="P5" s="40"/>
      <c r="Q5" s="39"/>
      <c r="R5" s="3"/>
      <c r="T5" s="32" t="s">
        <v>154</v>
      </c>
      <c r="U5" s="42">
        <v>0.15</v>
      </c>
      <c r="V5" s="30"/>
      <c r="W5" s="38" t="s">
        <v>32</v>
      </c>
      <c r="X5" s="18">
        <v>0.75</v>
      </c>
    </row>
    <row r="6" spans="1:24" x14ac:dyDescent="0.25">
      <c r="A6" s="69">
        <f>'NEW FINAL CALCULATION '!A2</f>
        <v>2023</v>
      </c>
      <c r="B6" s="79">
        <f t="shared" ref="B6:C25" si="0">HLOOKUP($B$4,$H$4:$Q$25,(ROW()-3),FALSE)</f>
        <v>4.5790515900933313</v>
      </c>
      <c r="C6" s="79">
        <f t="shared" si="0"/>
        <v>4.5790515900933313</v>
      </c>
      <c r="D6" s="70">
        <f t="shared" ref="D6:D25" si="1">(B6*$X$5)+(C6*$X$6)</f>
        <v>4.5790515900933313</v>
      </c>
      <c r="E6" s="2"/>
      <c r="F6" s="154"/>
      <c r="H6" s="14">
        <f>A6</f>
        <v>2023</v>
      </c>
      <c r="I6" s="7">
        <v>83.125748761507978</v>
      </c>
      <c r="J6" s="26">
        <f t="shared" ref="J6:J25" si="2">I6*$H$39*10</f>
        <v>4.5790515900933313</v>
      </c>
      <c r="L6" s="40"/>
      <c r="M6" s="40"/>
      <c r="N6" s="40"/>
      <c r="O6" s="40"/>
      <c r="P6" s="40"/>
      <c r="Q6" s="3"/>
      <c r="T6" s="32" t="s">
        <v>48</v>
      </c>
      <c r="U6" s="42">
        <v>0.05</v>
      </c>
      <c r="W6" s="38" t="s">
        <v>31</v>
      </c>
      <c r="X6" s="18">
        <v>0.25</v>
      </c>
    </row>
    <row r="7" spans="1:24" x14ac:dyDescent="0.25">
      <c r="A7" s="69">
        <f>A6+1</f>
        <v>2024</v>
      </c>
      <c r="B7" s="79">
        <f t="shared" si="0"/>
        <v>4.6494985376332281</v>
      </c>
      <c r="C7" s="79">
        <f t="shared" si="0"/>
        <v>4.6494985376332281</v>
      </c>
      <c r="D7" s="70">
        <f t="shared" si="1"/>
        <v>4.6494985376332281</v>
      </c>
      <c r="E7" s="2"/>
      <c r="F7" s="154"/>
      <c r="H7" s="14">
        <f t="shared" ref="H7:H25" si="3">A7</f>
        <v>2024</v>
      </c>
      <c r="I7" s="7">
        <v>84.404606434761945</v>
      </c>
      <c r="J7" s="26">
        <f t="shared" si="2"/>
        <v>4.6494985376332281</v>
      </c>
      <c r="L7" s="40"/>
      <c r="M7" s="40"/>
      <c r="N7" s="40"/>
      <c r="O7" s="40"/>
      <c r="P7" s="40"/>
      <c r="Q7" s="3"/>
      <c r="T7" s="18" t="s">
        <v>199</v>
      </c>
      <c r="U7" s="43">
        <v>0.1</v>
      </c>
    </row>
    <row r="8" spans="1:24" x14ac:dyDescent="0.25">
      <c r="A8" s="69">
        <f t="shared" ref="A8:A25" si="4">A7+1</f>
        <v>2025</v>
      </c>
      <c r="B8" s="79">
        <f t="shared" si="0"/>
        <v>4.7903924327130234</v>
      </c>
      <c r="C8" s="79">
        <f t="shared" si="0"/>
        <v>4.7903924327130234</v>
      </c>
      <c r="D8" s="70">
        <f t="shared" si="1"/>
        <v>4.7903924327130234</v>
      </c>
      <c r="E8" s="2"/>
      <c r="F8" s="154"/>
      <c r="H8" s="14">
        <f t="shared" si="3"/>
        <v>2025</v>
      </c>
      <c r="I8" s="7">
        <v>86.962321781269893</v>
      </c>
      <c r="J8" s="26">
        <f t="shared" si="2"/>
        <v>4.7903924327130234</v>
      </c>
      <c r="L8" s="40"/>
      <c r="M8" s="40"/>
      <c r="N8" s="40"/>
      <c r="O8" s="40"/>
      <c r="P8" s="40"/>
      <c r="Q8" s="3"/>
      <c r="T8" s="18" t="s">
        <v>123</v>
      </c>
      <c r="U8" s="43">
        <v>0.2</v>
      </c>
    </row>
    <row r="9" spans="1:24" x14ac:dyDescent="0.25">
      <c r="A9" s="69">
        <f t="shared" si="4"/>
        <v>2026</v>
      </c>
      <c r="B9" s="79">
        <f t="shared" si="0"/>
        <v>4.8608393802529211</v>
      </c>
      <c r="C9" s="79">
        <f t="shared" si="0"/>
        <v>4.8608393802529211</v>
      </c>
      <c r="D9" s="70">
        <f t="shared" si="1"/>
        <v>4.8608393802529211</v>
      </c>
      <c r="E9" s="2"/>
      <c r="F9" s="154"/>
      <c r="H9" s="14">
        <f t="shared" si="3"/>
        <v>2026</v>
      </c>
      <c r="I9" s="7">
        <v>88.241179454523859</v>
      </c>
      <c r="J9" s="26">
        <f t="shared" si="2"/>
        <v>4.8608393802529211</v>
      </c>
      <c r="L9" s="40"/>
      <c r="M9" s="40"/>
      <c r="N9" s="40"/>
      <c r="O9" s="40"/>
      <c r="P9" s="40"/>
      <c r="Q9" s="3"/>
      <c r="T9" s="18" t="s">
        <v>153</v>
      </c>
      <c r="U9" s="43">
        <v>0.5</v>
      </c>
    </row>
    <row r="10" spans="1:24" x14ac:dyDescent="0.25">
      <c r="A10" s="69">
        <f t="shared" si="4"/>
        <v>2027</v>
      </c>
      <c r="B10" s="79">
        <f t="shared" si="0"/>
        <v>4.9312863277928178</v>
      </c>
      <c r="C10" s="79">
        <f t="shared" si="0"/>
        <v>4.9312863277928178</v>
      </c>
      <c r="D10" s="70">
        <f t="shared" si="1"/>
        <v>4.9312863277928178</v>
      </c>
      <c r="E10" s="2"/>
      <c r="F10" s="154"/>
      <c r="H10" s="14">
        <f t="shared" si="3"/>
        <v>2027</v>
      </c>
      <c r="I10" s="7">
        <v>89.520037127777826</v>
      </c>
      <c r="J10" s="26">
        <f t="shared" si="2"/>
        <v>4.9312863277928178</v>
      </c>
      <c r="L10" s="40"/>
      <c r="M10" s="40"/>
      <c r="N10" s="40"/>
      <c r="O10" s="40"/>
      <c r="P10" s="40"/>
      <c r="Q10" s="3"/>
      <c r="T10" s="18" t="s">
        <v>139</v>
      </c>
      <c r="U10" s="18"/>
    </row>
    <row r="11" spans="1:24" x14ac:dyDescent="0.25">
      <c r="A11" s="69">
        <f t="shared" si="4"/>
        <v>2028</v>
      </c>
      <c r="B11" s="79">
        <f t="shared" si="0"/>
        <v>5.0017332753327164</v>
      </c>
      <c r="C11" s="79">
        <f t="shared" si="0"/>
        <v>5.0017332753327164</v>
      </c>
      <c r="D11" s="70">
        <f t="shared" si="1"/>
        <v>5.0017332753327164</v>
      </c>
      <c r="E11" s="2"/>
      <c r="F11" s="154"/>
      <c r="H11" s="14">
        <f t="shared" si="3"/>
        <v>2028</v>
      </c>
      <c r="I11" s="7">
        <v>90.798894801031793</v>
      </c>
      <c r="J11" s="26">
        <f t="shared" si="2"/>
        <v>5.0017332753327164</v>
      </c>
      <c r="L11" s="40"/>
      <c r="M11" s="40"/>
      <c r="N11" s="40"/>
      <c r="O11" s="40"/>
      <c r="P11" s="40"/>
      <c r="Q11" s="3"/>
      <c r="T11" s="18" t="s">
        <v>125</v>
      </c>
      <c r="U11" s="18"/>
    </row>
    <row r="12" spans="1:24" x14ac:dyDescent="0.25">
      <c r="A12" s="69">
        <f t="shared" si="4"/>
        <v>2029</v>
      </c>
      <c r="B12" s="79">
        <f t="shared" si="0"/>
        <v>5.0721802228726132</v>
      </c>
      <c r="C12" s="79">
        <f t="shared" si="0"/>
        <v>5.0721802228726132</v>
      </c>
      <c r="D12" s="70">
        <f t="shared" si="1"/>
        <v>5.0721802228726132</v>
      </c>
      <c r="E12" s="2"/>
      <c r="F12" s="154"/>
      <c r="H12" s="14">
        <f t="shared" si="3"/>
        <v>2029</v>
      </c>
      <c r="I12" s="7">
        <v>92.077752474285759</v>
      </c>
      <c r="J12" s="26">
        <f t="shared" si="2"/>
        <v>5.0721802228726132</v>
      </c>
      <c r="L12" s="40"/>
      <c r="M12" s="40"/>
      <c r="N12" s="40"/>
      <c r="O12" s="40"/>
      <c r="P12" s="40"/>
      <c r="Q12" s="3"/>
      <c r="S12" s="18"/>
      <c r="T12" s="18"/>
      <c r="U12" s="40"/>
    </row>
    <row r="13" spans="1:24" x14ac:dyDescent="0.25">
      <c r="A13" s="69">
        <f t="shared" si="4"/>
        <v>2030</v>
      </c>
      <c r="B13" s="79">
        <f t="shared" si="0"/>
        <v>5.1426271704125099</v>
      </c>
      <c r="C13" s="79">
        <f t="shared" si="0"/>
        <v>5.1426271704125099</v>
      </c>
      <c r="D13" s="70">
        <f t="shared" si="1"/>
        <v>5.1426271704125099</v>
      </c>
      <c r="E13" s="2"/>
      <c r="F13" s="154"/>
      <c r="H13" s="14">
        <f t="shared" si="3"/>
        <v>2030</v>
      </c>
      <c r="I13" s="7">
        <v>93.356610147539726</v>
      </c>
      <c r="J13" s="26">
        <f t="shared" si="2"/>
        <v>5.1426271704125099</v>
      </c>
      <c r="L13" s="40"/>
      <c r="M13" s="40"/>
      <c r="N13" s="40"/>
      <c r="O13" s="40"/>
      <c r="P13" s="40"/>
      <c r="Q13" s="3"/>
      <c r="S13" s="18"/>
      <c r="T13" s="18"/>
      <c r="U13" s="40"/>
    </row>
    <row r="14" spans="1:24" x14ac:dyDescent="0.25">
      <c r="A14" s="69">
        <f t="shared" si="4"/>
        <v>2031</v>
      </c>
      <c r="B14" s="79">
        <f t="shared" si="0"/>
        <v>5.2130741179524076</v>
      </c>
      <c r="C14" s="79">
        <f t="shared" si="0"/>
        <v>5.2130741179524076</v>
      </c>
      <c r="D14" s="70">
        <f t="shared" si="1"/>
        <v>5.2130741179524076</v>
      </c>
      <c r="E14" s="2"/>
      <c r="F14" s="154"/>
      <c r="H14" s="14">
        <f t="shared" si="3"/>
        <v>2031</v>
      </c>
      <c r="I14" s="7">
        <v>94.635467820793707</v>
      </c>
      <c r="J14" s="26">
        <f t="shared" si="2"/>
        <v>5.2130741179524076</v>
      </c>
      <c r="L14" s="40"/>
      <c r="M14" s="40"/>
      <c r="N14" s="40"/>
      <c r="O14" s="40"/>
      <c r="P14" s="40"/>
      <c r="Q14" s="3"/>
      <c r="S14" s="18"/>
      <c r="T14" s="18"/>
      <c r="U14" s="40"/>
    </row>
    <row r="15" spans="1:24" x14ac:dyDescent="0.25">
      <c r="A15" s="69">
        <f t="shared" si="4"/>
        <v>2032</v>
      </c>
      <c r="B15" s="79">
        <f t="shared" si="0"/>
        <v>5.2835210654923062</v>
      </c>
      <c r="C15" s="79">
        <f t="shared" si="0"/>
        <v>5.2835210654923062</v>
      </c>
      <c r="D15" s="70">
        <f t="shared" si="1"/>
        <v>5.2835210654923062</v>
      </c>
      <c r="E15" s="2"/>
      <c r="F15" s="154"/>
      <c r="H15" s="14">
        <f t="shared" si="3"/>
        <v>2032</v>
      </c>
      <c r="I15" s="7">
        <v>95.914325494047674</v>
      </c>
      <c r="J15" s="26">
        <f t="shared" si="2"/>
        <v>5.2835210654923062</v>
      </c>
      <c r="L15" s="40"/>
      <c r="M15" s="40"/>
      <c r="N15" s="40"/>
      <c r="O15" s="40"/>
      <c r="P15" s="40"/>
      <c r="Q15" s="3"/>
      <c r="S15" s="18"/>
      <c r="T15" s="18"/>
      <c r="U15" s="40"/>
    </row>
    <row r="16" spans="1:24" x14ac:dyDescent="0.25">
      <c r="A16" s="69">
        <f t="shared" si="4"/>
        <v>2033</v>
      </c>
      <c r="B16" s="79">
        <f t="shared" si="0"/>
        <v>5.3539680130322029</v>
      </c>
      <c r="C16" s="79">
        <f t="shared" si="0"/>
        <v>5.3539680130322029</v>
      </c>
      <c r="D16" s="70">
        <f t="shared" si="1"/>
        <v>5.3539680130322029</v>
      </c>
      <c r="E16" s="2"/>
      <c r="F16" s="154"/>
      <c r="H16" s="14">
        <f t="shared" si="3"/>
        <v>2033</v>
      </c>
      <c r="I16" s="7">
        <v>97.19318316730164</v>
      </c>
      <c r="J16" s="26">
        <f t="shared" si="2"/>
        <v>5.3539680130322029</v>
      </c>
      <c r="L16" s="40"/>
      <c r="M16" s="40"/>
      <c r="N16" s="40"/>
      <c r="O16" s="40"/>
      <c r="P16" s="40"/>
      <c r="Q16" s="3"/>
      <c r="S16" s="18"/>
      <c r="T16" s="18"/>
      <c r="U16" s="40"/>
    </row>
    <row r="17" spans="1:21" x14ac:dyDescent="0.25">
      <c r="A17" s="69">
        <f t="shared" si="4"/>
        <v>2034</v>
      </c>
      <c r="B17" s="79">
        <f t="shared" si="0"/>
        <v>5.4244149605721006</v>
      </c>
      <c r="C17" s="79">
        <f t="shared" si="0"/>
        <v>5.4244149605721006</v>
      </c>
      <c r="D17" s="70">
        <f t="shared" si="1"/>
        <v>5.4244149605721006</v>
      </c>
      <c r="E17" s="2"/>
      <c r="F17" s="154"/>
      <c r="H17" s="14">
        <f t="shared" si="3"/>
        <v>2034</v>
      </c>
      <c r="I17" s="7">
        <v>98.472040840555607</v>
      </c>
      <c r="J17" s="26">
        <f t="shared" si="2"/>
        <v>5.4244149605721006</v>
      </c>
      <c r="L17" s="40"/>
      <c r="M17" s="40"/>
      <c r="N17" s="40"/>
      <c r="O17" s="40"/>
      <c r="P17" s="40"/>
      <c r="Q17" s="3"/>
      <c r="S17" s="18"/>
      <c r="U17" s="40"/>
    </row>
    <row r="18" spans="1:21" x14ac:dyDescent="0.25">
      <c r="A18" s="69">
        <f t="shared" si="4"/>
        <v>2035</v>
      </c>
      <c r="B18" s="79">
        <f t="shared" si="0"/>
        <v>5.4948619081119974</v>
      </c>
      <c r="C18" s="79">
        <f t="shared" si="0"/>
        <v>5.4948619081119974</v>
      </c>
      <c r="D18" s="70">
        <f t="shared" si="1"/>
        <v>5.4948619081119974</v>
      </c>
      <c r="E18" s="2"/>
      <c r="F18" s="154"/>
      <c r="H18" s="14">
        <f t="shared" si="3"/>
        <v>2035</v>
      </c>
      <c r="I18" s="7">
        <v>99.750898513809574</v>
      </c>
      <c r="J18" s="26">
        <f t="shared" si="2"/>
        <v>5.4948619081119974</v>
      </c>
      <c r="L18" s="40"/>
      <c r="M18" s="40"/>
      <c r="N18" s="40"/>
      <c r="O18" s="40"/>
      <c r="P18" s="40"/>
      <c r="Q18" s="3"/>
      <c r="U18" s="40"/>
    </row>
    <row r="19" spans="1:21" x14ac:dyDescent="0.25">
      <c r="A19" s="69">
        <f t="shared" si="4"/>
        <v>2036</v>
      </c>
      <c r="B19" s="79">
        <f t="shared" si="0"/>
        <v>5.565308855651895</v>
      </c>
      <c r="C19" s="79">
        <f t="shared" si="0"/>
        <v>5.565308855651895</v>
      </c>
      <c r="D19" s="70">
        <f t="shared" si="1"/>
        <v>5.565308855651895</v>
      </c>
      <c r="E19" s="2"/>
      <c r="F19" s="154"/>
      <c r="H19" s="14">
        <f t="shared" si="3"/>
        <v>2036</v>
      </c>
      <c r="I19" s="7">
        <v>101.02975618706354</v>
      </c>
      <c r="J19" s="26">
        <f t="shared" si="2"/>
        <v>5.565308855651895</v>
      </c>
      <c r="L19" s="40"/>
      <c r="M19" s="40"/>
      <c r="N19" s="40"/>
      <c r="O19" s="40"/>
      <c r="P19" s="40"/>
      <c r="Q19" s="3"/>
      <c r="U19" s="40"/>
    </row>
    <row r="20" spans="1:21" x14ac:dyDescent="0.25">
      <c r="A20" s="69">
        <f t="shared" si="4"/>
        <v>2037</v>
      </c>
      <c r="B20" s="79">
        <f t="shared" si="0"/>
        <v>5.7062027507316904</v>
      </c>
      <c r="C20" s="79">
        <f t="shared" si="0"/>
        <v>5.7062027507316904</v>
      </c>
      <c r="D20" s="70">
        <f t="shared" si="1"/>
        <v>5.7062027507316904</v>
      </c>
      <c r="E20" s="2"/>
      <c r="F20" s="154"/>
      <c r="H20" s="14">
        <f t="shared" si="3"/>
        <v>2037</v>
      </c>
      <c r="I20" s="7">
        <v>103.58747153357149</v>
      </c>
      <c r="J20" s="26">
        <f t="shared" si="2"/>
        <v>5.7062027507316904</v>
      </c>
      <c r="L20" s="40"/>
      <c r="M20" s="40"/>
      <c r="N20" s="40"/>
      <c r="O20" s="40"/>
      <c r="P20" s="40"/>
      <c r="Q20" s="3"/>
      <c r="U20" s="40"/>
    </row>
    <row r="21" spans="1:21" x14ac:dyDescent="0.25">
      <c r="A21" s="69">
        <f t="shared" si="4"/>
        <v>2038</v>
      </c>
      <c r="B21" s="79">
        <f t="shared" si="0"/>
        <v>5.7766496982715871</v>
      </c>
      <c r="C21" s="79">
        <f t="shared" si="0"/>
        <v>5.7766496982715871</v>
      </c>
      <c r="D21" s="70">
        <f t="shared" si="1"/>
        <v>5.7766496982715871</v>
      </c>
      <c r="E21" s="2"/>
      <c r="F21" s="154"/>
      <c r="H21" s="14">
        <f t="shared" si="3"/>
        <v>2038</v>
      </c>
      <c r="I21" s="7">
        <v>104.86632920682545</v>
      </c>
      <c r="J21" s="26">
        <f t="shared" si="2"/>
        <v>5.7766496982715871</v>
      </c>
      <c r="L21" s="40"/>
      <c r="M21" s="40"/>
      <c r="N21" s="40"/>
      <c r="O21" s="40"/>
      <c r="P21" s="40"/>
      <c r="Q21" s="3"/>
      <c r="U21" s="40"/>
    </row>
    <row r="22" spans="1:21" x14ac:dyDescent="0.25">
      <c r="A22" s="69">
        <f t="shared" si="4"/>
        <v>2039</v>
      </c>
      <c r="B22" s="79">
        <f t="shared" si="0"/>
        <v>5.8470966458114848</v>
      </c>
      <c r="C22" s="79">
        <f t="shared" si="0"/>
        <v>5.8470966458114848</v>
      </c>
      <c r="D22" s="70">
        <f t="shared" si="1"/>
        <v>5.8470966458114848</v>
      </c>
      <c r="E22" s="2"/>
      <c r="F22" s="154"/>
      <c r="H22" s="14">
        <f t="shared" si="3"/>
        <v>2039</v>
      </c>
      <c r="I22" s="7">
        <v>106.14518688007942</v>
      </c>
      <c r="J22" s="26">
        <f t="shared" si="2"/>
        <v>5.8470966458114848</v>
      </c>
      <c r="L22" s="40"/>
      <c r="M22" s="40"/>
      <c r="N22" s="40"/>
      <c r="O22" s="40"/>
      <c r="P22" s="40"/>
      <c r="Q22" s="3"/>
      <c r="U22" s="40"/>
    </row>
    <row r="23" spans="1:21" x14ac:dyDescent="0.25">
      <c r="A23" s="69">
        <f t="shared" si="4"/>
        <v>2040</v>
      </c>
      <c r="B23" s="79">
        <f t="shared" si="0"/>
        <v>5.9175435933513825</v>
      </c>
      <c r="C23" s="79">
        <f t="shared" si="0"/>
        <v>5.9175435933513825</v>
      </c>
      <c r="D23" s="70">
        <f t="shared" si="1"/>
        <v>5.9175435933513825</v>
      </c>
      <c r="E23" s="2"/>
      <c r="F23" s="154"/>
      <c r="H23" s="14">
        <f t="shared" si="3"/>
        <v>2040</v>
      </c>
      <c r="I23" s="7">
        <v>107.42404455333339</v>
      </c>
      <c r="J23" s="26">
        <f t="shared" si="2"/>
        <v>5.9175435933513825</v>
      </c>
      <c r="L23" s="40"/>
      <c r="M23" s="40"/>
      <c r="N23" s="40"/>
      <c r="O23" s="40"/>
      <c r="P23" s="40"/>
      <c r="Q23" s="3"/>
      <c r="U23" s="40"/>
    </row>
    <row r="24" spans="1:21" x14ac:dyDescent="0.25">
      <c r="A24" s="69">
        <f t="shared" si="4"/>
        <v>2041</v>
      </c>
      <c r="B24" s="79">
        <f t="shared" si="0"/>
        <v>5.9879905408912792</v>
      </c>
      <c r="C24" s="79">
        <f t="shared" si="0"/>
        <v>5.9879905408912792</v>
      </c>
      <c r="D24" s="70">
        <f t="shared" si="1"/>
        <v>5.9879905408912792</v>
      </c>
      <c r="E24" s="2"/>
      <c r="F24" s="154"/>
      <c r="H24" s="14">
        <f t="shared" si="3"/>
        <v>2041</v>
      </c>
      <c r="I24" s="7">
        <v>108.70290222658736</v>
      </c>
      <c r="J24" s="26">
        <f t="shared" si="2"/>
        <v>5.9879905408912792</v>
      </c>
      <c r="L24" s="40"/>
      <c r="M24" s="40"/>
      <c r="N24" s="40"/>
      <c r="O24" s="40"/>
      <c r="P24" s="40"/>
      <c r="Q24" s="3"/>
      <c r="U24" s="40"/>
    </row>
    <row r="25" spans="1:21" ht="15.75" thickBot="1" x14ac:dyDescent="0.3">
      <c r="A25" s="59">
        <f t="shared" si="4"/>
        <v>2042</v>
      </c>
      <c r="B25" s="80">
        <f t="shared" si="0"/>
        <v>6.058437488431176</v>
      </c>
      <c r="C25" s="80">
        <f t="shared" si="0"/>
        <v>6.058437488431176</v>
      </c>
      <c r="D25" s="71">
        <f t="shared" si="1"/>
        <v>6.058437488431176</v>
      </c>
      <c r="E25" s="2"/>
      <c r="F25" s="154"/>
      <c r="H25" s="14">
        <f t="shared" si="3"/>
        <v>2042</v>
      </c>
      <c r="I25" s="7">
        <v>109.98175989984132</v>
      </c>
      <c r="J25" s="26">
        <f t="shared" si="2"/>
        <v>6.058437488431176</v>
      </c>
      <c r="L25" s="40"/>
      <c r="M25" s="40"/>
      <c r="N25" s="40"/>
      <c r="O25" s="40"/>
      <c r="P25" s="40"/>
      <c r="Q25" s="3"/>
      <c r="U25" s="40"/>
    </row>
    <row r="26" spans="1:21" ht="15.75" thickTop="1" x14ac:dyDescent="0.25">
      <c r="G26" s="2"/>
      <c r="H26" s="85"/>
      <c r="I26" s="85"/>
      <c r="J26" s="85"/>
      <c r="L26" s="40"/>
      <c r="M26" s="40"/>
      <c r="N26" s="40"/>
      <c r="O26" s="40"/>
    </row>
    <row r="27" spans="1:21" x14ac:dyDescent="0.25">
      <c r="A27" s="219" t="s">
        <v>134</v>
      </c>
      <c r="B27" s="219"/>
      <c r="C27" s="219"/>
      <c r="D27" s="219"/>
      <c r="E27" s="219"/>
      <c r="G27" s="41"/>
      <c r="H27" s="41"/>
      <c r="I27" s="41"/>
      <c r="L27" s="40"/>
      <c r="M27" s="40"/>
      <c r="N27" s="40"/>
      <c r="O27" s="40"/>
    </row>
    <row r="28" spans="1:21" x14ac:dyDescent="0.25">
      <c r="A28" s="219"/>
      <c r="B28" s="219"/>
      <c r="C28" s="219"/>
      <c r="D28" s="219"/>
      <c r="E28" s="219"/>
      <c r="G28" s="40"/>
      <c r="H28" s="40"/>
      <c r="I28" s="40"/>
    </row>
    <row r="29" spans="1:21" x14ac:dyDescent="0.25">
      <c r="A29" s="219" t="s">
        <v>135</v>
      </c>
      <c r="B29" s="219"/>
      <c r="C29" s="219"/>
      <c r="D29" s="219"/>
      <c r="E29" s="219"/>
      <c r="G29" t="s">
        <v>134</v>
      </c>
    </row>
    <row r="30" spans="1:21" x14ac:dyDescent="0.25">
      <c r="A30" s="219"/>
      <c r="B30" s="219"/>
      <c r="C30" s="219"/>
      <c r="D30" s="219"/>
      <c r="E30" s="219"/>
      <c r="G30" s="40" t="s">
        <v>135</v>
      </c>
    </row>
    <row r="31" spans="1:21" x14ac:dyDescent="0.25">
      <c r="A31" s="40" t="s">
        <v>138</v>
      </c>
      <c r="B31" s="40"/>
      <c r="C31" s="40"/>
      <c r="D31" s="40"/>
      <c r="G31" t="s">
        <v>138</v>
      </c>
    </row>
    <row r="32" spans="1:21" x14ac:dyDescent="0.25">
      <c r="A32" s="40">
        <v>2012</v>
      </c>
      <c r="B32" s="40">
        <v>1.032</v>
      </c>
      <c r="C32" s="40" t="s">
        <v>137</v>
      </c>
      <c r="D32" s="40"/>
      <c r="G32">
        <v>2012</v>
      </c>
      <c r="H32">
        <v>1.032</v>
      </c>
      <c r="I32" t="s">
        <v>137</v>
      </c>
    </row>
    <row r="33" spans="1:9" x14ac:dyDescent="0.25">
      <c r="A33" s="40">
        <v>2013</v>
      </c>
      <c r="B33" s="40">
        <v>1.0349999999999999</v>
      </c>
      <c r="C33" s="40" t="s">
        <v>137</v>
      </c>
      <c r="D33" s="40"/>
      <c r="G33">
        <v>2013</v>
      </c>
      <c r="H33">
        <v>1.0349999999999999</v>
      </c>
      <c r="I33" s="40" t="s">
        <v>137</v>
      </c>
    </row>
    <row r="34" spans="1:9" x14ac:dyDescent="0.25">
      <c r="A34" s="40">
        <v>2014</v>
      </c>
      <c r="B34" s="40">
        <v>1.0429999999999999</v>
      </c>
      <c r="C34" s="40" t="s">
        <v>137</v>
      </c>
      <c r="D34" s="40"/>
      <c r="G34">
        <v>2014</v>
      </c>
      <c r="H34">
        <v>1.0429999999999999</v>
      </c>
      <c r="I34" s="40" t="s">
        <v>137</v>
      </c>
    </row>
    <row r="35" spans="1:9" x14ac:dyDescent="0.25">
      <c r="A35" s="40">
        <v>2015</v>
      </c>
      <c r="B35" s="40">
        <v>1.0620000000000001</v>
      </c>
      <c r="C35" s="40" t="s">
        <v>137</v>
      </c>
      <c r="D35" s="40"/>
      <c r="G35">
        <v>2015</v>
      </c>
      <c r="H35">
        <v>1.0620000000000001</v>
      </c>
      <c r="I35" s="40" t="s">
        <v>137</v>
      </c>
    </row>
    <row r="36" spans="1:9" x14ac:dyDescent="0.25">
      <c r="A36" s="40">
        <v>2016</v>
      </c>
      <c r="B36" s="40">
        <v>1.073</v>
      </c>
      <c r="C36" s="40" t="s">
        <v>137</v>
      </c>
      <c r="D36" s="40"/>
      <c r="G36">
        <v>2016</v>
      </c>
      <c r="H36">
        <v>1.073</v>
      </c>
      <c r="I36" s="40" t="s">
        <v>137</v>
      </c>
    </row>
    <row r="37" spans="1:9" x14ac:dyDescent="0.25">
      <c r="A37" s="40">
        <v>2017</v>
      </c>
      <c r="B37" s="40">
        <v>1.075</v>
      </c>
      <c r="C37" s="40" t="s">
        <v>137</v>
      </c>
      <c r="D37" s="40"/>
      <c r="G37">
        <v>2017</v>
      </c>
      <c r="H37">
        <v>1.075</v>
      </c>
      <c r="I37" s="40" t="s">
        <v>137</v>
      </c>
    </row>
    <row r="38" spans="1:9" x14ac:dyDescent="0.25">
      <c r="A38" s="40" t="s">
        <v>136</v>
      </c>
      <c r="B38" s="40">
        <f>AVERAGE(B32:B37)</f>
        <v>1.0533333333333335</v>
      </c>
      <c r="C38" s="40" t="s">
        <v>137</v>
      </c>
      <c r="G38" t="s">
        <v>136</v>
      </c>
      <c r="H38">
        <f>AVERAGE(H32:H37)</f>
        <v>1.0533333333333335</v>
      </c>
    </row>
    <row r="39" spans="1:9" x14ac:dyDescent="0.25">
      <c r="G39" s="40" t="s">
        <v>152</v>
      </c>
      <c r="H39" s="138">
        <f>'Upstream Emissions'!H3</f>
        <v>5.5085838724062072E-3</v>
      </c>
    </row>
  </sheetData>
  <mergeCells count="5">
    <mergeCell ref="W4:X4"/>
    <mergeCell ref="A27:E28"/>
    <mergeCell ref="A29:E30"/>
    <mergeCell ref="A1:D3"/>
    <mergeCell ref="H1:J3"/>
  </mergeCells>
  <dataValidations count="2">
    <dataValidation type="list" allowBlank="1" showInputMessage="1" showErrorMessage="1" sqref="B4" xr:uid="{F0746822-3DA8-4C52-931E-12E598F847AF}">
      <formula1>$T$5:$T$12</formula1>
    </dataValidation>
    <dataValidation type="list" allowBlank="1" showInputMessage="1" showErrorMessage="1" sqref="C4" xr:uid="{3A6A3C5D-5F63-4FD9-9835-93FA6561167C}">
      <formula1>$T$5:$T$13</formula1>
    </dataValidation>
  </dataValidations>
  <pageMargins left="0.7" right="0.7" top="0.75" bottom="0.75" header="0.3" footer="0.3"/>
  <pageSetup scale="58" orientation="portrait" r:id="rId1"/>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DA7614FAF6D4442B08355FE470D2557" ma:contentTypeVersion="16" ma:contentTypeDescription="" ma:contentTypeScope="" ma:versionID="7e92dee5c35e12ac3fc83fb4e3e7f01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2023-06-02T07:00:00+00:00</OpenedDate>
    <SignificantOrder xmlns="dc463f71-b30c-4ab2-9473-d307f9d35888">false</SignificantOrder>
    <Date1 xmlns="dc463f71-b30c-4ab2-9473-d307f9d35888">2023-06-02T07:00:00+00:00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230434</DocketNumber>
    <DelegatedOrder xmlns="dc463f71-b30c-4ab2-9473-d307f9d35888">false</DelegatedOrder>
  </documentManagement>
</p:properties>
</file>

<file path=customXml/itemProps1.xml><?xml version="1.0" encoding="utf-8"?>
<ds:datastoreItem xmlns:ds="http://schemas.openxmlformats.org/officeDocument/2006/customXml" ds:itemID="{CAA94AD6-A0D1-49F5-8DA7-258B4D50E4C1}"/>
</file>

<file path=customXml/itemProps2.xml><?xml version="1.0" encoding="utf-8"?>
<ds:datastoreItem xmlns:ds="http://schemas.openxmlformats.org/officeDocument/2006/customXml" ds:itemID="{65947BEB-C3A7-48FA-9B7E-D9CB83B685CB}"/>
</file>

<file path=customXml/itemProps3.xml><?xml version="1.0" encoding="utf-8"?>
<ds:datastoreItem xmlns:ds="http://schemas.openxmlformats.org/officeDocument/2006/customXml" ds:itemID="{57D9A006-AE9F-4A36-BE8D-6D01D78FE202}"/>
</file>

<file path=customXml/itemProps4.xml><?xml version="1.0" encoding="utf-8"?>
<ds:datastoreItem xmlns:ds="http://schemas.openxmlformats.org/officeDocument/2006/customXml" ds:itemID="{436E2C8C-7D59-4AF4-B946-24247D40D7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SUMMARY</vt:lpstr>
      <vt:lpstr>NEW FINAL CALCULATION </vt:lpstr>
      <vt:lpstr>INCRM FIXED TRANSPORT</vt:lpstr>
      <vt:lpstr>VARIABLE TRANSPORT</vt:lpstr>
      <vt:lpstr>FUEL</vt:lpstr>
      <vt:lpstr>FIXED STORAGE</vt:lpstr>
      <vt:lpstr>VARIABLE STORAGE</vt:lpstr>
      <vt:lpstr>COMMODITY COST</vt:lpstr>
      <vt:lpstr>CARBON TAX</vt:lpstr>
      <vt:lpstr>Upstream Emissions</vt:lpstr>
      <vt:lpstr>ENVIRONMENTAL ADDER</vt:lpstr>
      <vt:lpstr>DISTRIBUTION SYSTEM</vt:lpstr>
      <vt:lpstr>RISK PREMIUM</vt:lpstr>
      <vt:lpstr>INFLATION</vt:lpstr>
      <vt:lpstr>CARBON SENSITIVITIES ---&gt;</vt:lpstr>
      <vt:lpstr>Cap and Trade</vt:lpstr>
      <vt:lpstr>Market Choice</vt:lpstr>
      <vt:lpstr>Raise Wages</vt:lpstr>
      <vt:lpstr>'CARBON TAX'!Print_Area</vt:lpstr>
      <vt:lpstr>'COMMODITY COST'!Print_Area</vt:lpstr>
      <vt:lpstr>'DISTRIBUTION SYSTEM'!Print_Area</vt:lpstr>
      <vt:lpstr>'ENVIRONMENTAL ADDER'!Print_Area</vt:lpstr>
      <vt:lpstr>'FIXED STORAGE'!Print_Area</vt:lpstr>
      <vt:lpstr>FUEL!Print_Area</vt:lpstr>
      <vt:lpstr>'INCRM FIXED TRANSPORT'!Print_Area</vt:lpstr>
      <vt:lpstr>INFLATION!Print_Area</vt:lpstr>
      <vt:lpstr>'NEW FINAL CALCULATION '!Print_Area</vt:lpstr>
      <vt:lpstr>'RISK PREMIUM'!Print_Area</vt:lpstr>
      <vt:lpstr>SUMMARY!Print_Area</vt:lpstr>
      <vt:lpstr>'Upstream Emissions'!Print_Area</vt:lpstr>
      <vt:lpstr>'VARIABLE STORAGE'!Print_Area</vt:lpstr>
      <vt:lpstr>'VARIABLE TRANSPORT'!Print_Area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McGreal, Devin</dc:creator>
  <cp:lastModifiedBy>Robertson, Brian</cp:lastModifiedBy>
  <cp:lastPrinted>2022-11-14T17:42:10Z</cp:lastPrinted>
  <dcterms:created xsi:type="dcterms:W3CDTF">2018-03-23T17:37:03Z</dcterms:created>
  <dcterms:modified xsi:type="dcterms:W3CDTF">2022-11-14T18:30:22Z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0x0101006E56B4D1795A2E4DB2F0B01679ED314A000DA7614FAF6D4442B08355FE470D2557</vt:lpwstr>
  </property>
  <property fmtid="{D5CDD505-2E9C-101B-9397-08002B2CF9AE}" pid="3" name="_docset_NoMedatataSyncRequired">
    <vt:lpwstr>False</vt:lpwstr>
  </property>
</Properties>
</file>