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Client Data\Basin Disposal of Yakima\Yakima Fuel Surcharge 7-22\"/>
    </mc:Choice>
  </mc:AlternateContent>
  <xr:revisionPtr revIDLastSave="0" documentId="13_ncr:1_{BCD1E269-AFB9-42E0-9B0F-B9A02124D48B}" xr6:coauthVersionLast="47" xr6:coauthVersionMax="47" xr10:uidLastSave="{00000000-0000-0000-0000-000000000000}"/>
  <workbookProtection workbookAlgorithmName="SHA-512" workbookHashValue="K65RE5C1BZF04nEKbSpgKqCgSZhsCsC24CzvdRTFvXxdcX0rHyaKRpy2OdU7ODs8W3z0Bt6F86Jq6aq45QqEUg==" workbookSaltValue="REgxlh7pcK3tnKpUGo0txw==" workbookSpinCount="100000" lockStructure="1"/>
  <bookViews>
    <workbookView xWindow="-57720" yWindow="-120" windowWidth="29040" windowHeight="1522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1" l="1"/>
  <c r="M72" i="7"/>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<sst xmlns="http://schemas.openxmlformats.org/spreadsheetml/2006/main" count="598" uniqueCount="288">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</sst>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A7" sqref="A7:F7"/>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69" t="s">
        <v>0</v>
      </c>
      <c r="B1" s="269"/>
      <c r="C1" s="269"/>
      <c r="D1" s="269"/>
      <c r="E1" s="269"/>
      <c r="F1" s="269"/>
    </row>
    <row r="2" spans="1:6" ht="26.25" customHeight="1" x14ac:dyDescent="0.2">
      <c r="A2" s="282" t="s">
        <v>1</v>
      </c>
      <c r="B2" s="283"/>
      <c r="C2" s="68" t="s">
        <v>2</v>
      </c>
      <c r="D2" s="279" t="s">
        <v>161</v>
      </c>
      <c r="E2" s="279"/>
      <c r="F2" s="279"/>
    </row>
    <row r="3" spans="1:6" ht="5.25" customHeight="1" x14ac:dyDescent="0.2">
      <c r="A3" s="284"/>
      <c r="B3" s="285"/>
      <c r="C3" s="69"/>
      <c r="D3" s="69"/>
      <c r="E3" s="69"/>
      <c r="F3" s="69"/>
    </row>
    <row r="4" spans="1:6" x14ac:dyDescent="0.2">
      <c r="A4" s="284"/>
      <c r="B4" s="285"/>
      <c r="C4" s="70" t="s">
        <v>4</v>
      </c>
      <c r="D4" s="281">
        <v>44774</v>
      </c>
      <c r="E4" s="281"/>
      <c r="F4" s="281"/>
    </row>
    <row r="5" spans="1:6" ht="5.25" customHeight="1" x14ac:dyDescent="0.2">
      <c r="A5" s="284"/>
      <c r="B5" s="285"/>
      <c r="C5" s="69"/>
      <c r="D5" s="69"/>
      <c r="E5" s="69"/>
      <c r="F5" s="69"/>
    </row>
    <row r="6" spans="1:6" x14ac:dyDescent="0.2">
      <c r="A6" s="284"/>
      <c r="B6" s="285"/>
      <c r="C6" s="70" t="s">
        <v>5</v>
      </c>
      <c r="D6" s="292">
        <f>+F16</f>
        <v>818687</v>
      </c>
      <c r="E6" s="292"/>
      <c r="F6" s="292"/>
    </row>
    <row r="7" spans="1:6" x14ac:dyDescent="0.2">
      <c r="A7" s="286"/>
      <c r="B7" s="286"/>
      <c r="C7" s="286"/>
      <c r="D7" s="286"/>
      <c r="E7" s="286"/>
      <c r="F7" s="286"/>
    </row>
    <row r="8" spans="1:6" ht="28.5" customHeight="1" x14ac:dyDescent="0.2">
      <c r="A8" s="282" t="s">
        <v>6</v>
      </c>
      <c r="B8" s="283"/>
      <c r="C8" s="71" t="s">
        <v>7</v>
      </c>
      <c r="D8" s="294">
        <f>IF(AND(D2&gt;"", D4&gt;0, D6&gt;0), F45, 0)</f>
        <v>7.0282579999999997E-2</v>
      </c>
      <c r="E8" s="294"/>
      <c r="F8" s="294"/>
    </row>
    <row r="9" spans="1:6" ht="5.25" customHeight="1" x14ac:dyDescent="0.2">
      <c r="A9" s="284"/>
      <c r="B9" s="285"/>
      <c r="C9" s="72"/>
      <c r="D9" s="72"/>
      <c r="E9" s="72"/>
      <c r="F9" s="72"/>
    </row>
    <row r="10" spans="1:6" ht="29.25" customHeight="1" x14ac:dyDescent="0.2">
      <c r="A10" s="284"/>
      <c r="B10" s="285"/>
      <c r="C10" s="71" t="s">
        <v>8</v>
      </c>
      <c r="D10" s="280">
        <f>IF(AND(D2&gt;"", D4&gt;0, D6&gt;0), IF(F45&lt;F61, F45,F61), 0)</f>
        <v>4.2115351889127385E-2</v>
      </c>
      <c r="E10" s="280"/>
      <c r="F10" s="280"/>
    </row>
    <row r="11" spans="1:6" ht="5.25" customHeight="1" x14ac:dyDescent="0.2">
      <c r="A11" s="284"/>
      <c r="B11" s="285"/>
      <c r="C11" s="72"/>
      <c r="D11" s="72"/>
      <c r="E11" s="72"/>
      <c r="F11" s="72"/>
    </row>
    <row r="12" spans="1:6" ht="39" customHeight="1" x14ac:dyDescent="0.2">
      <c r="A12" s="284"/>
      <c r="B12" s="285"/>
      <c r="C12" s="293"/>
      <c r="D12" s="293"/>
      <c r="E12" s="293"/>
      <c r="F12" s="293"/>
    </row>
    <row r="13" spans="1:6" x14ac:dyDescent="0.2">
      <c r="A13" s="73"/>
      <c r="B13" s="74"/>
      <c r="C13" s="74"/>
      <c r="D13" s="75"/>
      <c r="E13" s="73"/>
      <c r="F13" s="73"/>
    </row>
    <row r="14" spans="1:6" ht="25.5" x14ac:dyDescent="0.2">
      <c r="A14" s="76" t="s">
        <v>9</v>
      </c>
      <c r="B14" s="77"/>
      <c r="C14" s="78"/>
      <c r="D14" s="77"/>
      <c r="F14" s="77"/>
    </row>
    <row r="15" spans="1:6" x14ac:dyDescent="0.2">
      <c r="A15" s="77">
        <v>1</v>
      </c>
      <c r="B15" s="270" t="s">
        <v>10</v>
      </c>
      <c r="C15" s="271"/>
      <c r="D15" s="271"/>
      <c r="E15" s="271"/>
      <c r="F15" s="272"/>
    </row>
    <row r="16" spans="1:6" x14ac:dyDescent="0.2">
      <c r="A16" s="77">
        <v>2</v>
      </c>
      <c r="C16" s="67" t="s">
        <v>11</v>
      </c>
      <c r="F16" s="79">
        <v>818687</v>
      </c>
    </row>
    <row r="17" spans="1:6" x14ac:dyDescent="0.2">
      <c r="A17" s="77">
        <v>3</v>
      </c>
      <c r="C17" s="67" t="s">
        <v>12</v>
      </c>
      <c r="F17" s="79">
        <v>56199</v>
      </c>
    </row>
    <row r="18" spans="1:6" x14ac:dyDescent="0.2">
      <c r="A18" s="77">
        <v>4</v>
      </c>
      <c r="C18" s="67" t="s">
        <v>13</v>
      </c>
      <c r="F18" s="80">
        <f>IF(D4="","",VLOOKUP(D2,CompanyInfo,5, FALSE))</f>
        <v>40268</v>
      </c>
    </row>
    <row r="19" spans="1:6" x14ac:dyDescent="0.2">
      <c r="A19" s="77">
        <v>5</v>
      </c>
      <c r="C19" s="67" t="s">
        <v>14</v>
      </c>
      <c r="F19" s="80">
        <f>IF(D4="","",VLOOKUP(D2,CompanyInfo,6,FALSE ))</f>
        <v>40330</v>
      </c>
    </row>
    <row r="20" spans="1:6" x14ac:dyDescent="0.2">
      <c r="A20" s="77">
        <v>6</v>
      </c>
      <c r="C20" s="78" t="s">
        <v>15</v>
      </c>
      <c r="F20" s="81">
        <f>IF(D2="","",VLOOKUP(D2,CompanyInfo,2, FALSE))</f>
        <v>2</v>
      </c>
    </row>
    <row r="21" spans="1:6" x14ac:dyDescent="0.2">
      <c r="A21" s="77">
        <v>7</v>
      </c>
      <c r="B21" s="77"/>
      <c r="C21" s="78" t="s">
        <v>16</v>
      </c>
      <c r="D21" s="77"/>
      <c r="F21" s="265" t="str">
        <f>IF(D2="","",VLOOKUP(D2,CompanyInfo,9,FALSE ))</f>
        <v>East</v>
      </c>
    </row>
    <row r="22" spans="1:6" x14ac:dyDescent="0.2">
      <c r="A22" s="77">
        <v>8</v>
      </c>
      <c r="B22" s="77"/>
      <c r="C22" s="78" t="s">
        <v>17</v>
      </c>
      <c r="D22" s="77"/>
      <c r="F22" s="79">
        <f>IF(D2="","",VLOOKUP(D2,CompanyInfo,7,FALSE ))</f>
        <v>1027305</v>
      </c>
    </row>
    <row r="23" spans="1:6" x14ac:dyDescent="0.2">
      <c r="A23" s="77">
        <v>9</v>
      </c>
      <c r="B23" s="77"/>
      <c r="C23" s="78"/>
      <c r="D23" s="77"/>
      <c r="F23" s="77"/>
    </row>
    <row r="24" spans="1:6" x14ac:dyDescent="0.2">
      <c r="A24" s="77">
        <v>10</v>
      </c>
      <c r="B24" s="273" t="s">
        <v>18</v>
      </c>
      <c r="C24" s="274"/>
      <c r="D24" s="274"/>
      <c r="E24" s="274"/>
      <c r="F24" s="275"/>
    </row>
    <row r="25" spans="1:6" x14ac:dyDescent="0.2">
      <c r="A25" s="77">
        <v>11</v>
      </c>
      <c r="C25" s="78" t="s">
        <v>19</v>
      </c>
      <c r="F25" s="79">
        <f>+F17</f>
        <v>56199</v>
      </c>
    </row>
    <row r="26" spans="1:6" x14ac:dyDescent="0.2">
      <c r="A26" s="77">
        <v>12</v>
      </c>
      <c r="C26" s="82" t="s">
        <v>20</v>
      </c>
      <c r="E26" s="77" t="s">
        <v>21</v>
      </c>
      <c r="F26" s="83">
        <f>+F16</f>
        <v>818687</v>
      </c>
    </row>
    <row r="27" spans="1:6" x14ac:dyDescent="0.2">
      <c r="A27" s="77">
        <v>13</v>
      </c>
      <c r="C27" s="67" t="s">
        <v>22</v>
      </c>
      <c r="E27" s="77" t="s">
        <v>23</v>
      </c>
      <c r="F27" s="84">
        <f>F17/F16</f>
        <v>6.8645282018646933E-2</v>
      </c>
    </row>
    <row r="28" spans="1:6" x14ac:dyDescent="0.2">
      <c r="A28" s="77">
        <v>14</v>
      </c>
      <c r="C28" s="67" t="s">
        <v>24</v>
      </c>
      <c r="E28" s="77" t="s">
        <v>25</v>
      </c>
      <c r="F28" s="85">
        <v>100</v>
      </c>
    </row>
    <row r="29" spans="1:6" x14ac:dyDescent="0.2">
      <c r="A29" s="77">
        <v>15</v>
      </c>
      <c r="C29" s="67" t="s">
        <v>26</v>
      </c>
      <c r="E29" s="77" t="s">
        <v>23</v>
      </c>
      <c r="F29" s="86">
        <f>ROUND(F27,4)</f>
        <v>6.8599999999999994E-2</v>
      </c>
    </row>
    <row r="30" spans="1:6" x14ac:dyDescent="0.2">
      <c r="A30" s="77">
        <v>16</v>
      </c>
    </row>
    <row r="31" spans="1:6" x14ac:dyDescent="0.2">
      <c r="A31" s="77">
        <v>17</v>
      </c>
      <c r="B31" s="273" t="s">
        <v>27</v>
      </c>
      <c r="C31" s="274"/>
      <c r="D31" s="274"/>
      <c r="E31" s="274"/>
      <c r="F31" s="275"/>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5.8205</v>
      </c>
    </row>
    <row r="33" spans="1:6" x14ac:dyDescent="0.2">
      <c r="A33" s="77">
        <v>19</v>
      </c>
      <c r="C33" s="82" t="s">
        <v>30</v>
      </c>
      <c r="E33" s="77" t="s">
        <v>31</v>
      </c>
      <c r="F33" s="88">
        <f>+IF(F21="West",(+VLOOKUP(F18,'Weekly OPIS Averages'!B15:J323,9,FALSE)),(+VLOOKUP(F18,'Weekly OPIS Averages'!M15:U323,9,FALSE)))</f>
        <v>2.6818408110294114</v>
      </c>
    </row>
    <row r="34" spans="1:6" x14ac:dyDescent="0.2">
      <c r="A34" s="77">
        <v>20</v>
      </c>
      <c r="C34" s="67" t="s">
        <v>32</v>
      </c>
      <c r="E34" s="77" t="s">
        <v>23</v>
      </c>
      <c r="F34" s="89">
        <f>+F32-F33</f>
        <v>3.1386591889705886</v>
      </c>
    </row>
    <row r="35" spans="1:6" x14ac:dyDescent="0.2">
      <c r="A35" s="77">
        <v>21</v>
      </c>
      <c r="C35" s="82" t="s">
        <v>33</v>
      </c>
      <c r="E35" s="77" t="s">
        <v>21</v>
      </c>
      <c r="F35" s="90">
        <f>+F33</f>
        <v>2.6818408110294114</v>
      </c>
    </row>
    <row r="36" spans="1:6" x14ac:dyDescent="0.2">
      <c r="A36" s="77">
        <v>22</v>
      </c>
      <c r="C36" s="67" t="s">
        <v>34</v>
      </c>
      <c r="E36" s="77" t="s">
        <v>23</v>
      </c>
      <c r="F36" s="84">
        <f>F34/F35</f>
        <v>1.1703376188707597</v>
      </c>
    </row>
    <row r="37" spans="1:6" x14ac:dyDescent="0.2">
      <c r="A37" s="77">
        <v>23</v>
      </c>
      <c r="C37" s="67" t="s">
        <v>24</v>
      </c>
      <c r="E37" s="77" t="s">
        <v>25</v>
      </c>
      <c r="F37" s="85">
        <v>100</v>
      </c>
    </row>
    <row r="38" spans="1:6" x14ac:dyDescent="0.2">
      <c r="A38" s="77">
        <v>24</v>
      </c>
      <c r="C38" s="67" t="s">
        <v>35</v>
      </c>
      <c r="D38" s="91"/>
      <c r="E38" s="77" t="s">
        <v>23</v>
      </c>
      <c r="F38" s="86">
        <f>ROUND(F36,4)</f>
        <v>1.1702999999999999</v>
      </c>
    </row>
    <row r="39" spans="1:6" x14ac:dyDescent="0.2">
      <c r="A39" s="77">
        <v>25</v>
      </c>
    </row>
    <row r="40" spans="1:6" ht="56.25" customHeight="1" x14ac:dyDescent="0.2">
      <c r="A40" s="92">
        <v>26</v>
      </c>
      <c r="B40" s="276" t="s">
        <v>36</v>
      </c>
      <c r="C40" s="277"/>
      <c r="D40" s="277"/>
      <c r="E40" s="277"/>
      <c r="F40" s="278"/>
    </row>
    <row r="41" spans="1:6" x14ac:dyDescent="0.2">
      <c r="A41" s="77">
        <v>27</v>
      </c>
      <c r="C41" s="82" t="s">
        <v>37</v>
      </c>
      <c r="F41" s="93">
        <f>F29</f>
        <v>6.8599999999999994E-2</v>
      </c>
    </row>
    <row r="42" spans="1:6" x14ac:dyDescent="0.2">
      <c r="A42" s="77">
        <v>28</v>
      </c>
      <c r="C42" s="82" t="s">
        <v>38</v>
      </c>
      <c r="E42" s="77" t="s">
        <v>25</v>
      </c>
      <c r="F42" s="94">
        <f>F38</f>
        <v>1.1702999999999999</v>
      </c>
    </row>
    <row r="43" spans="1:6" x14ac:dyDescent="0.2">
      <c r="A43" s="77">
        <v>29</v>
      </c>
      <c r="B43" s="67" t="s">
        <v>39</v>
      </c>
      <c r="C43" s="67" t="s">
        <v>40</v>
      </c>
      <c r="E43" s="77" t="s">
        <v>23</v>
      </c>
      <c r="F43" s="93">
        <f>F42*F41</f>
        <v>8.0282579999999992E-2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7.0282579999999997E-2</v>
      </c>
    </row>
    <row r="46" spans="1:6" ht="13.5" thickTop="1" x14ac:dyDescent="0.2">
      <c r="A46" s="77">
        <v>32</v>
      </c>
      <c r="C46" s="82"/>
      <c r="F46" s="97"/>
    </row>
    <row r="47" spans="1:6" ht="64.5" customHeight="1" x14ac:dyDescent="0.2">
      <c r="A47" s="92">
        <v>33</v>
      </c>
      <c r="B47" s="289" t="s">
        <v>43</v>
      </c>
      <c r="C47" s="290"/>
      <c r="D47" s="290"/>
      <c r="E47" s="290"/>
      <c r="F47" s="291"/>
    </row>
    <row r="48" spans="1:6" x14ac:dyDescent="0.2">
      <c r="A48" s="77">
        <v>34</v>
      </c>
      <c r="C48" s="67" t="s">
        <v>44</v>
      </c>
      <c r="F48" s="98">
        <f>F45</f>
        <v>7.0282579999999997E-2</v>
      </c>
    </row>
    <row r="49" spans="1:7" x14ac:dyDescent="0.2">
      <c r="A49" s="77">
        <v>35</v>
      </c>
      <c r="C49" s="67" t="s">
        <v>45</v>
      </c>
      <c r="E49" s="77" t="s">
        <v>25</v>
      </c>
      <c r="F49" s="83">
        <f>F16</f>
        <v>818687</v>
      </c>
    </row>
    <row r="50" spans="1:7" x14ac:dyDescent="0.2">
      <c r="A50" s="77">
        <v>36</v>
      </c>
      <c r="C50" s="67" t="s">
        <v>46</v>
      </c>
      <c r="E50" s="77" t="s">
        <v>23</v>
      </c>
      <c r="F50" s="79">
        <f>F49*F48</f>
        <v>57539.434572459999</v>
      </c>
    </row>
    <row r="51" spans="1:7" x14ac:dyDescent="0.2">
      <c r="A51" s="77">
        <v>37</v>
      </c>
    </row>
    <row r="52" spans="1:7" x14ac:dyDescent="0.2">
      <c r="A52" s="77">
        <v>38</v>
      </c>
      <c r="C52" s="67" t="s">
        <v>47</v>
      </c>
      <c r="F52" s="98">
        <f>F29</f>
        <v>6.8599999999999994E-2</v>
      </c>
    </row>
    <row r="53" spans="1:7" x14ac:dyDescent="0.2">
      <c r="A53" s="77">
        <v>39</v>
      </c>
      <c r="C53" s="67" t="s">
        <v>48</v>
      </c>
      <c r="E53" s="77" t="s">
        <v>25</v>
      </c>
      <c r="F53" s="83">
        <f>IF(D6&gt;F22, D6, F22)</f>
        <v>1027305</v>
      </c>
    </row>
    <row r="54" spans="1:7" x14ac:dyDescent="0.2">
      <c r="A54" s="77">
        <v>40</v>
      </c>
      <c r="C54" s="67" t="s">
        <v>49</v>
      </c>
      <c r="E54" s="77" t="s">
        <v>23</v>
      </c>
      <c r="F54" s="79">
        <f>F53*F52</f>
        <v>70473.122999999992</v>
      </c>
    </row>
    <row r="55" spans="1:7" x14ac:dyDescent="0.2">
      <c r="A55" s="77">
        <v>41</v>
      </c>
      <c r="F55" s="79"/>
    </row>
    <row r="56" spans="1:7" x14ac:dyDescent="0.2">
      <c r="A56" s="77">
        <v>42</v>
      </c>
      <c r="C56" s="67" t="s">
        <v>50</v>
      </c>
      <c r="F56" s="79">
        <f>F17</f>
        <v>56199</v>
      </c>
    </row>
    <row r="57" spans="1:7" x14ac:dyDescent="0.2">
      <c r="A57" s="77">
        <v>43</v>
      </c>
      <c r="C57" s="67" t="s">
        <v>51</v>
      </c>
      <c r="E57" s="77" t="s">
        <v>52</v>
      </c>
      <c r="F57" s="79">
        <f>F50</f>
        <v>57539.434572459999</v>
      </c>
    </row>
    <row r="58" spans="1:7" x14ac:dyDescent="0.2">
      <c r="A58" s="77">
        <v>44</v>
      </c>
      <c r="C58" s="67" t="s">
        <v>53</v>
      </c>
      <c r="E58" s="77" t="s">
        <v>31</v>
      </c>
      <c r="F58" s="83">
        <f>F54</f>
        <v>70473.122999999992</v>
      </c>
    </row>
    <row r="59" spans="1:7" x14ac:dyDescent="0.2">
      <c r="A59" s="77">
        <v>45</v>
      </c>
      <c r="C59" s="67" t="s">
        <v>54</v>
      </c>
      <c r="E59" s="77" t="s">
        <v>23</v>
      </c>
      <c r="F59" s="79">
        <f>F56+F57-F58</f>
        <v>43265.311572460007</v>
      </c>
    </row>
    <row r="60" spans="1:7" x14ac:dyDescent="0.2">
      <c r="A60" s="77">
        <v>46</v>
      </c>
      <c r="C60" s="67" t="s">
        <v>55</v>
      </c>
      <c r="E60" s="77" t="s">
        <v>21</v>
      </c>
      <c r="F60" s="99">
        <f>F53</f>
        <v>1027305</v>
      </c>
    </row>
    <row r="61" spans="1:7" ht="13.5" thickBot="1" x14ac:dyDescent="0.25">
      <c r="A61" s="77">
        <v>47</v>
      </c>
      <c r="C61" s="100" t="s">
        <v>56</v>
      </c>
      <c r="E61" s="77" t="s">
        <v>23</v>
      </c>
      <c r="F61" s="96">
        <f>IF(AND(D2&gt;"", D4&gt;0, D6&gt;0), IF(F60=0, 0, F59/F60), 0)</f>
        <v>4.2115351889127385E-2</v>
      </c>
    </row>
    <row r="62" spans="1:7" ht="13.5" thickTop="1" x14ac:dyDescent="0.2"/>
    <row r="63" spans="1:7" x14ac:dyDescent="0.2">
      <c r="A63" s="287">
        <f ca="1">NOW()</f>
        <v>44762.674586689813</v>
      </c>
      <c r="B63" s="287"/>
      <c r="C63" s="287"/>
      <c r="D63" s="288" t="s">
        <v>57</v>
      </c>
      <c r="E63" s="288"/>
      <c r="F63" s="288"/>
      <c r="G63" s="26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disablePrompts="1"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5" t="s">
        <v>59</v>
      </c>
      <c r="D4" s="295"/>
      <c r="E4" s="295"/>
      <c r="F4" s="295"/>
      <c r="G4" s="295"/>
      <c r="H4" s="46"/>
      <c r="I4" s="47"/>
      <c r="J4" s="45" t="s">
        <v>58</v>
      </c>
      <c r="K4" s="46"/>
      <c r="L4" s="295" t="s">
        <v>60</v>
      </c>
      <c r="M4" s="295"/>
      <c r="N4" s="295"/>
      <c r="O4" s="295"/>
      <c r="P4" s="295"/>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5" t="s">
        <v>70</v>
      </c>
      <c r="D3" s="295"/>
      <c r="E3" s="295"/>
      <c r="F3" s="295"/>
      <c r="G3" s="130"/>
      <c r="H3" s="130"/>
      <c r="I3" s="130"/>
      <c r="J3" s="130"/>
      <c r="K3" s="130"/>
      <c r="L3" s="130"/>
      <c r="N3" s="295" t="s">
        <v>71</v>
      </c>
      <c r="O3" s="295"/>
      <c r="P3" s="295"/>
      <c r="Q3" s="295"/>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7" t="s">
        <v>81</v>
      </c>
      <c r="AA1" s="297"/>
      <c r="AB1" s="297"/>
      <c r="AC1" s="297"/>
      <c r="AD1" s="297"/>
    </row>
    <row r="2" spans="2:36" x14ac:dyDescent="0.2">
      <c r="B2" s="5" t="s">
        <v>82</v>
      </c>
      <c r="Z2" s="266"/>
      <c r="AA2" s="266"/>
      <c r="AB2" s="266"/>
      <c r="AC2" s="266"/>
      <c r="AD2" s="266"/>
    </row>
    <row r="3" spans="2:36" x14ac:dyDescent="0.2">
      <c r="B3" s="5" t="s">
        <v>81</v>
      </c>
      <c r="Z3" s="297" t="s">
        <v>83</v>
      </c>
      <c r="AA3" s="297"/>
      <c r="AB3" s="297"/>
      <c r="AC3" s="297"/>
      <c r="AD3" s="297"/>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8" t="s">
        <v>85</v>
      </c>
      <c r="E10" s="298"/>
      <c r="F10" s="298"/>
      <c r="G10" s="299" t="s">
        <v>86</v>
      </c>
      <c r="H10" s="300"/>
      <c r="I10" s="300"/>
      <c r="K10" s="14"/>
      <c r="L10" s="14"/>
      <c r="M10" s="301" t="s">
        <v>87</v>
      </c>
      <c r="N10" s="301"/>
      <c r="O10" s="301"/>
      <c r="P10" s="301"/>
      <c r="Q10" s="301"/>
      <c r="R10" s="302"/>
      <c r="S10" s="305" t="s">
        <v>88</v>
      </c>
      <c r="T10" s="306"/>
      <c r="U10" s="306"/>
      <c r="V10" s="306"/>
      <c r="W10" s="306"/>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
      <c r="B12" s="15"/>
      <c r="G12" s="20"/>
      <c r="H12" s="21"/>
      <c r="I12" s="21"/>
      <c r="L12" s="303" t="s">
        <v>92</v>
      </c>
      <c r="M12" s="303"/>
      <c r="N12" s="303"/>
      <c r="P12" s="303" t="s">
        <v>93</v>
      </c>
      <c r="Q12" s="303"/>
      <c r="R12" s="304"/>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6" t="s">
        <v>94</v>
      </c>
      <c r="AB14" s="296"/>
      <c r="AC14" s="296"/>
      <c r="AE14" s="296" t="s">
        <v>95</v>
      </c>
      <c r="AF14" s="296"/>
      <c r="AG14" s="296"/>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6" t="s">
        <v>106</v>
      </c>
      <c r="AB52" s="296"/>
      <c r="AC52" s="296"/>
      <c r="AE52" s="296" t="s">
        <v>107</v>
      </c>
      <c r="AF52" s="296"/>
      <c r="AG52" s="296"/>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6" t="s">
        <v>109</v>
      </c>
      <c r="AB104" s="296"/>
      <c r="AC104" s="296"/>
      <c r="AE104" s="296" t="s">
        <v>110</v>
      </c>
      <c r="AF104" s="296"/>
      <c r="AG104" s="296"/>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6" t="s">
        <v>111</v>
      </c>
      <c r="AB160" s="296"/>
      <c r="AC160" s="296"/>
      <c r="AE160" s="296" t="s">
        <v>112</v>
      </c>
      <c r="AF160" s="296"/>
      <c r="AG160" s="296"/>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6" t="s">
        <v>113</v>
      </c>
      <c r="AB212" s="296"/>
      <c r="AC212" s="296"/>
      <c r="AE212" s="296" t="s">
        <v>114</v>
      </c>
      <c r="AF212" s="296"/>
      <c r="AG212" s="296"/>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6" t="s">
        <v>115</v>
      </c>
      <c r="AB264" s="296"/>
      <c r="AC264" s="296"/>
      <c r="AE264" s="296" t="s">
        <v>116</v>
      </c>
      <c r="AF264" s="296"/>
      <c r="AG264" s="296"/>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6" t="s">
        <v>117</v>
      </c>
      <c r="AB316" s="296"/>
      <c r="AC316" s="296"/>
      <c r="AE316" s="296" t="s">
        <v>118</v>
      </c>
      <c r="AF316" s="296"/>
      <c r="AG316" s="296"/>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6" t="s">
        <v>128</v>
      </c>
      <c r="AB368" s="296"/>
      <c r="AC368" s="296"/>
      <c r="AE368" s="296" t="s">
        <v>129</v>
      </c>
      <c r="AF368" s="296"/>
      <c r="AG368" s="296"/>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6" t="s">
        <v>131</v>
      </c>
      <c r="AB420" s="296"/>
      <c r="AC420" s="296"/>
      <c r="AE420" s="296" t="s">
        <v>132</v>
      </c>
      <c r="AF420" s="296"/>
      <c r="AG420" s="296"/>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6" t="s">
        <v>133</v>
      </c>
      <c r="AB472" s="296"/>
      <c r="AC472" s="296"/>
      <c r="AE472" s="296" t="s">
        <v>134</v>
      </c>
      <c r="AF472" s="296"/>
      <c r="AG472" s="296"/>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2">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0" x14ac:dyDescent="0.2">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5" x14ac:dyDescent="0.2">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2">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2">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0" x14ac:dyDescent="0.2">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45" x14ac:dyDescent="0.2">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5" x14ac:dyDescent="0.2">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0" x14ac:dyDescent="0.2">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0" x14ac:dyDescent="0.2">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2">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2">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2">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ht="15.75" x14ac:dyDescent="0.2">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2">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0" x14ac:dyDescent="0.2">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0" x14ac:dyDescent="0.2">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0" x14ac:dyDescent="0.2">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2">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5" t="s">
        <v>254</v>
      </c>
      <c r="B59" s="256">
        <v>2</v>
      </c>
      <c r="C59" s="222"/>
      <c r="D59" s="200"/>
      <c r="E59" s="223"/>
      <c r="F59" s="223"/>
      <c r="G59" s="200"/>
      <c r="H59" s="224"/>
      <c r="I59" s="225"/>
      <c r="J59" s="226"/>
      <c r="K59" s="200"/>
      <c r="L59" s="200"/>
      <c r="M59" s="227"/>
      <c r="N59" s="241" t="s">
        <v>255</v>
      </c>
      <c r="O59" s="121"/>
      <c r="P59" s="122"/>
    </row>
    <row r="60" spans="1:74" s="104" customFormat="1" x14ac:dyDescent="0.2">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2">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8" t="s">
        <v>262</v>
      </c>
      <c r="B63" s="256">
        <v>3</v>
      </c>
      <c r="C63" s="222">
        <v>8195725</v>
      </c>
      <c r="D63" s="200">
        <v>397240</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2">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2">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2">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7" t="s">
        <v>282</v>
      </c>
      <c r="D76" s="308"/>
      <c r="E76" s="210"/>
      <c r="F76" s="214"/>
      <c r="G76" s="193"/>
      <c r="H76" s="193"/>
      <c r="K76" s="194"/>
      <c r="M76" s="203">
        <f t="shared" si="5"/>
        <v>0</v>
      </c>
    </row>
    <row r="77" spans="1:19" x14ac:dyDescent="0.2">
      <c r="B77" s="191"/>
      <c r="C77" s="309" t="s">
        <v>283</v>
      </c>
      <c r="D77" s="310"/>
      <c r="E77" s="210"/>
      <c r="F77" s="214"/>
      <c r="G77" s="193"/>
      <c r="H77" s="193"/>
      <c r="K77" s="194"/>
      <c r="M77" s="203">
        <f t="shared" si="5"/>
        <v>0</v>
      </c>
    </row>
    <row r="78" spans="1:19" ht="15.75" thickBot="1" x14ac:dyDescent="0.25">
      <c r="B78" s="191"/>
      <c r="C78" s="311" t="s">
        <v>284</v>
      </c>
      <c r="D78" s="312"/>
      <c r="E78" s="210"/>
      <c r="F78" s="214"/>
      <c r="G78" s="193"/>
      <c r="H78" s="193"/>
      <c r="K78" s="194"/>
      <c r="L78" s="189">
        <f>+M75-K75</f>
        <v>863643</v>
      </c>
      <c r="M78" s="203">
        <f t="shared" si="5"/>
        <v>863643</v>
      </c>
    </row>
    <row r="79" spans="1:19" ht="15.75" thickBot="1" x14ac:dyDescent="0.25">
      <c r="B79" s="191"/>
      <c r="C79" s="313" t="s">
        <v>285</v>
      </c>
      <c r="D79" s="314"/>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2"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125891C5AE5E448FFB80DD7449A27A" ma:contentTypeVersion="20" ma:contentTypeDescription="" ma:contentTypeScope="" ma:versionID="a77d32bf383ddfe82a86fce5ed6e45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2022-07-21T07:00:00+00:00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220536</DocketNumber>
    <DelegatedOrder xmlns="dc463f71-b30c-4ab2-9473-d307f9d35888">false</DelegatedOrder>
  </documentManagement>
</p:properties>
</file>

<file path=customXml/itemProps1.xml><?xml version="1.0" encoding="utf-8"?>
<ds:datastoreItem xmlns:ds="http://schemas.openxmlformats.org/officeDocument/2006/customXml" ds:itemID="{125742DB-4265-4CE5-B40E-9C7909E25551}"/>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FFB24028-E599-4771-A958-FE84B52FD788}"/>
</file>

<file path=customXml/itemProps5.xml><?xml version="1.0" encoding="utf-8"?>
<ds:datastoreItem xmlns:ds="http://schemas.openxmlformats.org/officeDocument/2006/customXml" ds:itemID="{3DCA40FE-84C4-41D0-8C7D-2E919F40A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2022-07-20T23:32:35Z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0x0101006E56B4D1795A2E4DB2F0B01679ED314A00ED125891C5AE5E448FFB80DD7449A27A</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